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52.xml" ContentType="application/vnd.openxmlformats-officedocument.drawingml.chart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charts/chart5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iams\Documents\GitHub\LE2\LE2 Simulation and Analysis\Injector Analysis\Data\"/>
    </mc:Choice>
  </mc:AlternateContent>
  <xr:revisionPtr revIDLastSave="0" documentId="13_ncr:1_{3621D264-39E2-4656-BCCB-9293E242C998}" xr6:coauthVersionLast="47" xr6:coauthVersionMax="47" xr10:uidLastSave="{00000000-0000-0000-0000-000000000000}"/>
  <bookViews>
    <workbookView xWindow="-96" yWindow="-96" windowWidth="20928" windowHeight="12432" xr2:uid="{00000000-000D-0000-FFFF-FFFF00000000}"/>
  </bookViews>
  <sheets>
    <sheet name="LOX Flow Testing" sheetId="22" r:id="rId1"/>
    <sheet name="InjectorDesign" sheetId="1" r:id="rId2"/>
    <sheet name="Instability Calc" sheetId="2" r:id="rId3"/>
    <sheet name="Flow Testing" sheetId="3" r:id="rId4"/>
    <sheet name="Copy of Flow Testing" sheetId="4" r:id="rId5"/>
    <sheet name="Cd to Orifice Diameter" sheetId="5" r:id="rId6"/>
    <sheet name="Copy of Cd to Orifice Diameter " sheetId="6" r:id="rId7"/>
    <sheet name="Copy of Cd to Orifice Diameter" sheetId="7" r:id="rId8"/>
    <sheet name="Hotfire System Calcs" sheetId="8" r:id="rId9"/>
    <sheet name="Hotfire Burn _ SimpleModel" sheetId="9" r:id="rId10"/>
    <sheet name="Fuel transfer Tank Tests" sheetId="10" r:id="rId11"/>
    <sheet name="drop tube calc" sheetId="11" r:id="rId12"/>
    <sheet name="Injector Tolerancing" sheetId="12" r:id="rId13"/>
    <sheet name="Cavitation Calcs" sheetId="13" r:id="rId14"/>
    <sheet name="boil off calc" sheetId="14" r:id="rId15"/>
    <sheet name="Orifice Calcs" sheetId="15" r:id="rId16"/>
    <sheet name="LOX Data" sheetId="16" r:id="rId17"/>
    <sheet name="Ethanol tube Thermal Calcs" sheetId="17" r:id="rId18"/>
    <sheet name="Tank Purge Calcs" sheetId="18" r:id="rId19"/>
    <sheet name="Press Tank Calcs(He)" sheetId="19" r:id="rId20"/>
    <sheet name="Pressurization Calcs (N2)" sheetId="20" r:id="rId21"/>
    <sheet name="N2 Data" sheetId="21" r:id="rId22"/>
  </sheets>
  <externalReferences>
    <externalReference r:id="rId2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0" i="22" l="1"/>
  <c r="I70" i="22"/>
  <c r="M70" i="22" s="1"/>
  <c r="K69" i="22"/>
  <c r="I69" i="22"/>
  <c r="M69" i="22" s="1"/>
  <c r="K68" i="22"/>
  <c r="I68" i="22"/>
  <c r="M68" i="22" s="1"/>
  <c r="M67" i="22"/>
  <c r="K67" i="22"/>
  <c r="I67" i="22"/>
  <c r="L67" i="22" s="1"/>
  <c r="N67" i="22" s="1"/>
  <c r="K66" i="22"/>
  <c r="I66" i="22"/>
  <c r="M66" i="22" s="1"/>
  <c r="K65" i="22"/>
  <c r="I65" i="22"/>
  <c r="M65" i="22" s="1"/>
  <c r="L64" i="22"/>
  <c r="N64" i="22" s="1"/>
  <c r="K64" i="22"/>
  <c r="M64" i="22" s="1"/>
  <c r="I64" i="22"/>
  <c r="J64" i="22" s="1"/>
  <c r="K63" i="22"/>
  <c r="I63" i="22"/>
  <c r="M63" i="22" s="1"/>
  <c r="K62" i="22"/>
  <c r="I62" i="22"/>
  <c r="M62" i="22" s="1"/>
  <c r="L61" i="22"/>
  <c r="N61" i="22" s="1"/>
  <c r="K61" i="22"/>
  <c r="M61" i="22" s="1"/>
  <c r="I61" i="22"/>
  <c r="J61" i="22" s="1"/>
  <c r="K60" i="22"/>
  <c r="I60" i="22"/>
  <c r="M60" i="22" s="1"/>
  <c r="U59" i="22"/>
  <c r="K59" i="22"/>
  <c r="I59" i="22"/>
  <c r="M59" i="22" s="1"/>
  <c r="L58" i="22"/>
  <c r="N58" i="22" s="1"/>
  <c r="K58" i="22"/>
  <c r="M58" i="22" s="1"/>
  <c r="J58" i="22"/>
  <c r="I58" i="22"/>
  <c r="K57" i="22"/>
  <c r="I57" i="22"/>
  <c r="M57" i="22" s="1"/>
  <c r="K56" i="22"/>
  <c r="I56" i="22"/>
  <c r="M56" i="22" s="1"/>
  <c r="K46" i="22"/>
  <c r="I46" i="22"/>
  <c r="M46" i="22" s="1"/>
  <c r="M45" i="22"/>
  <c r="L45" i="22"/>
  <c r="N45" i="22" s="1"/>
  <c r="K45" i="22"/>
  <c r="I45" i="22"/>
  <c r="J45" i="22" s="1"/>
  <c r="K44" i="22"/>
  <c r="F44" i="22"/>
  <c r="I44" i="22" s="1"/>
  <c r="N43" i="22"/>
  <c r="I42" i="22"/>
  <c r="M42" i="22" s="1"/>
  <c r="M41" i="22"/>
  <c r="L41" i="22"/>
  <c r="N41" i="22" s="1"/>
  <c r="J41" i="22"/>
  <c r="I41" i="22"/>
  <c r="I40" i="22"/>
  <c r="M40" i="22" s="1"/>
  <c r="I39" i="22"/>
  <c r="M39" i="22" s="1"/>
  <c r="I38" i="22"/>
  <c r="M38" i="22" s="1"/>
  <c r="M37" i="22"/>
  <c r="L37" i="22"/>
  <c r="N37" i="22" s="1"/>
  <c r="J37" i="22"/>
  <c r="I37" i="22"/>
  <c r="I36" i="22"/>
  <c r="M36" i="22" s="1"/>
  <c r="N83" i="22"/>
  <c r="N82" i="22"/>
  <c r="J82" i="22"/>
  <c r="N81" i="22"/>
  <c r="N80" i="22"/>
  <c r="N79" i="22"/>
  <c r="K77" i="22"/>
  <c r="H77" i="22"/>
  <c r="F77" i="22"/>
  <c r="I77" i="22" s="1"/>
  <c r="K76" i="22"/>
  <c r="H76" i="22"/>
  <c r="F76" i="22"/>
  <c r="I76" i="22" s="1"/>
  <c r="J76" i="22" s="1"/>
  <c r="K75" i="22"/>
  <c r="H75" i="22"/>
  <c r="F75" i="22"/>
  <c r="I75" i="22" s="1"/>
  <c r="K74" i="22"/>
  <c r="H74" i="22"/>
  <c r="F74" i="22"/>
  <c r="I74" i="22" s="1"/>
  <c r="K73" i="22"/>
  <c r="H73" i="22"/>
  <c r="F73" i="22"/>
  <c r="I73" i="22" s="1"/>
  <c r="K72" i="22"/>
  <c r="H72" i="22"/>
  <c r="F72" i="22"/>
  <c r="I72" i="22" s="1"/>
  <c r="N47" i="22"/>
  <c r="K34" i="22"/>
  <c r="I34" i="22"/>
  <c r="M34" i="22" s="1"/>
  <c r="K33" i="22"/>
  <c r="I33" i="22"/>
  <c r="L32" i="22"/>
  <c r="N32" i="22" s="1"/>
  <c r="K32" i="22"/>
  <c r="M32" i="22" s="1"/>
  <c r="I32" i="22"/>
  <c r="J32" i="22" s="1"/>
  <c r="M31" i="22"/>
  <c r="L31" i="22"/>
  <c r="N31" i="22" s="1"/>
  <c r="K31" i="22"/>
  <c r="I31" i="22"/>
  <c r="J31" i="22" s="1"/>
  <c r="U30" i="22"/>
  <c r="K30" i="22"/>
  <c r="I30" i="22"/>
  <c r="M30" i="22" s="1"/>
  <c r="K29" i="22"/>
  <c r="I29" i="22"/>
  <c r="M29" i="22" s="1"/>
  <c r="L28" i="22"/>
  <c r="N28" i="22" s="1"/>
  <c r="K28" i="22"/>
  <c r="M28" i="22" s="1"/>
  <c r="I28" i="22"/>
  <c r="K27" i="22"/>
  <c r="I27" i="22"/>
  <c r="M27" i="22" s="1"/>
  <c r="N25" i="22"/>
  <c r="N24" i="22"/>
  <c r="N23" i="22"/>
  <c r="N11" i="22"/>
  <c r="N10" i="22"/>
  <c r="N9" i="22"/>
  <c r="N8" i="22"/>
  <c r="N7" i="22"/>
  <c r="N6" i="22"/>
  <c r="N5" i="22"/>
  <c r="N4" i="22"/>
  <c r="K3" i="22"/>
  <c r="I3" i="22"/>
  <c r="J3" i="22" s="1"/>
  <c r="B11" i="20"/>
  <c r="B10" i="20"/>
  <c r="B23" i="20" s="1"/>
  <c r="B9" i="20"/>
  <c r="B18" i="20" s="1"/>
  <c r="C18" i="20" s="1"/>
  <c r="B8" i="20"/>
  <c r="I17" i="19"/>
  <c r="B11" i="19"/>
  <c r="B10" i="19"/>
  <c r="B23" i="19" s="1"/>
  <c r="B9" i="19"/>
  <c r="B8" i="19"/>
  <c r="B37" i="18"/>
  <c r="E34" i="18"/>
  <c r="B26" i="18"/>
  <c r="D25" i="18"/>
  <c r="B24" i="18"/>
  <c r="D23" i="18"/>
  <c r="B23" i="18"/>
  <c r="D22" i="18"/>
  <c r="B22" i="18"/>
  <c r="B18" i="18"/>
  <c r="B16" i="18"/>
  <c r="B12" i="18"/>
  <c r="B15" i="18" s="1"/>
  <c r="D7" i="18"/>
  <c r="J6" i="18"/>
  <c r="D3" i="18" s="1"/>
  <c r="D6" i="18"/>
  <c r="D4" i="18"/>
  <c r="D28" i="17"/>
  <c r="D27" i="17"/>
  <c r="D26" i="17"/>
  <c r="B1" i="17" s="1"/>
  <c r="B2" i="17" s="1"/>
  <c r="D23" i="17"/>
  <c r="B38" i="17" s="1"/>
  <c r="B23" i="17"/>
  <c r="B22" i="17"/>
  <c r="D22" i="17" s="1"/>
  <c r="D21" i="17"/>
  <c r="B21" i="17"/>
  <c r="G20" i="17"/>
  <c r="D20" i="17"/>
  <c r="B20" i="17"/>
  <c r="B14" i="17"/>
  <c r="D14" i="17" s="1"/>
  <c r="D13" i="17"/>
  <c r="D8" i="17"/>
  <c r="B8" i="17"/>
  <c r="D6" i="17"/>
  <c r="G4" i="17"/>
  <c r="C30" i="15"/>
  <c r="F29" i="15"/>
  <c r="E29" i="15"/>
  <c r="D29" i="15"/>
  <c r="F25" i="15"/>
  <c r="E25" i="15"/>
  <c r="D25" i="15"/>
  <c r="C25" i="15"/>
  <c r="F23" i="15"/>
  <c r="E23" i="15"/>
  <c r="D23" i="15"/>
  <c r="C23" i="15"/>
  <c r="C29" i="15" s="1"/>
  <c r="C32" i="15" s="1"/>
  <c r="C33" i="15" s="1"/>
  <c r="C35" i="15" s="1"/>
  <c r="F19" i="15"/>
  <c r="E19" i="15"/>
  <c r="D19" i="15"/>
  <c r="C19" i="15"/>
  <c r="F17" i="15"/>
  <c r="E17" i="15"/>
  <c r="D17" i="15"/>
  <c r="C17" i="15"/>
  <c r="C8" i="15" s="1"/>
  <c r="C12" i="15" s="1"/>
  <c r="D12" i="15"/>
  <c r="C10" i="15"/>
  <c r="D9" i="15"/>
  <c r="C9" i="15"/>
  <c r="F8" i="15"/>
  <c r="E8" i="15"/>
  <c r="D8" i="15"/>
  <c r="D7" i="15" s="1"/>
  <c r="D6" i="15" s="1"/>
  <c r="D10" i="15" s="1"/>
  <c r="C7" i="15"/>
  <c r="C6" i="15" s="1"/>
  <c r="F5" i="15"/>
  <c r="D5" i="15"/>
  <c r="D15" i="14"/>
  <c r="G15" i="14" s="1"/>
  <c r="B8" i="14"/>
  <c r="B11" i="14" s="1"/>
  <c r="B13" i="14" s="1"/>
  <c r="D13" i="14" s="1"/>
  <c r="B16" i="14" s="1"/>
  <c r="D16" i="14" s="1"/>
  <c r="E9" i="11" s="1"/>
  <c r="L4" i="14"/>
  <c r="D1" i="14"/>
  <c r="B7" i="14" s="1"/>
  <c r="D60" i="13"/>
  <c r="B61" i="13" s="1"/>
  <c r="B63" i="13" s="1"/>
  <c r="B64" i="13" s="1"/>
  <c r="D64" i="13" s="1"/>
  <c r="D50" i="13"/>
  <c r="D48" i="13"/>
  <c r="D36" i="13"/>
  <c r="D25" i="13"/>
  <c r="B16" i="13"/>
  <c r="B15" i="13"/>
  <c r="B14" i="13"/>
  <c r="B13" i="13"/>
  <c r="D13" i="13" s="1"/>
  <c r="B12" i="13"/>
  <c r="D12" i="13" s="1"/>
  <c r="B11" i="13"/>
  <c r="B10" i="13"/>
  <c r="D10" i="13" s="1"/>
  <c r="D9" i="13"/>
  <c r="B9" i="13"/>
  <c r="B106" i="12"/>
  <c r="D103" i="12"/>
  <c r="B103" i="12"/>
  <c r="D102" i="12"/>
  <c r="B102" i="12"/>
  <c r="B83" i="12"/>
  <c r="D80" i="12"/>
  <c r="B80" i="12"/>
  <c r="D79" i="12"/>
  <c r="B79" i="12"/>
  <c r="B82" i="12" s="1"/>
  <c r="D66" i="12"/>
  <c r="D65" i="12"/>
  <c r="D63" i="12"/>
  <c r="D62" i="12"/>
  <c r="B61" i="12"/>
  <c r="B59" i="12"/>
  <c r="D58" i="12"/>
  <c r="D57" i="12"/>
  <c r="D46" i="12"/>
  <c r="D45" i="12"/>
  <c r="B27" i="12"/>
  <c r="B26" i="12"/>
  <c r="B24" i="12"/>
  <c r="B23" i="12"/>
  <c r="B25" i="12" s="1"/>
  <c r="D20" i="12"/>
  <c r="D19" i="12"/>
  <c r="D6" i="12"/>
  <c r="D5" i="12"/>
  <c r="D4" i="12"/>
  <c r="D3" i="12"/>
  <c r="B17" i="11"/>
  <c r="F16" i="11"/>
  <c r="F17" i="11" s="1"/>
  <c r="D16" i="11"/>
  <c r="B14" i="11"/>
  <c r="D5" i="11"/>
  <c r="G4" i="11"/>
  <c r="B4" i="11"/>
  <c r="D4" i="11" s="1"/>
  <c r="G3" i="11"/>
  <c r="B7" i="11" s="1"/>
  <c r="B8" i="11" s="1"/>
  <c r="E36" i="10"/>
  <c r="F36" i="10" s="1"/>
  <c r="D36" i="10"/>
  <c r="E35" i="10"/>
  <c r="F35" i="10" s="1"/>
  <c r="D35" i="10"/>
  <c r="C24" i="10"/>
  <c r="J17" i="10"/>
  <c r="E15" i="10"/>
  <c r="H15" i="10" s="1"/>
  <c r="J15" i="10" s="1"/>
  <c r="E14" i="10"/>
  <c r="H14" i="10" s="1"/>
  <c r="J14" i="10" s="1"/>
  <c r="C14" i="10"/>
  <c r="J13" i="10"/>
  <c r="E13" i="10"/>
  <c r="H13" i="10" s="1"/>
  <c r="F11" i="10"/>
  <c r="E5" i="10"/>
  <c r="H5" i="10" s="1"/>
  <c r="J5" i="10" s="1"/>
  <c r="H3" i="10"/>
  <c r="J3" i="10" s="1"/>
  <c r="J6" i="10" s="1"/>
  <c r="B3" i="10"/>
  <c r="D61" i="9"/>
  <c r="B50" i="9"/>
  <c r="B49" i="9"/>
  <c r="B45" i="9"/>
  <c r="D45" i="9" s="1"/>
  <c r="B44" i="9"/>
  <c r="D44" i="9" s="1"/>
  <c r="D24" i="9"/>
  <c r="B24" i="9"/>
  <c r="D13" i="9"/>
  <c r="D12" i="9"/>
  <c r="D11" i="9"/>
  <c r="D10" i="9"/>
  <c r="D9" i="9"/>
  <c r="D8" i="9"/>
  <c r="B8" i="9"/>
  <c r="D5" i="9"/>
  <c r="D4" i="9"/>
  <c r="C9" i="8"/>
  <c r="B9" i="8"/>
  <c r="C7" i="8"/>
  <c r="B7" i="8"/>
  <c r="K53" i="7"/>
  <c r="H53" i="7"/>
  <c r="F53" i="7"/>
  <c r="I53" i="7" s="1"/>
  <c r="K52" i="7"/>
  <c r="I52" i="7"/>
  <c r="M52" i="7" s="1"/>
  <c r="H52" i="7"/>
  <c r="F52" i="7"/>
  <c r="K51" i="7"/>
  <c r="H51" i="7"/>
  <c r="F51" i="7"/>
  <c r="I51" i="7" s="1"/>
  <c r="K50" i="7"/>
  <c r="H50" i="7"/>
  <c r="F50" i="7"/>
  <c r="I50" i="7" s="1"/>
  <c r="K49" i="7"/>
  <c r="H49" i="7"/>
  <c r="F49" i="7"/>
  <c r="I49" i="7" s="1"/>
  <c r="K48" i="7"/>
  <c r="H48" i="7"/>
  <c r="F48" i="7"/>
  <c r="I48" i="7" s="1"/>
  <c r="L47" i="7"/>
  <c r="N47" i="7" s="1"/>
  <c r="N46" i="7"/>
  <c r="L46" i="7"/>
  <c r="K46" i="7"/>
  <c r="M46" i="7" s="1"/>
  <c r="I45" i="7"/>
  <c r="L45" i="7" s="1"/>
  <c r="N45" i="7" s="1"/>
  <c r="M44" i="7"/>
  <c r="I44" i="7"/>
  <c r="L44" i="7" s="1"/>
  <c r="N44" i="7" s="1"/>
  <c r="N43" i="7"/>
  <c r="L42" i="7"/>
  <c r="N42" i="7" s="1"/>
  <c r="N41" i="7"/>
  <c r="M40" i="7"/>
  <c r="L40" i="7"/>
  <c r="N40" i="7" s="1"/>
  <c r="N39" i="7"/>
  <c r="N38" i="7"/>
  <c r="N37" i="7"/>
  <c r="N36" i="7"/>
  <c r="N35" i="7"/>
  <c r="N34" i="7"/>
  <c r="M33" i="7"/>
  <c r="K33" i="7"/>
  <c r="I33" i="7"/>
  <c r="K32" i="7"/>
  <c r="I32" i="7"/>
  <c r="K31" i="7"/>
  <c r="I31" i="7"/>
  <c r="J31" i="7" s="1"/>
  <c r="K30" i="7"/>
  <c r="J30" i="7"/>
  <c r="I30" i="7"/>
  <c r="U29" i="7"/>
  <c r="K29" i="7"/>
  <c r="I29" i="7"/>
  <c r="L28" i="7"/>
  <c r="N28" i="7" s="1"/>
  <c r="K28" i="7"/>
  <c r="M28" i="7" s="1"/>
  <c r="J28" i="7"/>
  <c r="I28" i="7"/>
  <c r="K27" i="7"/>
  <c r="I27" i="7"/>
  <c r="L26" i="7"/>
  <c r="N26" i="7" s="1"/>
  <c r="K26" i="7"/>
  <c r="M26" i="7" s="1"/>
  <c r="I26" i="7"/>
  <c r="J26" i="7" s="1"/>
  <c r="N25" i="7"/>
  <c r="N24" i="7"/>
  <c r="N23" i="7"/>
  <c r="N22" i="7"/>
  <c r="N21" i="7"/>
  <c r="N20" i="7"/>
  <c r="N19" i="7"/>
  <c r="N18" i="7"/>
  <c r="N17" i="7"/>
  <c r="N16" i="7"/>
  <c r="N15" i="7"/>
  <c r="N14" i="7"/>
  <c r="M14" i="7"/>
  <c r="K14" i="7"/>
  <c r="I14" i="7"/>
  <c r="L14" i="7" s="1"/>
  <c r="K13" i="7"/>
  <c r="I13" i="7"/>
  <c r="K12" i="7"/>
  <c r="I12" i="7"/>
  <c r="F12" i="7"/>
  <c r="N11" i="7"/>
  <c r="M10" i="7"/>
  <c r="L10" i="7"/>
  <c r="N10" i="7" s="1"/>
  <c r="J10" i="7"/>
  <c r="I10" i="7"/>
  <c r="M9" i="7"/>
  <c r="L9" i="7"/>
  <c r="N9" i="7" s="1"/>
  <c r="I9" i="7"/>
  <c r="J9" i="7" s="1"/>
  <c r="L8" i="7"/>
  <c r="N8" i="7" s="1"/>
  <c r="I8" i="7"/>
  <c r="M8" i="7" s="1"/>
  <c r="N7" i="7"/>
  <c r="L7" i="7"/>
  <c r="J7" i="7"/>
  <c r="I7" i="7"/>
  <c r="M7" i="7" s="1"/>
  <c r="M6" i="7"/>
  <c r="L6" i="7"/>
  <c r="N6" i="7" s="1"/>
  <c r="J6" i="7"/>
  <c r="I6" i="7"/>
  <c r="N5" i="7"/>
  <c r="M5" i="7"/>
  <c r="L5" i="7"/>
  <c r="J5" i="7"/>
  <c r="I5" i="7"/>
  <c r="I4" i="7"/>
  <c r="M4" i="7" s="1"/>
  <c r="O3" i="7"/>
  <c r="M3" i="7"/>
  <c r="K3" i="7"/>
  <c r="J3" i="7"/>
  <c r="I3" i="7"/>
  <c r="L3" i="7" s="1"/>
  <c r="N3" i="7" s="1"/>
  <c r="K53" i="6"/>
  <c r="I53" i="6"/>
  <c r="H53" i="6"/>
  <c r="F53" i="6"/>
  <c r="K52" i="6"/>
  <c r="H52" i="6"/>
  <c r="F52" i="6"/>
  <c r="I52" i="6" s="1"/>
  <c r="K51" i="6"/>
  <c r="H51" i="6"/>
  <c r="F51" i="6"/>
  <c r="I51" i="6" s="1"/>
  <c r="K50" i="6"/>
  <c r="I50" i="6"/>
  <c r="H50" i="6"/>
  <c r="F50" i="6"/>
  <c r="K49" i="6"/>
  <c r="H49" i="6"/>
  <c r="F49" i="6"/>
  <c r="I49" i="6" s="1"/>
  <c r="K48" i="6"/>
  <c r="I48" i="6"/>
  <c r="H48" i="6"/>
  <c r="F48" i="6"/>
  <c r="M46" i="6"/>
  <c r="L46" i="6"/>
  <c r="L47" i="6" s="1"/>
  <c r="N47" i="6" s="1"/>
  <c r="K46" i="6"/>
  <c r="L45" i="6"/>
  <c r="N45" i="6" s="1"/>
  <c r="J45" i="6"/>
  <c r="I45" i="6"/>
  <c r="M44" i="6"/>
  <c r="I44" i="6"/>
  <c r="L44" i="6" s="1"/>
  <c r="N44" i="6" s="1"/>
  <c r="N43" i="6"/>
  <c r="L42" i="6"/>
  <c r="N42" i="6" s="1"/>
  <c r="N41" i="6"/>
  <c r="M40" i="6"/>
  <c r="L40" i="6"/>
  <c r="N40" i="6" s="1"/>
  <c r="N39" i="6"/>
  <c r="N38" i="6"/>
  <c r="N37" i="6"/>
  <c r="N36" i="6"/>
  <c r="N35" i="6"/>
  <c r="N34" i="6"/>
  <c r="K33" i="6"/>
  <c r="I33" i="6"/>
  <c r="K32" i="6"/>
  <c r="I32" i="6"/>
  <c r="M32" i="6" s="1"/>
  <c r="L31" i="6"/>
  <c r="N31" i="6" s="1"/>
  <c r="K31" i="6"/>
  <c r="M31" i="6" s="1"/>
  <c r="I31" i="6"/>
  <c r="J31" i="6" s="1"/>
  <c r="M30" i="6"/>
  <c r="K30" i="6"/>
  <c r="J30" i="6"/>
  <c r="I30" i="6"/>
  <c r="L30" i="6" s="1"/>
  <c r="N30" i="6" s="1"/>
  <c r="U29" i="6"/>
  <c r="M29" i="6"/>
  <c r="L29" i="6"/>
  <c r="N29" i="6" s="1"/>
  <c r="K29" i="6"/>
  <c r="J29" i="6" s="1"/>
  <c r="I29" i="6"/>
  <c r="K28" i="6"/>
  <c r="I28" i="6"/>
  <c r="K27" i="6"/>
  <c r="I27" i="6"/>
  <c r="K26" i="6"/>
  <c r="I26" i="6"/>
  <c r="N25" i="6"/>
  <c r="N24" i="6"/>
  <c r="N23" i="6"/>
  <c r="N22" i="6"/>
  <c r="N21" i="6"/>
  <c r="N20" i="6"/>
  <c r="N19" i="6"/>
  <c r="N18" i="6"/>
  <c r="N17" i="6"/>
  <c r="N16" i="6"/>
  <c r="N15" i="6"/>
  <c r="K14" i="6"/>
  <c r="I14" i="6"/>
  <c r="M14" i="6" s="1"/>
  <c r="K13" i="6"/>
  <c r="I13" i="6"/>
  <c r="N12" i="6"/>
  <c r="L12" i="6"/>
  <c r="K12" i="6"/>
  <c r="M12" i="6" s="1"/>
  <c r="J12" i="6"/>
  <c r="I12" i="6"/>
  <c r="F12" i="6"/>
  <c r="N11" i="6"/>
  <c r="I10" i="6"/>
  <c r="M10" i="6" s="1"/>
  <c r="N9" i="6"/>
  <c r="M9" i="6"/>
  <c r="L9" i="6"/>
  <c r="J9" i="6"/>
  <c r="I9" i="6"/>
  <c r="I8" i="6"/>
  <c r="I7" i="6"/>
  <c r="J7" i="6" s="1"/>
  <c r="L6" i="6"/>
  <c r="N6" i="6" s="1"/>
  <c r="J6" i="6"/>
  <c r="I6" i="6"/>
  <c r="M6" i="6" s="1"/>
  <c r="I5" i="6"/>
  <c r="M5" i="6" s="1"/>
  <c r="N4" i="6"/>
  <c r="M4" i="6"/>
  <c r="I4" i="6"/>
  <c r="L4" i="6" s="1"/>
  <c r="N3" i="6"/>
  <c r="O3" i="6" s="1"/>
  <c r="M3" i="6"/>
  <c r="K3" i="6"/>
  <c r="J3" i="6" s="1"/>
  <c r="I3" i="6"/>
  <c r="L3" i="6" s="1"/>
  <c r="K60" i="5"/>
  <c r="I60" i="5"/>
  <c r="J60" i="5" s="1"/>
  <c r="H60" i="5"/>
  <c r="F60" i="5"/>
  <c r="K59" i="5"/>
  <c r="H59" i="5"/>
  <c r="F59" i="5"/>
  <c r="I59" i="5" s="1"/>
  <c r="K58" i="5"/>
  <c r="H58" i="5"/>
  <c r="F58" i="5"/>
  <c r="I58" i="5" s="1"/>
  <c r="K57" i="5"/>
  <c r="I57" i="5"/>
  <c r="M57" i="5" s="1"/>
  <c r="H57" i="5"/>
  <c r="F57" i="5"/>
  <c r="M56" i="5"/>
  <c r="K56" i="5"/>
  <c r="I56" i="5"/>
  <c r="J56" i="5" s="1"/>
  <c r="H56" i="5"/>
  <c r="F56" i="5"/>
  <c r="K55" i="5"/>
  <c r="H55" i="5"/>
  <c r="F55" i="5"/>
  <c r="I55" i="5" s="1"/>
  <c r="L54" i="5"/>
  <c r="N54" i="5" s="1"/>
  <c r="N53" i="5"/>
  <c r="M53" i="5"/>
  <c r="L53" i="5"/>
  <c r="K53" i="5"/>
  <c r="N52" i="5"/>
  <c r="L52" i="5"/>
  <c r="I52" i="5"/>
  <c r="J52" i="5" s="1"/>
  <c r="M51" i="5"/>
  <c r="I51" i="5"/>
  <c r="N50" i="5"/>
  <c r="N49" i="5"/>
  <c r="L49" i="5"/>
  <c r="N48" i="5"/>
  <c r="M47" i="5"/>
  <c r="L47" i="5"/>
  <c r="N47" i="5" s="1"/>
  <c r="N46" i="5"/>
  <c r="N45" i="5"/>
  <c r="N44" i="5"/>
  <c r="N43" i="5"/>
  <c r="N42" i="5"/>
  <c r="N41" i="5"/>
  <c r="M40" i="5"/>
  <c r="K40" i="5"/>
  <c r="I40" i="5"/>
  <c r="L40" i="5" s="1"/>
  <c r="N40" i="5" s="1"/>
  <c r="K39" i="5"/>
  <c r="I39" i="5"/>
  <c r="N38" i="5"/>
  <c r="M38" i="5"/>
  <c r="K38" i="5"/>
  <c r="I38" i="5"/>
  <c r="L38" i="5" s="1"/>
  <c r="N37" i="5"/>
  <c r="M37" i="5"/>
  <c r="K37" i="5"/>
  <c r="J37" i="5" s="1"/>
  <c r="I37" i="5"/>
  <c r="L37" i="5" s="1"/>
  <c r="K36" i="5"/>
  <c r="I36" i="5"/>
  <c r="L35" i="5"/>
  <c r="N35" i="5" s="1"/>
  <c r="K35" i="5"/>
  <c r="M35" i="5" s="1"/>
  <c r="J35" i="5"/>
  <c r="I35" i="5"/>
  <c r="K34" i="5"/>
  <c r="I34" i="5"/>
  <c r="J34" i="5" s="1"/>
  <c r="L33" i="5"/>
  <c r="N33" i="5" s="1"/>
  <c r="K33" i="5"/>
  <c r="I33" i="5"/>
  <c r="M33" i="5" s="1"/>
  <c r="K32" i="5"/>
  <c r="I32" i="5"/>
  <c r="K31" i="5"/>
  <c r="I31" i="5"/>
  <c r="M30" i="5"/>
  <c r="K30" i="5"/>
  <c r="J30" i="5"/>
  <c r="I30" i="5"/>
  <c r="L30" i="5" s="1"/>
  <c r="N30" i="5" s="1"/>
  <c r="U29" i="5"/>
  <c r="M29" i="5"/>
  <c r="L29" i="5"/>
  <c r="N29" i="5" s="1"/>
  <c r="K29" i="5"/>
  <c r="I29" i="5"/>
  <c r="J29" i="5" s="1"/>
  <c r="M28" i="5"/>
  <c r="K28" i="5"/>
  <c r="I28" i="5"/>
  <c r="L28" i="5" s="1"/>
  <c r="N28" i="5" s="1"/>
  <c r="L27" i="5"/>
  <c r="N27" i="5" s="1"/>
  <c r="K27" i="5"/>
  <c r="I27" i="5"/>
  <c r="K26" i="5"/>
  <c r="I26" i="5"/>
  <c r="N25" i="5"/>
  <c r="N24" i="5"/>
  <c r="N23" i="5"/>
  <c r="N22" i="5"/>
  <c r="N21" i="5"/>
  <c r="N20" i="5"/>
  <c r="N19" i="5"/>
  <c r="N18" i="5"/>
  <c r="N17" i="5"/>
  <c r="N16" i="5"/>
  <c r="N15" i="5"/>
  <c r="L14" i="5"/>
  <c r="N14" i="5" s="1"/>
  <c r="K14" i="5"/>
  <c r="J14" i="5"/>
  <c r="I14" i="5"/>
  <c r="M14" i="5" s="1"/>
  <c r="K13" i="5"/>
  <c r="I13" i="5"/>
  <c r="M13" i="5" s="1"/>
  <c r="K12" i="5"/>
  <c r="I12" i="5"/>
  <c r="F12" i="5"/>
  <c r="N11" i="5"/>
  <c r="I10" i="5"/>
  <c r="M10" i="5" s="1"/>
  <c r="I9" i="5"/>
  <c r="M9" i="5" s="1"/>
  <c r="N8" i="5"/>
  <c r="M8" i="5"/>
  <c r="L8" i="5"/>
  <c r="J8" i="5"/>
  <c r="I8" i="5"/>
  <c r="I7" i="5"/>
  <c r="L6" i="5"/>
  <c r="N6" i="5" s="1"/>
  <c r="I6" i="5"/>
  <c r="M6" i="5" s="1"/>
  <c r="N5" i="5"/>
  <c r="M5" i="5"/>
  <c r="I5" i="5"/>
  <c r="L5" i="5" s="1"/>
  <c r="I4" i="5"/>
  <c r="N3" i="5"/>
  <c r="O3" i="5" s="1"/>
  <c r="L3" i="5"/>
  <c r="K3" i="5"/>
  <c r="J3" i="5" s="1"/>
  <c r="I3" i="5"/>
  <c r="N83" i="4"/>
  <c r="N82" i="4"/>
  <c r="J82" i="4"/>
  <c r="N81" i="4"/>
  <c r="N80" i="4"/>
  <c r="N79" i="4"/>
  <c r="K77" i="4"/>
  <c r="H77" i="4"/>
  <c r="F77" i="4"/>
  <c r="I77" i="4" s="1"/>
  <c r="K76" i="4"/>
  <c r="H76" i="4"/>
  <c r="F76" i="4"/>
  <c r="I76" i="4" s="1"/>
  <c r="L75" i="4"/>
  <c r="N75" i="4" s="1"/>
  <c r="K75" i="4"/>
  <c r="M75" i="4" s="1"/>
  <c r="I75" i="4"/>
  <c r="J75" i="4" s="1"/>
  <c r="H75" i="4"/>
  <c r="F75" i="4"/>
  <c r="K74" i="4"/>
  <c r="I74" i="4"/>
  <c r="H74" i="4"/>
  <c r="F74" i="4"/>
  <c r="L73" i="4"/>
  <c r="N73" i="4" s="1"/>
  <c r="K73" i="4"/>
  <c r="I73" i="4"/>
  <c r="H73" i="4"/>
  <c r="F73" i="4"/>
  <c r="L72" i="4"/>
  <c r="K72" i="4"/>
  <c r="M72" i="4" s="1"/>
  <c r="J72" i="4"/>
  <c r="I72" i="4"/>
  <c r="H72" i="4"/>
  <c r="F72" i="4"/>
  <c r="K71" i="4"/>
  <c r="I71" i="4"/>
  <c r="L71" i="4" s="1"/>
  <c r="N71" i="4" s="1"/>
  <c r="H71" i="4"/>
  <c r="F71" i="4"/>
  <c r="K70" i="4"/>
  <c r="I70" i="4"/>
  <c r="H70" i="4"/>
  <c r="F70" i="4"/>
  <c r="K69" i="4"/>
  <c r="I69" i="4"/>
  <c r="H69" i="4"/>
  <c r="F69" i="4"/>
  <c r="K68" i="4"/>
  <c r="I68" i="4"/>
  <c r="H68" i="4"/>
  <c r="F68" i="4"/>
  <c r="N67" i="4"/>
  <c r="N66" i="4"/>
  <c r="N65" i="4"/>
  <c r="N64" i="4"/>
  <c r="N63" i="4"/>
  <c r="L62" i="4"/>
  <c r="N62" i="4" s="1"/>
  <c r="K62" i="4"/>
  <c r="M62" i="4" s="1"/>
  <c r="I62" i="4"/>
  <c r="J62" i="4" s="1"/>
  <c r="L61" i="4"/>
  <c r="N61" i="4" s="1"/>
  <c r="K61" i="4"/>
  <c r="I61" i="4"/>
  <c r="L60" i="4"/>
  <c r="N60" i="4" s="1"/>
  <c r="K60" i="4"/>
  <c r="J60" i="4" s="1"/>
  <c r="I60" i="4"/>
  <c r="M59" i="4"/>
  <c r="K59" i="4"/>
  <c r="I59" i="4"/>
  <c r="L59" i="4" s="1"/>
  <c r="N59" i="4" s="1"/>
  <c r="M58" i="4"/>
  <c r="L58" i="4"/>
  <c r="N58" i="4" s="1"/>
  <c r="K58" i="4"/>
  <c r="J58" i="4"/>
  <c r="I58" i="4"/>
  <c r="L57" i="4"/>
  <c r="N57" i="4" s="1"/>
  <c r="K57" i="4"/>
  <c r="I57" i="4"/>
  <c r="K56" i="4"/>
  <c r="I56" i="4"/>
  <c r="L55" i="4"/>
  <c r="N55" i="4" s="1"/>
  <c r="K55" i="4"/>
  <c r="J55" i="4" s="1"/>
  <c r="I55" i="4"/>
  <c r="K54" i="4"/>
  <c r="I54" i="4"/>
  <c r="M53" i="4"/>
  <c r="L53" i="4"/>
  <c r="N53" i="4" s="1"/>
  <c r="K53" i="4"/>
  <c r="J53" i="4" s="1"/>
  <c r="I53" i="4"/>
  <c r="K52" i="4"/>
  <c r="I52" i="4"/>
  <c r="M52" i="4" s="1"/>
  <c r="L51" i="4"/>
  <c r="N51" i="4" s="1"/>
  <c r="K51" i="4"/>
  <c r="I51" i="4"/>
  <c r="N50" i="4"/>
  <c r="M50" i="4"/>
  <c r="L50" i="4"/>
  <c r="K50" i="4"/>
  <c r="J50" i="4"/>
  <c r="I50" i="4"/>
  <c r="M49" i="4"/>
  <c r="K49" i="4"/>
  <c r="I49" i="4"/>
  <c r="N48" i="4"/>
  <c r="L48" i="4"/>
  <c r="K48" i="4"/>
  <c r="J48" i="4" s="1"/>
  <c r="I48" i="4"/>
  <c r="N47" i="4"/>
  <c r="N46" i="4"/>
  <c r="N45" i="4"/>
  <c r="N44" i="4"/>
  <c r="Q43" i="4"/>
  <c r="N43" i="4"/>
  <c r="M43" i="4"/>
  <c r="L43" i="4"/>
  <c r="K43" i="4"/>
  <c r="J43" i="4"/>
  <c r="I43" i="4"/>
  <c r="L42" i="4"/>
  <c r="N42" i="4" s="1"/>
  <c r="K42" i="4"/>
  <c r="M42" i="4" s="1"/>
  <c r="J42" i="4"/>
  <c r="I42" i="4"/>
  <c r="K41" i="4"/>
  <c r="I41" i="4"/>
  <c r="J41" i="4" s="1"/>
  <c r="M40" i="4"/>
  <c r="K40" i="4"/>
  <c r="I40" i="4"/>
  <c r="L40" i="4" s="1"/>
  <c r="N40" i="4" s="1"/>
  <c r="L39" i="4"/>
  <c r="N39" i="4" s="1"/>
  <c r="K39" i="4"/>
  <c r="I39" i="4"/>
  <c r="L38" i="4"/>
  <c r="N38" i="4" s="1"/>
  <c r="K38" i="4"/>
  <c r="I38" i="4"/>
  <c r="M37" i="4"/>
  <c r="K37" i="4"/>
  <c r="I37" i="4"/>
  <c r="L37" i="4" s="1"/>
  <c r="N37" i="4" s="1"/>
  <c r="L36" i="4"/>
  <c r="N36" i="4" s="1"/>
  <c r="K36" i="4"/>
  <c r="M36" i="4" s="1"/>
  <c r="J36" i="4"/>
  <c r="I36" i="4"/>
  <c r="N35" i="4"/>
  <c r="M35" i="4"/>
  <c r="L35" i="4"/>
  <c r="K35" i="4"/>
  <c r="J35" i="4"/>
  <c r="I35" i="4"/>
  <c r="L34" i="4"/>
  <c r="N34" i="4" s="1"/>
  <c r="K34" i="4"/>
  <c r="I34" i="4"/>
  <c r="K33" i="4"/>
  <c r="I33" i="4"/>
  <c r="L32" i="4"/>
  <c r="N32" i="4" s="1"/>
  <c r="K32" i="4"/>
  <c r="M32" i="4" s="1"/>
  <c r="J32" i="4"/>
  <c r="I32" i="4"/>
  <c r="K31" i="4"/>
  <c r="I31" i="4"/>
  <c r="U30" i="4"/>
  <c r="N30" i="4"/>
  <c r="M30" i="4"/>
  <c r="L30" i="4"/>
  <c r="K30" i="4"/>
  <c r="I30" i="4"/>
  <c r="J30" i="4" s="1"/>
  <c r="L29" i="4"/>
  <c r="N29" i="4" s="1"/>
  <c r="K29" i="4"/>
  <c r="J29" i="4"/>
  <c r="I29" i="4"/>
  <c r="M29" i="4" s="1"/>
  <c r="M28" i="4"/>
  <c r="K28" i="4"/>
  <c r="J28" i="4"/>
  <c r="I28" i="4"/>
  <c r="L28" i="4" s="1"/>
  <c r="N28" i="4" s="1"/>
  <c r="L27" i="4"/>
  <c r="N27" i="4" s="1"/>
  <c r="K27" i="4"/>
  <c r="M27" i="4" s="1"/>
  <c r="I27" i="4"/>
  <c r="J27" i="4" s="1"/>
  <c r="N26" i="4"/>
  <c r="J26" i="4"/>
  <c r="I26" i="4"/>
  <c r="N25" i="4"/>
  <c r="N24" i="4"/>
  <c r="N23" i="4"/>
  <c r="N22" i="4"/>
  <c r="M22" i="4"/>
  <c r="L22" i="4"/>
  <c r="K22" i="4"/>
  <c r="J22" i="4" s="1"/>
  <c r="I22" i="4"/>
  <c r="K21" i="4"/>
  <c r="I21" i="4"/>
  <c r="J21" i="4" s="1"/>
  <c r="K20" i="4"/>
  <c r="I20" i="4"/>
  <c r="J20" i="4" s="1"/>
  <c r="K19" i="4"/>
  <c r="I19" i="4"/>
  <c r="J19" i="4" s="1"/>
  <c r="K18" i="4"/>
  <c r="I18" i="4"/>
  <c r="K17" i="4"/>
  <c r="J17" i="4"/>
  <c r="I17" i="4"/>
  <c r="K16" i="4"/>
  <c r="I16" i="4"/>
  <c r="M15" i="4"/>
  <c r="K15" i="4"/>
  <c r="J15" i="4"/>
  <c r="I15" i="4"/>
  <c r="L15" i="4" s="1"/>
  <c r="N15" i="4" s="1"/>
  <c r="L14" i="4"/>
  <c r="N14" i="4" s="1"/>
  <c r="K14" i="4"/>
  <c r="M14" i="4" s="1"/>
  <c r="I14" i="4"/>
  <c r="J14" i="4" s="1"/>
  <c r="K13" i="4"/>
  <c r="I13" i="4"/>
  <c r="M13" i="4" s="1"/>
  <c r="N12" i="4"/>
  <c r="L12" i="4"/>
  <c r="K12" i="4"/>
  <c r="J12" i="4" s="1"/>
  <c r="I12" i="4"/>
  <c r="N11" i="4"/>
  <c r="N10" i="4"/>
  <c r="N9" i="4"/>
  <c r="N8" i="4"/>
  <c r="N7" i="4"/>
  <c r="N6" i="4"/>
  <c r="N5" i="4"/>
  <c r="N4" i="4"/>
  <c r="K3" i="4"/>
  <c r="I3" i="4"/>
  <c r="M3" i="4" s="1"/>
  <c r="K200" i="3"/>
  <c r="I200" i="3"/>
  <c r="H200" i="3"/>
  <c r="L199" i="3"/>
  <c r="N199" i="3" s="1"/>
  <c r="K199" i="3"/>
  <c r="M199" i="3" s="1"/>
  <c r="J199" i="3"/>
  <c r="I199" i="3"/>
  <c r="H199" i="3"/>
  <c r="F199" i="3"/>
  <c r="K198" i="3"/>
  <c r="H198" i="3"/>
  <c r="F198" i="3"/>
  <c r="I198" i="3" s="1"/>
  <c r="K197" i="3"/>
  <c r="H197" i="3"/>
  <c r="F197" i="3"/>
  <c r="I197" i="3" s="1"/>
  <c r="N196" i="3"/>
  <c r="L196" i="3"/>
  <c r="K196" i="3"/>
  <c r="M196" i="3" s="1"/>
  <c r="J196" i="3"/>
  <c r="H196" i="3"/>
  <c r="F196" i="3"/>
  <c r="I196" i="3" s="1"/>
  <c r="K195" i="3"/>
  <c r="H195" i="3"/>
  <c r="F195" i="3"/>
  <c r="I195" i="3" s="1"/>
  <c r="K194" i="3"/>
  <c r="H194" i="3"/>
  <c r="F194" i="3"/>
  <c r="I194" i="3" s="1"/>
  <c r="N193" i="3"/>
  <c r="M193" i="3"/>
  <c r="L193" i="3"/>
  <c r="K193" i="3"/>
  <c r="H193" i="3"/>
  <c r="F193" i="3"/>
  <c r="I193" i="3" s="1"/>
  <c r="K192" i="3"/>
  <c r="H192" i="3"/>
  <c r="F192" i="3"/>
  <c r="I192" i="3" s="1"/>
  <c r="N191" i="3"/>
  <c r="N190" i="3"/>
  <c r="J190" i="3"/>
  <c r="N189" i="3"/>
  <c r="N188" i="3"/>
  <c r="N187" i="3"/>
  <c r="M186" i="3"/>
  <c r="K185" i="3"/>
  <c r="I185" i="3"/>
  <c r="H185" i="3"/>
  <c r="K184" i="3"/>
  <c r="H184" i="3"/>
  <c r="F184" i="3"/>
  <c r="I184" i="3" s="1"/>
  <c r="K183" i="3"/>
  <c r="H183" i="3"/>
  <c r="F183" i="3"/>
  <c r="I183" i="3" s="1"/>
  <c r="K182" i="3"/>
  <c r="H182" i="3"/>
  <c r="F182" i="3"/>
  <c r="I182" i="3" s="1"/>
  <c r="K181" i="3"/>
  <c r="H181" i="3"/>
  <c r="F181" i="3"/>
  <c r="I181" i="3" s="1"/>
  <c r="K180" i="3"/>
  <c r="M180" i="3" s="1"/>
  <c r="H180" i="3"/>
  <c r="F180" i="3"/>
  <c r="I180" i="3" s="1"/>
  <c r="K179" i="3"/>
  <c r="H179" i="3"/>
  <c r="F179" i="3"/>
  <c r="I179" i="3" s="1"/>
  <c r="K178" i="3"/>
  <c r="H178" i="3"/>
  <c r="F178" i="3"/>
  <c r="I178" i="3" s="1"/>
  <c r="L177" i="3"/>
  <c r="N177" i="3" s="1"/>
  <c r="K177" i="3"/>
  <c r="I177" i="3"/>
  <c r="H177" i="3"/>
  <c r="F177" i="3"/>
  <c r="K175" i="3"/>
  <c r="I175" i="3"/>
  <c r="H175" i="3"/>
  <c r="M175" i="3" s="1"/>
  <c r="F175" i="3"/>
  <c r="K174" i="3"/>
  <c r="H174" i="3"/>
  <c r="F174" i="3"/>
  <c r="I174" i="3" s="1"/>
  <c r="K173" i="3"/>
  <c r="H173" i="3"/>
  <c r="F173" i="3"/>
  <c r="I173" i="3" s="1"/>
  <c r="M172" i="3"/>
  <c r="K172" i="3"/>
  <c r="I172" i="3"/>
  <c r="J172" i="3" s="1"/>
  <c r="H172" i="3"/>
  <c r="F172" i="3"/>
  <c r="K171" i="3"/>
  <c r="H171" i="3"/>
  <c r="F171" i="3"/>
  <c r="I171" i="3" s="1"/>
  <c r="K170" i="3"/>
  <c r="H170" i="3"/>
  <c r="F170" i="3"/>
  <c r="I170" i="3" s="1"/>
  <c r="K168" i="3"/>
  <c r="M168" i="3" s="1"/>
  <c r="L167" i="3"/>
  <c r="N167" i="3" s="1"/>
  <c r="K167" i="3"/>
  <c r="M167" i="3" s="1"/>
  <c r="I167" i="3"/>
  <c r="H167" i="3"/>
  <c r="F167" i="3"/>
  <c r="K166" i="3"/>
  <c r="H166" i="3"/>
  <c r="F166" i="3"/>
  <c r="I166" i="3" s="1"/>
  <c r="K165" i="3"/>
  <c r="H165" i="3"/>
  <c r="F165" i="3"/>
  <c r="I165" i="3" s="1"/>
  <c r="N164" i="3"/>
  <c r="M164" i="3"/>
  <c r="K164" i="3"/>
  <c r="H164" i="3"/>
  <c r="F164" i="3"/>
  <c r="I164" i="3" s="1"/>
  <c r="L164" i="3" s="1"/>
  <c r="I162" i="3"/>
  <c r="L162" i="3" s="1"/>
  <c r="N162" i="3" s="1"/>
  <c r="H162" i="3"/>
  <c r="F162" i="3"/>
  <c r="N161" i="3"/>
  <c r="H161" i="3"/>
  <c r="F161" i="3"/>
  <c r="I161" i="3" s="1"/>
  <c r="L161" i="3" s="1"/>
  <c r="H160" i="3"/>
  <c r="F160" i="3"/>
  <c r="I160" i="3" s="1"/>
  <c r="L160" i="3" s="1"/>
  <c r="N160" i="3" s="1"/>
  <c r="I159" i="3"/>
  <c r="L159" i="3" s="1"/>
  <c r="N159" i="3" s="1"/>
  <c r="H159" i="3"/>
  <c r="F159" i="3"/>
  <c r="N158" i="3"/>
  <c r="L158" i="3"/>
  <c r="I158" i="3"/>
  <c r="H158" i="3"/>
  <c r="F158" i="3"/>
  <c r="N157" i="3"/>
  <c r="I155" i="3"/>
  <c r="L155" i="3" s="1"/>
  <c r="N155" i="3" s="1"/>
  <c r="F155" i="3"/>
  <c r="F154" i="3"/>
  <c r="I154" i="3" s="1"/>
  <c r="I153" i="3"/>
  <c r="L153" i="3" s="1"/>
  <c r="N153" i="3" s="1"/>
  <c r="F153" i="3"/>
  <c r="N152" i="3"/>
  <c r="J152" i="3"/>
  <c r="I152" i="3"/>
  <c r="L152" i="3" s="1"/>
  <c r="F152" i="3"/>
  <c r="F151" i="3"/>
  <c r="I151" i="3" s="1"/>
  <c r="L150" i="3"/>
  <c r="N150" i="3" s="1"/>
  <c r="J150" i="3"/>
  <c r="I150" i="3"/>
  <c r="I149" i="3"/>
  <c r="L149" i="3" s="1"/>
  <c r="N149" i="3" s="1"/>
  <c r="K148" i="3"/>
  <c r="M148" i="3" s="1"/>
  <c r="F148" i="3"/>
  <c r="I148" i="3" s="1"/>
  <c r="K147" i="3"/>
  <c r="F147" i="3"/>
  <c r="I147" i="3" s="1"/>
  <c r="K146" i="3"/>
  <c r="F146" i="3"/>
  <c r="I146" i="3" s="1"/>
  <c r="L145" i="3"/>
  <c r="N145" i="3" s="1"/>
  <c r="K145" i="3"/>
  <c r="I145" i="3"/>
  <c r="F145" i="3"/>
  <c r="K144" i="3"/>
  <c r="J144" i="3"/>
  <c r="I144" i="3"/>
  <c r="F144" i="3"/>
  <c r="K143" i="3"/>
  <c r="J143" i="3"/>
  <c r="I143" i="3"/>
  <c r="N142" i="3"/>
  <c r="N141" i="3"/>
  <c r="N140" i="3"/>
  <c r="L138" i="3"/>
  <c r="K138" i="3"/>
  <c r="M138" i="3" s="1"/>
  <c r="I138" i="3"/>
  <c r="L137" i="3"/>
  <c r="N137" i="3" s="1"/>
  <c r="K137" i="3"/>
  <c r="J137" i="3" s="1"/>
  <c r="I137" i="3"/>
  <c r="M136" i="3"/>
  <c r="L136" i="3"/>
  <c r="N136" i="3" s="1"/>
  <c r="K136" i="3"/>
  <c r="J136" i="3"/>
  <c r="I136" i="3"/>
  <c r="M135" i="3"/>
  <c r="K135" i="3"/>
  <c r="J135" i="3"/>
  <c r="I135" i="3"/>
  <c r="L135" i="3" s="1"/>
  <c r="N135" i="3" s="1"/>
  <c r="K134" i="3"/>
  <c r="I134" i="3"/>
  <c r="N133" i="3"/>
  <c r="M133" i="3"/>
  <c r="L133" i="3"/>
  <c r="K133" i="3"/>
  <c r="J133" i="3" s="1"/>
  <c r="I133" i="3"/>
  <c r="N132" i="3"/>
  <c r="K130" i="3"/>
  <c r="I130" i="3"/>
  <c r="M130" i="3" s="1"/>
  <c r="M129" i="3"/>
  <c r="K129" i="3"/>
  <c r="I129" i="3"/>
  <c r="K128" i="3"/>
  <c r="I128" i="3"/>
  <c r="J128" i="3" s="1"/>
  <c r="L127" i="3"/>
  <c r="N127" i="3" s="1"/>
  <c r="K127" i="3"/>
  <c r="J127" i="3" s="1"/>
  <c r="I127" i="3"/>
  <c r="N126" i="3"/>
  <c r="M124" i="3"/>
  <c r="L124" i="3"/>
  <c r="N124" i="3" s="1"/>
  <c r="K124" i="3"/>
  <c r="I124" i="3"/>
  <c r="J124" i="3" s="1"/>
  <c r="N123" i="3"/>
  <c r="M123" i="3"/>
  <c r="L123" i="3"/>
  <c r="K123" i="3"/>
  <c r="J123" i="3" s="1"/>
  <c r="I123" i="3"/>
  <c r="M122" i="3"/>
  <c r="L122" i="3"/>
  <c r="K122" i="3"/>
  <c r="J122" i="3" s="1"/>
  <c r="I122" i="3"/>
  <c r="K121" i="3"/>
  <c r="I121" i="3"/>
  <c r="K120" i="3"/>
  <c r="I120" i="3"/>
  <c r="K119" i="3"/>
  <c r="J119" i="3"/>
  <c r="I119" i="3"/>
  <c r="L118" i="3"/>
  <c r="N118" i="3" s="1"/>
  <c r="K118" i="3"/>
  <c r="J118" i="3" s="1"/>
  <c r="I118" i="3"/>
  <c r="L117" i="3"/>
  <c r="N117" i="3" s="1"/>
  <c r="K117" i="3"/>
  <c r="M117" i="3" s="1"/>
  <c r="J117" i="3"/>
  <c r="I117" i="3"/>
  <c r="N116" i="3"/>
  <c r="N115" i="3"/>
  <c r="L114" i="3"/>
  <c r="N114" i="3" s="1"/>
  <c r="K114" i="3"/>
  <c r="I114" i="3"/>
  <c r="K113" i="3"/>
  <c r="I113" i="3"/>
  <c r="J113" i="3" s="1"/>
  <c r="N112" i="3"/>
  <c r="M112" i="3"/>
  <c r="K112" i="3"/>
  <c r="I112" i="3"/>
  <c r="L112" i="3" s="1"/>
  <c r="K111" i="3"/>
  <c r="I111" i="3"/>
  <c r="J111" i="3" s="1"/>
  <c r="K110" i="3"/>
  <c r="I110" i="3"/>
  <c r="K109" i="3"/>
  <c r="I109" i="3"/>
  <c r="N108" i="3"/>
  <c r="L108" i="3"/>
  <c r="N107" i="3"/>
  <c r="L107" i="3"/>
  <c r="K106" i="3"/>
  <c r="I106" i="3"/>
  <c r="K105" i="3"/>
  <c r="I105" i="3"/>
  <c r="M105" i="3" s="1"/>
  <c r="N104" i="3"/>
  <c r="M104" i="3"/>
  <c r="L104" i="3"/>
  <c r="K104" i="3"/>
  <c r="J104" i="3" s="1"/>
  <c r="I104" i="3"/>
  <c r="K103" i="3"/>
  <c r="J103" i="3" s="1"/>
  <c r="I103" i="3"/>
  <c r="K102" i="3"/>
  <c r="I102" i="3"/>
  <c r="K101" i="3"/>
  <c r="I101" i="3"/>
  <c r="K100" i="3"/>
  <c r="I100" i="3"/>
  <c r="M99" i="3"/>
  <c r="L99" i="3"/>
  <c r="N99" i="3" s="1"/>
  <c r="K99" i="3"/>
  <c r="I99" i="3"/>
  <c r="J99" i="3" s="1"/>
  <c r="K98" i="3"/>
  <c r="J98" i="3"/>
  <c r="I98" i="3"/>
  <c r="N97" i="3"/>
  <c r="M97" i="3"/>
  <c r="L97" i="3"/>
  <c r="K97" i="3"/>
  <c r="J97" i="3" s="1"/>
  <c r="I97" i="3"/>
  <c r="L96" i="3"/>
  <c r="N96" i="3" s="1"/>
  <c r="K96" i="3"/>
  <c r="M96" i="3" s="1"/>
  <c r="I96" i="3"/>
  <c r="J96" i="3" s="1"/>
  <c r="K95" i="3"/>
  <c r="J95" i="3" s="1"/>
  <c r="I95" i="3"/>
  <c r="K94" i="3"/>
  <c r="I94" i="3"/>
  <c r="K93" i="3"/>
  <c r="I93" i="3"/>
  <c r="N92" i="3"/>
  <c r="M92" i="3"/>
  <c r="L92" i="3"/>
  <c r="K92" i="3"/>
  <c r="J92" i="3"/>
  <c r="I92" i="3"/>
  <c r="L91" i="3"/>
  <c r="N91" i="3" s="1"/>
  <c r="K91" i="3"/>
  <c r="J91" i="3"/>
  <c r="I91" i="3"/>
  <c r="K90" i="3"/>
  <c r="I90" i="3"/>
  <c r="L90" i="3" s="1"/>
  <c r="N90" i="3" s="1"/>
  <c r="M89" i="3"/>
  <c r="K89" i="3"/>
  <c r="I89" i="3"/>
  <c r="L89" i="3" s="1"/>
  <c r="N89" i="3" s="1"/>
  <c r="M88" i="3"/>
  <c r="L88" i="3"/>
  <c r="N88" i="3" s="1"/>
  <c r="K88" i="3"/>
  <c r="I88" i="3"/>
  <c r="J88" i="3" s="1"/>
  <c r="N87" i="3"/>
  <c r="L87" i="3"/>
  <c r="K87" i="3"/>
  <c r="I87" i="3"/>
  <c r="K86" i="3"/>
  <c r="I86" i="3"/>
  <c r="M85" i="3"/>
  <c r="L85" i="3"/>
  <c r="N85" i="3" s="1"/>
  <c r="K85" i="3"/>
  <c r="J85" i="3"/>
  <c r="I85" i="3"/>
  <c r="M84" i="3"/>
  <c r="L84" i="3"/>
  <c r="N84" i="3" s="1"/>
  <c r="K84" i="3"/>
  <c r="J84" i="3"/>
  <c r="I84" i="3"/>
  <c r="N83" i="3"/>
  <c r="N82" i="3"/>
  <c r="N81" i="3"/>
  <c r="N80" i="3"/>
  <c r="K79" i="3"/>
  <c r="I79" i="3"/>
  <c r="M78" i="3"/>
  <c r="L78" i="3"/>
  <c r="N78" i="3" s="1"/>
  <c r="K78" i="3"/>
  <c r="I78" i="3"/>
  <c r="J78" i="3" s="1"/>
  <c r="K77" i="3"/>
  <c r="I77" i="3"/>
  <c r="N76" i="3"/>
  <c r="M76" i="3"/>
  <c r="L76" i="3"/>
  <c r="K76" i="3"/>
  <c r="I76" i="3"/>
  <c r="J76" i="3" s="1"/>
  <c r="K75" i="3"/>
  <c r="I75" i="3"/>
  <c r="N74" i="3"/>
  <c r="M74" i="3"/>
  <c r="L74" i="3"/>
  <c r="K74" i="3"/>
  <c r="J74" i="3"/>
  <c r="I74" i="3"/>
  <c r="M73" i="3"/>
  <c r="L73" i="3"/>
  <c r="N73" i="3" s="1"/>
  <c r="K73" i="3"/>
  <c r="J73" i="3" s="1"/>
  <c r="I73" i="3"/>
  <c r="K72" i="3"/>
  <c r="I72" i="3"/>
  <c r="M71" i="3"/>
  <c r="L71" i="3"/>
  <c r="N71" i="3" s="1"/>
  <c r="K71" i="3"/>
  <c r="I71" i="3"/>
  <c r="J71" i="3" s="1"/>
  <c r="K70" i="3"/>
  <c r="J70" i="3"/>
  <c r="I70" i="3"/>
  <c r="L69" i="3"/>
  <c r="N69" i="3" s="1"/>
  <c r="K69" i="3"/>
  <c r="J69" i="3" s="1"/>
  <c r="I69" i="3"/>
  <c r="K68" i="3"/>
  <c r="J68" i="3"/>
  <c r="I68" i="3"/>
  <c r="M67" i="3"/>
  <c r="K67" i="3"/>
  <c r="I67" i="3"/>
  <c r="L67" i="3" s="1"/>
  <c r="N67" i="3" s="1"/>
  <c r="L66" i="3"/>
  <c r="N66" i="3" s="1"/>
  <c r="K66" i="3"/>
  <c r="M66" i="3" s="1"/>
  <c r="J66" i="3"/>
  <c r="I66" i="3"/>
  <c r="L65" i="3"/>
  <c r="N65" i="3" s="1"/>
  <c r="K65" i="3"/>
  <c r="I65" i="3"/>
  <c r="N64" i="3"/>
  <c r="L64" i="3"/>
  <c r="K64" i="3"/>
  <c r="J64" i="3" s="1"/>
  <c r="I64" i="3"/>
  <c r="K63" i="3"/>
  <c r="I63" i="3"/>
  <c r="J63" i="3" s="1"/>
  <c r="L62" i="3"/>
  <c r="N62" i="3" s="1"/>
  <c r="K62" i="3"/>
  <c r="M62" i="3" s="1"/>
  <c r="I62" i="3"/>
  <c r="J62" i="3" s="1"/>
  <c r="M61" i="3"/>
  <c r="L61" i="3"/>
  <c r="N61" i="3" s="1"/>
  <c r="K61" i="3"/>
  <c r="I61" i="3"/>
  <c r="K60" i="3"/>
  <c r="I60" i="3"/>
  <c r="M60" i="3" s="1"/>
  <c r="K59" i="3"/>
  <c r="J59" i="3"/>
  <c r="I59" i="3"/>
  <c r="U58" i="3"/>
  <c r="L58" i="3"/>
  <c r="N58" i="3" s="1"/>
  <c r="K58" i="3"/>
  <c r="M58" i="3" s="1"/>
  <c r="J58" i="3"/>
  <c r="I58" i="3"/>
  <c r="K57" i="3"/>
  <c r="J57" i="3"/>
  <c r="I57" i="3"/>
  <c r="N56" i="3"/>
  <c r="M56" i="3"/>
  <c r="L56" i="3"/>
  <c r="K56" i="3"/>
  <c r="I56" i="3"/>
  <c r="J56" i="3" s="1"/>
  <c r="L55" i="3"/>
  <c r="N55" i="3" s="1"/>
  <c r="K55" i="3"/>
  <c r="M55" i="3" s="1"/>
  <c r="J55" i="3"/>
  <c r="I55" i="3"/>
  <c r="N54" i="3"/>
  <c r="I54" i="3"/>
  <c r="J54" i="3" s="1"/>
  <c r="N53" i="3"/>
  <c r="N52" i="3"/>
  <c r="N51" i="3"/>
  <c r="L50" i="3"/>
  <c r="N50" i="3" s="1"/>
  <c r="K50" i="3"/>
  <c r="J50" i="3" s="1"/>
  <c r="I50" i="3"/>
  <c r="K49" i="3"/>
  <c r="I49" i="3"/>
  <c r="M48" i="3"/>
  <c r="L48" i="3"/>
  <c r="N48" i="3" s="1"/>
  <c r="K48" i="3"/>
  <c r="J48" i="3"/>
  <c r="I48" i="3"/>
  <c r="M47" i="3"/>
  <c r="L47" i="3"/>
  <c r="N47" i="3" s="1"/>
  <c r="K47" i="3"/>
  <c r="J47" i="3"/>
  <c r="I47" i="3"/>
  <c r="M46" i="3"/>
  <c r="L46" i="3"/>
  <c r="N46" i="3" s="1"/>
  <c r="K46" i="3"/>
  <c r="I46" i="3"/>
  <c r="J46" i="3" s="1"/>
  <c r="L45" i="3"/>
  <c r="N45" i="3" s="1"/>
  <c r="K45" i="3"/>
  <c r="M45" i="3" s="1"/>
  <c r="J45" i="3"/>
  <c r="I45" i="3"/>
  <c r="K44" i="3"/>
  <c r="I44" i="3"/>
  <c r="J44" i="3" s="1"/>
  <c r="L43" i="3"/>
  <c r="N43" i="3" s="1"/>
  <c r="K43" i="3"/>
  <c r="M43" i="3" s="1"/>
  <c r="I43" i="3"/>
  <c r="J43" i="3" s="1"/>
  <c r="K42" i="3"/>
  <c r="J42" i="3"/>
  <c r="I42" i="3"/>
  <c r="K41" i="3"/>
  <c r="I41" i="3"/>
  <c r="K40" i="3"/>
  <c r="I40" i="3"/>
  <c r="N39" i="3"/>
  <c r="N38" i="3"/>
  <c r="N37" i="3"/>
  <c r="N36" i="3"/>
  <c r="N35" i="3"/>
  <c r="N34" i="3"/>
  <c r="N33" i="3"/>
  <c r="N32" i="3"/>
  <c r="N31" i="3"/>
  <c r="L31" i="3"/>
  <c r="K31" i="3"/>
  <c r="I31" i="3"/>
  <c r="K30" i="3"/>
  <c r="I30" i="3"/>
  <c r="M30" i="3" s="1"/>
  <c r="K29" i="3"/>
  <c r="F29" i="3"/>
  <c r="I29" i="3" s="1"/>
  <c r="N28" i="3"/>
  <c r="M27" i="3"/>
  <c r="L27" i="3"/>
  <c r="N27" i="3" s="1"/>
  <c r="J27" i="3"/>
  <c r="I27" i="3"/>
  <c r="I26" i="3"/>
  <c r="M26" i="3" s="1"/>
  <c r="I25" i="3"/>
  <c r="M25" i="3" s="1"/>
  <c r="N24" i="3"/>
  <c r="M24" i="3"/>
  <c r="L24" i="3"/>
  <c r="J24" i="3"/>
  <c r="I24" i="3"/>
  <c r="M23" i="3"/>
  <c r="L23" i="3"/>
  <c r="N23" i="3" s="1"/>
  <c r="J23" i="3"/>
  <c r="I23" i="3"/>
  <c r="I22" i="3"/>
  <c r="M22" i="3" s="1"/>
  <c r="M21" i="3"/>
  <c r="L21" i="3"/>
  <c r="N21" i="3" s="1"/>
  <c r="J21" i="3"/>
  <c r="I21" i="3"/>
  <c r="M20" i="3"/>
  <c r="L20" i="3"/>
  <c r="N20" i="3" s="1"/>
  <c r="J20" i="3"/>
  <c r="I20" i="3"/>
  <c r="M19" i="3"/>
  <c r="L19" i="3"/>
  <c r="N19" i="3" s="1"/>
  <c r="J19" i="3"/>
  <c r="I19" i="3"/>
  <c r="M18" i="3"/>
  <c r="I18" i="3"/>
  <c r="L18" i="3" s="1"/>
  <c r="N18" i="3" s="1"/>
  <c r="I17" i="3"/>
  <c r="M17" i="3" s="1"/>
  <c r="M16" i="3"/>
  <c r="L16" i="3"/>
  <c r="N16" i="3" s="1"/>
  <c r="J16" i="3"/>
  <c r="I16" i="3"/>
  <c r="M15" i="3"/>
  <c r="L15" i="3"/>
  <c r="N15" i="3" s="1"/>
  <c r="J15" i="3"/>
  <c r="I15" i="3"/>
  <c r="N14" i="3"/>
  <c r="M14" i="3"/>
  <c r="L14" i="3"/>
  <c r="J14" i="3"/>
  <c r="I14" i="3"/>
  <c r="I13" i="3"/>
  <c r="M12" i="3"/>
  <c r="L12" i="3"/>
  <c r="N12" i="3" s="1"/>
  <c r="J12" i="3"/>
  <c r="I12" i="3"/>
  <c r="M11" i="3"/>
  <c r="L11" i="3"/>
  <c r="N11" i="3" s="1"/>
  <c r="J11" i="3"/>
  <c r="I11" i="3"/>
  <c r="M10" i="3"/>
  <c r="L10" i="3"/>
  <c r="N10" i="3" s="1"/>
  <c r="J10" i="3"/>
  <c r="I10" i="3"/>
  <c r="I9" i="3"/>
  <c r="J9" i="3" s="1"/>
  <c r="N8" i="3"/>
  <c r="M8" i="3"/>
  <c r="L8" i="3"/>
  <c r="J8" i="3"/>
  <c r="I8" i="3"/>
  <c r="M7" i="3"/>
  <c r="L7" i="3"/>
  <c r="N7" i="3" s="1"/>
  <c r="J7" i="3"/>
  <c r="I7" i="3"/>
  <c r="M6" i="3"/>
  <c r="L6" i="3"/>
  <c r="N6" i="3" s="1"/>
  <c r="J6" i="3"/>
  <c r="I6" i="3"/>
  <c r="I5" i="3"/>
  <c r="H5" i="3"/>
  <c r="M4" i="3"/>
  <c r="L4" i="3"/>
  <c r="N4" i="3" s="1"/>
  <c r="J4" i="3"/>
  <c r="I4" i="3"/>
  <c r="H4" i="3"/>
  <c r="K3" i="3"/>
  <c r="I3" i="3"/>
  <c r="D57" i="2"/>
  <c r="D56" i="2"/>
  <c r="B44" i="2"/>
  <c r="B43" i="2"/>
  <c r="D38" i="2"/>
  <c r="B37" i="2"/>
  <c r="D37" i="2" s="1"/>
  <c r="D36" i="2"/>
  <c r="B34" i="2"/>
  <c r="B33" i="2"/>
  <c r="D32" i="2"/>
  <c r="D31" i="2"/>
  <c r="C29" i="2"/>
  <c r="B28" i="2"/>
  <c r="B27" i="2"/>
  <c r="D23" i="2"/>
  <c r="D22" i="2"/>
  <c r="B15" i="2"/>
  <c r="B14" i="2"/>
  <c r="B13" i="2"/>
  <c r="D11" i="2"/>
  <c r="D8" i="2"/>
  <c r="D7" i="2"/>
  <c r="D6" i="2"/>
  <c r="D5" i="2"/>
  <c r="D4" i="2"/>
  <c r="D3" i="2"/>
  <c r="B61" i="1"/>
  <c r="D50" i="1"/>
  <c r="D49" i="1"/>
  <c r="B34" i="1"/>
  <c r="B33" i="1"/>
  <c r="B31" i="1"/>
  <c r="D31" i="1" s="1"/>
  <c r="D29" i="1"/>
  <c r="B29" i="1"/>
  <c r="D28" i="1"/>
  <c r="B28" i="1"/>
  <c r="B27" i="1"/>
  <c r="D23" i="1"/>
  <c r="D22" i="1"/>
  <c r="D11" i="1"/>
  <c r="D8" i="1"/>
  <c r="D7" i="1"/>
  <c r="D6" i="1"/>
  <c r="D5" i="1"/>
  <c r="D4" i="1"/>
  <c r="D3" i="1"/>
  <c r="J68" i="22" l="1"/>
  <c r="L68" i="22"/>
  <c r="N68" i="22" s="1"/>
  <c r="J69" i="22"/>
  <c r="J66" i="22"/>
  <c r="L66" i="22"/>
  <c r="N66" i="22" s="1"/>
  <c r="J65" i="22"/>
  <c r="L65" i="22"/>
  <c r="N65" i="22" s="1"/>
  <c r="L69" i="22"/>
  <c r="N69" i="22" s="1"/>
  <c r="J70" i="22"/>
  <c r="J67" i="22"/>
  <c r="L70" i="22"/>
  <c r="N70" i="22" s="1"/>
  <c r="J62" i="22"/>
  <c r="J59" i="22"/>
  <c r="L62" i="22"/>
  <c r="N62" i="22" s="1"/>
  <c r="J56" i="22"/>
  <c r="L59" i="22"/>
  <c r="N59" i="22" s="1"/>
  <c r="L56" i="22"/>
  <c r="N56" i="22" s="1"/>
  <c r="J63" i="22"/>
  <c r="J60" i="22"/>
  <c r="L63" i="22"/>
  <c r="N63" i="22" s="1"/>
  <c r="J57" i="22"/>
  <c r="L60" i="22"/>
  <c r="N60" i="22" s="1"/>
  <c r="L57" i="22"/>
  <c r="N57" i="22" s="1"/>
  <c r="M44" i="22"/>
  <c r="L44" i="22"/>
  <c r="N44" i="22" s="1"/>
  <c r="J44" i="22"/>
  <c r="J46" i="22"/>
  <c r="J38" i="22"/>
  <c r="J42" i="22"/>
  <c r="L38" i="22"/>
  <c r="N38" i="22" s="1"/>
  <c r="L42" i="22"/>
  <c r="N42" i="22" s="1"/>
  <c r="L46" i="22"/>
  <c r="N46" i="22" s="1"/>
  <c r="J39" i="22"/>
  <c r="L39" i="22"/>
  <c r="N39" i="22" s="1"/>
  <c r="J36" i="22"/>
  <c r="J40" i="22"/>
  <c r="L36" i="22"/>
  <c r="N36" i="22" s="1"/>
  <c r="L40" i="22"/>
  <c r="N40" i="22" s="1"/>
  <c r="M74" i="22"/>
  <c r="J74" i="22"/>
  <c r="L74" i="22"/>
  <c r="N74" i="22" s="1"/>
  <c r="M77" i="22"/>
  <c r="L77" i="22"/>
  <c r="N77" i="22" s="1"/>
  <c r="J77" i="22"/>
  <c r="M72" i="22"/>
  <c r="J72" i="22"/>
  <c r="L72" i="22"/>
  <c r="L76" i="22"/>
  <c r="N76" i="22" s="1"/>
  <c r="M33" i="22"/>
  <c r="L33" i="22"/>
  <c r="N33" i="22" s="1"/>
  <c r="J33" i="22"/>
  <c r="J29" i="22"/>
  <c r="J73" i="22"/>
  <c r="M73" i="22"/>
  <c r="L73" i="22"/>
  <c r="N73" i="22" s="1"/>
  <c r="L3" i="22"/>
  <c r="N3" i="22" s="1"/>
  <c r="O3" i="22" s="1"/>
  <c r="M76" i="22"/>
  <c r="L29" i="22"/>
  <c r="N29" i="22" s="1"/>
  <c r="M3" i="22"/>
  <c r="J28" i="22"/>
  <c r="L75" i="22"/>
  <c r="N75" i="22" s="1"/>
  <c r="M75" i="22"/>
  <c r="J75" i="22"/>
  <c r="L34" i="22"/>
  <c r="N34" i="22" s="1"/>
  <c r="J30" i="22"/>
  <c r="J27" i="22"/>
  <c r="L30" i="22"/>
  <c r="N30" i="22" s="1"/>
  <c r="L27" i="22"/>
  <c r="N27" i="22" s="1"/>
  <c r="J34" i="22"/>
  <c r="M29" i="3"/>
  <c r="L29" i="3"/>
  <c r="N29" i="3" s="1"/>
  <c r="J29" i="3"/>
  <c r="L151" i="3"/>
  <c r="J151" i="3"/>
  <c r="M146" i="3"/>
  <c r="L146" i="3"/>
  <c r="N146" i="3" s="1"/>
  <c r="J146" i="3"/>
  <c r="M194" i="3"/>
  <c r="L194" i="3"/>
  <c r="N194" i="3" s="1"/>
  <c r="J194" i="3"/>
  <c r="L165" i="3"/>
  <c r="N165" i="3" s="1"/>
  <c r="M165" i="3"/>
  <c r="M179" i="3"/>
  <c r="L179" i="3"/>
  <c r="N179" i="3" s="1"/>
  <c r="J179" i="3"/>
  <c r="C37" i="15"/>
  <c r="C36" i="15"/>
  <c r="C38" i="15"/>
  <c r="L125" i="3"/>
  <c r="N125" i="3" s="1"/>
  <c r="N122" i="3"/>
  <c r="M53" i="6"/>
  <c r="L53" i="6"/>
  <c r="N53" i="6" s="1"/>
  <c r="B30" i="2"/>
  <c r="D30" i="2" s="1"/>
  <c r="L170" i="3"/>
  <c r="M170" i="3"/>
  <c r="L175" i="3"/>
  <c r="N175" i="3" s="1"/>
  <c r="J53" i="6"/>
  <c r="M50" i="3"/>
  <c r="M48" i="6"/>
  <c r="L48" i="6"/>
  <c r="N48" i="6" s="1"/>
  <c r="J48" i="6"/>
  <c r="B32" i="18"/>
  <c r="B34" i="18" s="1"/>
  <c r="B35" i="18" s="1"/>
  <c r="D26" i="18"/>
  <c r="M70" i="3"/>
  <c r="L70" i="3"/>
  <c r="N70" i="3" s="1"/>
  <c r="J138" i="3"/>
  <c r="L154" i="3"/>
  <c r="N154" i="3" s="1"/>
  <c r="J154" i="3"/>
  <c r="J170" i="3"/>
  <c r="D32" i="15"/>
  <c r="D33" i="15" s="1"/>
  <c r="D35" i="15" s="1"/>
  <c r="J57" i="4"/>
  <c r="M57" i="4"/>
  <c r="B44" i="1"/>
  <c r="D34" i="1"/>
  <c r="B39" i="1" s="1"/>
  <c r="D39" i="1" s="1"/>
  <c r="B47" i="1" s="1"/>
  <c r="J39" i="4"/>
  <c r="M39" i="4"/>
  <c r="J50" i="7"/>
  <c r="L50" i="7"/>
  <c r="N50" i="7" s="1"/>
  <c r="M50" i="7"/>
  <c r="M171" i="3"/>
  <c r="L171" i="3"/>
  <c r="N171" i="3" s="1"/>
  <c r="J171" i="3"/>
  <c r="J40" i="3"/>
  <c r="M40" i="3"/>
  <c r="D27" i="2"/>
  <c r="B40" i="2"/>
  <c r="B42" i="2"/>
  <c r="B29" i="2"/>
  <c r="D29" i="2" s="1"/>
  <c r="M8" i="6"/>
  <c r="L8" i="6"/>
  <c r="N8" i="6" s="1"/>
  <c r="J8" i="6"/>
  <c r="B36" i="12"/>
  <c r="B34" i="12"/>
  <c r="M77" i="4"/>
  <c r="L77" i="4"/>
  <c r="N77" i="4" s="1"/>
  <c r="J55" i="5"/>
  <c r="M55" i="5"/>
  <c r="L55" i="5"/>
  <c r="N55" i="5" s="1"/>
  <c r="M60" i="5"/>
  <c r="L60" i="5"/>
  <c r="N60" i="5" s="1"/>
  <c r="M113" i="3"/>
  <c r="L113" i="3"/>
  <c r="N113" i="3" s="1"/>
  <c r="J77" i="4"/>
  <c r="M21" i="4"/>
  <c r="L21" i="4"/>
  <c r="N21" i="4" s="1"/>
  <c r="J34" i="4"/>
  <c r="M34" i="4"/>
  <c r="M101" i="3"/>
  <c r="L101" i="3"/>
  <c r="N101" i="3" s="1"/>
  <c r="B85" i="12"/>
  <c r="B86" i="12" s="1"/>
  <c r="M3" i="3"/>
  <c r="L3" i="3"/>
  <c r="N3" i="3" s="1"/>
  <c r="O3" i="3" s="1"/>
  <c r="J101" i="3"/>
  <c r="L139" i="3"/>
  <c r="N139" i="3" s="1"/>
  <c r="N138" i="3"/>
  <c r="M70" i="4"/>
  <c r="L51" i="5"/>
  <c r="N51" i="5" s="1"/>
  <c r="J51" i="5"/>
  <c r="J3" i="3"/>
  <c r="M183" i="3"/>
  <c r="L183" i="3"/>
  <c r="N183" i="3" s="1"/>
  <c r="J183" i="3"/>
  <c r="M16" i="4"/>
  <c r="L16" i="4"/>
  <c r="N16" i="4" s="1"/>
  <c r="J16" i="4"/>
  <c r="L70" i="4"/>
  <c r="N70" i="4" s="1"/>
  <c r="L39" i="5"/>
  <c r="N39" i="5" s="1"/>
  <c r="M39" i="5"/>
  <c r="L58" i="5"/>
  <c r="N58" i="5" s="1"/>
  <c r="M58" i="5"/>
  <c r="J58" i="5"/>
  <c r="J52" i="7"/>
  <c r="L52" i="7"/>
  <c r="N52" i="7" s="1"/>
  <c r="L40" i="3"/>
  <c r="N40" i="3" s="1"/>
  <c r="J65" i="3"/>
  <c r="M65" i="3"/>
  <c r="M110" i="3"/>
  <c r="L110" i="3"/>
  <c r="N110" i="3" s="1"/>
  <c r="J110" i="3"/>
  <c r="M197" i="3"/>
  <c r="J197" i="3"/>
  <c r="J39" i="5"/>
  <c r="B81" i="1"/>
  <c r="B36" i="1"/>
  <c r="L163" i="3"/>
  <c r="N163" i="3" s="1"/>
  <c r="D33" i="1"/>
  <c r="M119" i="3"/>
  <c r="L119" i="3"/>
  <c r="N119" i="3" s="1"/>
  <c r="L197" i="3"/>
  <c r="N197" i="3" s="1"/>
  <c r="L34" i="5"/>
  <c r="N34" i="5" s="1"/>
  <c r="M53" i="7"/>
  <c r="L53" i="7"/>
  <c r="N53" i="7" s="1"/>
  <c r="J53" i="7"/>
  <c r="D27" i="12"/>
  <c r="M198" i="3"/>
  <c r="L198" i="3"/>
  <c r="N198" i="3" s="1"/>
  <c r="J198" i="3"/>
  <c r="M18" i="4"/>
  <c r="L18" i="4"/>
  <c r="N18" i="4" s="1"/>
  <c r="J18" i="4"/>
  <c r="M51" i="4"/>
  <c r="J51" i="4"/>
  <c r="M34" i="5"/>
  <c r="M51" i="6"/>
  <c r="L51" i="6"/>
  <c r="N51" i="6" s="1"/>
  <c r="J51" i="6"/>
  <c r="L48" i="7"/>
  <c r="N48" i="7" s="1"/>
  <c r="J48" i="7"/>
  <c r="M48" i="7"/>
  <c r="B9" i="11"/>
  <c r="M86" i="3"/>
  <c r="Q85" i="3" s="1"/>
  <c r="L86" i="3"/>
  <c r="N86" i="3" s="1"/>
  <c r="J86" i="3"/>
  <c r="M121" i="3"/>
  <c r="L121" i="3"/>
  <c r="N121" i="3" s="1"/>
  <c r="M134" i="3"/>
  <c r="L134" i="3"/>
  <c r="N134" i="3" s="1"/>
  <c r="M181" i="3"/>
  <c r="L181" i="3"/>
  <c r="N181" i="3" s="1"/>
  <c r="J181" i="3"/>
  <c r="J17" i="3"/>
  <c r="M79" i="3"/>
  <c r="L79" i="3"/>
  <c r="N79" i="3" s="1"/>
  <c r="J121" i="3"/>
  <c r="J134" i="3"/>
  <c r="L49" i="7"/>
  <c r="N49" i="7" s="1"/>
  <c r="J49" i="7"/>
  <c r="B94" i="12"/>
  <c r="B101" i="12" s="1"/>
  <c r="D101" i="12" s="1"/>
  <c r="B92" i="12"/>
  <c r="E3" i="8"/>
  <c r="C3" i="8"/>
  <c r="B32" i="1"/>
  <c r="L17" i="3"/>
  <c r="N17" i="3" s="1"/>
  <c r="J30" i="3"/>
  <c r="J79" i="3"/>
  <c r="M109" i="3"/>
  <c r="L109" i="3"/>
  <c r="N109" i="3" s="1"/>
  <c r="M177" i="3"/>
  <c r="L195" i="3"/>
  <c r="N195" i="3" s="1"/>
  <c r="J195" i="3"/>
  <c r="M195" i="3"/>
  <c r="M29" i="7"/>
  <c r="L29" i="7"/>
  <c r="N29" i="7" s="1"/>
  <c r="B63" i="1"/>
  <c r="B64" i="1" s="1"/>
  <c r="B65" i="1" s="1"/>
  <c r="D3" i="8"/>
  <c r="B3" i="8"/>
  <c r="M69" i="3"/>
  <c r="J87" i="3"/>
  <c r="M87" i="3"/>
  <c r="J109" i="3"/>
  <c r="L128" i="3"/>
  <c r="J153" i="3"/>
  <c r="J177" i="3"/>
  <c r="M182" i="3"/>
  <c r="L182" i="3"/>
  <c r="N182" i="3" s="1"/>
  <c r="J182" i="3"/>
  <c r="J9" i="5"/>
  <c r="M50" i="6"/>
  <c r="J29" i="7"/>
  <c r="D8" i="14"/>
  <c r="B32" i="17"/>
  <c r="B34" i="17" s="1"/>
  <c r="B30" i="17"/>
  <c r="E34" i="17" s="1"/>
  <c r="L30" i="3"/>
  <c r="N30" i="3" s="1"/>
  <c r="M59" i="3"/>
  <c r="L59" i="3"/>
  <c r="N59" i="3" s="1"/>
  <c r="M98" i="3"/>
  <c r="L98" i="3"/>
  <c r="N98" i="3" s="1"/>
  <c r="M128" i="3"/>
  <c r="L172" i="3"/>
  <c r="N172" i="3" s="1"/>
  <c r="J40" i="4"/>
  <c r="L9" i="5"/>
  <c r="N9" i="5" s="1"/>
  <c r="M49" i="7"/>
  <c r="M75" i="3"/>
  <c r="J75" i="3"/>
  <c r="M93" i="3"/>
  <c r="L93" i="3"/>
  <c r="N93" i="3" s="1"/>
  <c r="M125" i="3"/>
  <c r="L26" i="6"/>
  <c r="N26" i="6" s="1"/>
  <c r="J26" i="6"/>
  <c r="J93" i="3"/>
  <c r="J173" i="3"/>
  <c r="M173" i="3"/>
  <c r="L173" i="3"/>
  <c r="N173" i="3" s="1"/>
  <c r="M192" i="3"/>
  <c r="L192" i="3"/>
  <c r="N192" i="3" s="1"/>
  <c r="J192" i="3"/>
  <c r="M200" i="3"/>
  <c r="J200" i="3"/>
  <c r="M31" i="4"/>
  <c r="L31" i="4"/>
  <c r="N31" i="4" s="1"/>
  <c r="J31" i="4"/>
  <c r="B27" i="9"/>
  <c r="B6" i="19"/>
  <c r="C17" i="19" s="1"/>
  <c r="J25" i="3"/>
  <c r="L75" i="3"/>
  <c r="N75" i="3" s="1"/>
  <c r="J13" i="4"/>
  <c r="M54" i="4"/>
  <c r="L54" i="4"/>
  <c r="N54" i="4" s="1"/>
  <c r="J54" i="4"/>
  <c r="M4" i="5"/>
  <c r="L4" i="5"/>
  <c r="N4" i="5" s="1"/>
  <c r="M26" i="6"/>
  <c r="L25" i="3"/>
  <c r="N25" i="3" s="1"/>
  <c r="L76" i="4"/>
  <c r="N76" i="4" s="1"/>
  <c r="M76" i="4"/>
  <c r="J76" i="4"/>
  <c r="J4" i="5"/>
  <c r="L26" i="5"/>
  <c r="N26" i="5" s="1"/>
  <c r="M26" i="5"/>
  <c r="M13" i="6"/>
  <c r="L13" i="6"/>
  <c r="N13" i="6" s="1"/>
  <c r="B43" i="1"/>
  <c r="B52" i="1" s="1"/>
  <c r="D52" i="1" s="1"/>
  <c r="J149" i="3"/>
  <c r="J155" i="3"/>
  <c r="L13" i="4"/>
  <c r="N13" i="4" s="1"/>
  <c r="N72" i="4"/>
  <c r="J26" i="5"/>
  <c r="M27" i="6"/>
  <c r="J27" i="6"/>
  <c r="L27" i="6"/>
  <c r="N27" i="6" s="1"/>
  <c r="J12" i="7"/>
  <c r="M12" i="7"/>
  <c r="M51" i="7"/>
  <c r="L51" i="7"/>
  <c r="N51" i="7" s="1"/>
  <c r="J51" i="7"/>
  <c r="J105" i="3"/>
  <c r="J130" i="3"/>
  <c r="L174" i="3"/>
  <c r="N174" i="3" s="1"/>
  <c r="M174" i="3"/>
  <c r="J174" i="3"/>
  <c r="M69" i="4"/>
  <c r="J13" i="5"/>
  <c r="J59" i="5"/>
  <c r="M59" i="5"/>
  <c r="L59" i="5"/>
  <c r="N59" i="5" s="1"/>
  <c r="N46" i="6"/>
  <c r="M52" i="6"/>
  <c r="L52" i="6"/>
  <c r="N52" i="6" s="1"/>
  <c r="J52" i="6"/>
  <c r="M32" i="7"/>
  <c r="L32" i="7"/>
  <c r="N32" i="7" s="1"/>
  <c r="J32" i="7"/>
  <c r="M100" i="3"/>
  <c r="J100" i="3"/>
  <c r="J3" i="4"/>
  <c r="L20" i="4"/>
  <c r="N20" i="4" s="1"/>
  <c r="J38" i="5"/>
  <c r="L7" i="6"/>
  <c r="N7" i="6" s="1"/>
  <c r="L12" i="7"/>
  <c r="N12" i="7" s="1"/>
  <c r="E7" i="15"/>
  <c r="E6" i="15" s="1"/>
  <c r="E12" i="15"/>
  <c r="L200" i="3"/>
  <c r="N200" i="3" s="1"/>
  <c r="L105" i="3"/>
  <c r="N105" i="3" s="1"/>
  <c r="M118" i="3"/>
  <c r="L130" i="3"/>
  <c r="N130" i="3" s="1"/>
  <c r="M20" i="4"/>
  <c r="M55" i="4"/>
  <c r="L69" i="4"/>
  <c r="N69" i="4" s="1"/>
  <c r="M73" i="4"/>
  <c r="L13" i="5"/>
  <c r="N13" i="5" s="1"/>
  <c r="J33" i="5"/>
  <c r="M7" i="6"/>
  <c r="L33" i="7"/>
  <c r="N33" i="7" s="1"/>
  <c r="J33" i="7"/>
  <c r="F7" i="15"/>
  <c r="F6" i="15" s="1"/>
  <c r="F12" i="15"/>
  <c r="M9" i="3"/>
  <c r="L9" i="3"/>
  <c r="N9" i="3" s="1"/>
  <c r="J13" i="6"/>
  <c r="M44" i="3"/>
  <c r="L44" i="3"/>
  <c r="N44" i="3" s="1"/>
  <c r="B30" i="1"/>
  <c r="D30" i="1" s="1"/>
  <c r="M72" i="3"/>
  <c r="Q71" i="3" s="1"/>
  <c r="L72" i="3"/>
  <c r="N72" i="3" s="1"/>
  <c r="J72" i="3"/>
  <c r="L100" i="3"/>
  <c r="L3" i="4"/>
  <c r="N3" i="4" s="1"/>
  <c r="O3" i="4" s="1"/>
  <c r="J73" i="4"/>
  <c r="J6" i="5"/>
  <c r="M13" i="3"/>
  <c r="L13" i="3"/>
  <c r="N13" i="3" s="1"/>
  <c r="L106" i="3"/>
  <c r="N106" i="3" s="1"/>
  <c r="J106" i="3"/>
  <c r="M106" i="3"/>
  <c r="L129" i="3"/>
  <c r="N129" i="3" s="1"/>
  <c r="J129" i="3"/>
  <c r="L147" i="3"/>
  <c r="N147" i="3" s="1"/>
  <c r="M147" i="3"/>
  <c r="J147" i="3"/>
  <c r="M178" i="3"/>
  <c r="L178" i="3"/>
  <c r="J178" i="3"/>
  <c r="M12" i="5"/>
  <c r="L12" i="5"/>
  <c r="N12" i="5" s="1"/>
  <c r="J13" i="3"/>
  <c r="M57" i="3"/>
  <c r="L57" i="3"/>
  <c r="N57" i="3" s="1"/>
  <c r="M143" i="3"/>
  <c r="L143" i="3"/>
  <c r="N143" i="3" s="1"/>
  <c r="J12" i="5"/>
  <c r="M30" i="7"/>
  <c r="L30" i="7"/>
  <c r="N30" i="7" s="1"/>
  <c r="J7" i="5"/>
  <c r="M7" i="5"/>
  <c r="M31" i="5"/>
  <c r="L31" i="5"/>
  <c r="N31" i="5" s="1"/>
  <c r="M13" i="7"/>
  <c r="L13" i="7"/>
  <c r="N13" i="7" s="1"/>
  <c r="L33" i="4"/>
  <c r="N33" i="4" s="1"/>
  <c r="M33" i="4"/>
  <c r="J74" i="4"/>
  <c r="M74" i="4"/>
  <c r="L74" i="4"/>
  <c r="N74" i="4" s="1"/>
  <c r="L7" i="5"/>
  <c r="N7" i="5" s="1"/>
  <c r="J31" i="5"/>
  <c r="J57" i="5"/>
  <c r="J14" i="6"/>
  <c r="J50" i="6"/>
  <c r="J13" i="7"/>
  <c r="J44" i="7"/>
  <c r="C17" i="20"/>
  <c r="C19" i="20" s="1"/>
  <c r="C20" i="20" s="1"/>
  <c r="C29" i="20" s="1"/>
  <c r="B17" i="20"/>
  <c r="B19" i="20" s="1"/>
  <c r="B20" i="20" s="1"/>
  <c r="B29" i="20" s="1"/>
  <c r="M5" i="3"/>
  <c r="L68" i="3"/>
  <c r="N68" i="3" s="1"/>
  <c r="M68" i="3"/>
  <c r="J89" i="3"/>
  <c r="J94" i="3"/>
  <c r="M94" i="3"/>
  <c r="L94" i="3"/>
  <c r="N94" i="3" s="1"/>
  <c r="L166" i="3"/>
  <c r="N166" i="3" s="1"/>
  <c r="M166" i="3"/>
  <c r="J175" i="3"/>
  <c r="J33" i="4"/>
  <c r="J59" i="4"/>
  <c r="B35" i="17"/>
  <c r="M77" i="3"/>
  <c r="J77" i="3"/>
  <c r="D30" i="15"/>
  <c r="D31" i="15"/>
  <c r="L77" i="3"/>
  <c r="N77" i="3" s="1"/>
  <c r="M114" i="3"/>
  <c r="J120" i="3"/>
  <c r="L120" i="3"/>
  <c r="N120" i="3" s="1"/>
  <c r="M120" i="3"/>
  <c r="M145" i="3"/>
  <c r="J145" i="3"/>
  <c r="L180" i="3"/>
  <c r="N180" i="3" s="1"/>
  <c r="J180" i="3"/>
  <c r="M184" i="3"/>
  <c r="L184" i="3"/>
  <c r="N184" i="3" s="1"/>
  <c r="J184" i="3"/>
  <c r="M38" i="4"/>
  <c r="J38" i="4"/>
  <c r="M27" i="5"/>
  <c r="J27" i="5"/>
  <c r="L57" i="5"/>
  <c r="N57" i="5" s="1"/>
  <c r="L14" i="6"/>
  <c r="N14" i="6" s="1"/>
  <c r="M28" i="6"/>
  <c r="L28" i="6"/>
  <c r="N28" i="6" s="1"/>
  <c r="M33" i="6"/>
  <c r="L33" i="6"/>
  <c r="N33" i="6" s="1"/>
  <c r="L50" i="6"/>
  <c r="N50" i="6" s="1"/>
  <c r="M63" i="3"/>
  <c r="L63" i="3"/>
  <c r="N63" i="3" s="1"/>
  <c r="J114" i="3"/>
  <c r="M137" i="3"/>
  <c r="M139" i="3" s="1"/>
  <c r="M12" i="4"/>
  <c r="M17" i="4"/>
  <c r="L17" i="4"/>
  <c r="N17" i="4" s="1"/>
  <c r="J28" i="6"/>
  <c r="J33" i="6"/>
  <c r="J8" i="7"/>
  <c r="J45" i="7"/>
  <c r="B41" i="2"/>
  <c r="B39" i="2"/>
  <c r="L102" i="3"/>
  <c r="N102" i="3" s="1"/>
  <c r="M102" i="3"/>
  <c r="M56" i="4"/>
  <c r="L56" i="4"/>
  <c r="N56" i="4" s="1"/>
  <c r="C31" i="15"/>
  <c r="D28" i="2"/>
  <c r="J5" i="3"/>
  <c r="J26" i="3"/>
  <c r="M41" i="3"/>
  <c r="J41" i="3"/>
  <c r="L49" i="3"/>
  <c r="N49" i="3" s="1"/>
  <c r="M49" i="3"/>
  <c r="J60" i="3"/>
  <c r="J102" i="3"/>
  <c r="J52" i="4"/>
  <c r="J56" i="4"/>
  <c r="M36" i="5"/>
  <c r="L36" i="5"/>
  <c r="N36" i="5" s="1"/>
  <c r="J5" i="6"/>
  <c r="J10" i="6"/>
  <c r="J32" i="6"/>
  <c r="J4" i="7"/>
  <c r="D23" i="12"/>
  <c r="B24" i="20"/>
  <c r="B25" i="20" s="1"/>
  <c r="L5" i="3"/>
  <c r="N5" i="3" s="1"/>
  <c r="J22" i="3"/>
  <c r="L26" i="3"/>
  <c r="N26" i="3" s="1"/>
  <c r="J49" i="3"/>
  <c r="M64" i="3"/>
  <c r="J90" i="3"/>
  <c r="J112" i="3"/>
  <c r="J37" i="4"/>
  <c r="M68" i="4"/>
  <c r="L68" i="4"/>
  <c r="N68" i="4" s="1"/>
  <c r="M71" i="4"/>
  <c r="J28" i="5"/>
  <c r="J36" i="5"/>
  <c r="L5" i="6"/>
  <c r="N5" i="6" s="1"/>
  <c r="L10" i="6"/>
  <c r="N10" i="6" s="1"/>
  <c r="L4" i="7"/>
  <c r="N4" i="7" s="1"/>
  <c r="J14" i="7"/>
  <c r="B33" i="12"/>
  <c r="B28" i="12"/>
  <c r="M41" i="4"/>
  <c r="L41" i="4"/>
  <c r="N41" i="4" s="1"/>
  <c r="J18" i="3"/>
  <c r="L22" i="3"/>
  <c r="N22" i="3" s="1"/>
  <c r="M31" i="3"/>
  <c r="J31" i="3"/>
  <c r="L41" i="3"/>
  <c r="N41" i="3" s="1"/>
  <c r="L60" i="3"/>
  <c r="N60" i="3" s="1"/>
  <c r="M103" i="3"/>
  <c r="L103" i="3"/>
  <c r="N103" i="3" s="1"/>
  <c r="M127" i="3"/>
  <c r="L19" i="4"/>
  <c r="N19" i="4" s="1"/>
  <c r="M48" i="4"/>
  <c r="L52" i="4"/>
  <c r="N52" i="4" s="1"/>
  <c r="M60" i="4"/>
  <c r="J5" i="5"/>
  <c r="J10" i="5"/>
  <c r="M32" i="5"/>
  <c r="L32" i="5"/>
  <c r="N32" i="5" s="1"/>
  <c r="L32" i="6"/>
  <c r="N32" i="6" s="1"/>
  <c r="J44" i="6"/>
  <c r="M27" i="7"/>
  <c r="L27" i="7"/>
  <c r="N27" i="7" s="1"/>
  <c r="L31" i="7"/>
  <c r="N31" i="7" s="1"/>
  <c r="D24" i="12"/>
  <c r="E35" i="18"/>
  <c r="E4" i="8"/>
  <c r="C4" i="8"/>
  <c r="B42" i="1"/>
  <c r="D27" i="1"/>
  <c r="J61" i="3"/>
  <c r="M90" i="3"/>
  <c r="L95" i="3"/>
  <c r="N95" i="3" s="1"/>
  <c r="M95" i="3"/>
  <c r="M19" i="4"/>
  <c r="L10" i="5"/>
  <c r="N10" i="5" s="1"/>
  <c r="J32" i="5"/>
  <c r="L49" i="6"/>
  <c r="N49" i="6" s="1"/>
  <c r="J49" i="6"/>
  <c r="M49" i="6"/>
  <c r="J27" i="7"/>
  <c r="M31" i="7"/>
  <c r="B7" i="9"/>
  <c r="B48" i="9"/>
  <c r="B4" i="8"/>
  <c r="B8" i="8" s="1"/>
  <c r="B41" i="1"/>
  <c r="B62" i="1"/>
  <c r="D4" i="8"/>
  <c r="M42" i="3"/>
  <c r="L42" i="3"/>
  <c r="N42" i="3" s="1"/>
  <c r="M91" i="3"/>
  <c r="M144" i="3"/>
  <c r="M149" i="3" s="1"/>
  <c r="L144" i="3"/>
  <c r="N144" i="3" s="1"/>
  <c r="L148" i="3"/>
  <c r="N148" i="3" s="1"/>
  <c r="J148" i="3"/>
  <c r="J193" i="3"/>
  <c r="L49" i="4"/>
  <c r="N49" i="4" s="1"/>
  <c r="J49" i="4"/>
  <c r="M61" i="4"/>
  <c r="J61" i="4"/>
  <c r="J16" i="10"/>
  <c r="B39" i="17"/>
  <c r="B40" i="17" s="1"/>
  <c r="M185" i="3"/>
  <c r="J185" i="3"/>
  <c r="B24" i="19"/>
  <c r="B25" i="19" s="1"/>
  <c r="J40" i="5"/>
  <c r="J4" i="6"/>
  <c r="M111" i="3"/>
  <c r="L111" i="3"/>
  <c r="J67" i="3"/>
  <c r="L185" i="3"/>
  <c r="N185" i="3" s="1"/>
  <c r="M3" i="5"/>
  <c r="L56" i="5"/>
  <c r="N56" i="5" s="1"/>
  <c r="L78" i="22" l="1"/>
  <c r="N78" i="22" s="1"/>
  <c r="N72" i="22"/>
  <c r="B53" i="2"/>
  <c r="B46" i="2"/>
  <c r="B48" i="2" s="1"/>
  <c r="Q49" i="4"/>
  <c r="N178" i="3"/>
  <c r="L186" i="3"/>
  <c r="N186" i="3" s="1"/>
  <c r="E30" i="15"/>
  <c r="E32" i="15" s="1"/>
  <c r="E33" i="15" s="1"/>
  <c r="E35" i="15" s="1"/>
  <c r="E31" i="15"/>
  <c r="B30" i="12"/>
  <c r="B104" i="12"/>
  <c r="D104" i="12" s="1"/>
  <c r="B31" i="12"/>
  <c r="D31" i="12" s="1"/>
  <c r="E10" i="15"/>
  <c r="E9" i="15"/>
  <c r="C8" i="8"/>
  <c r="L131" i="3"/>
  <c r="N131" i="3" s="1"/>
  <c r="N128" i="3"/>
  <c r="B82" i="1"/>
  <c r="B35" i="1"/>
  <c r="D32" i="1"/>
  <c r="Q99" i="3"/>
  <c r="E7" i="8" s="1"/>
  <c r="N100" i="3"/>
  <c r="P111" i="3"/>
  <c r="N111" i="3"/>
  <c r="E8" i="8"/>
  <c r="B15" i="8"/>
  <c r="B13" i="11"/>
  <c r="B10" i="11"/>
  <c r="I11" i="11" s="1"/>
  <c r="F30" i="15"/>
  <c r="F32" i="15" s="1"/>
  <c r="F33" i="15" s="1"/>
  <c r="F35" i="15" s="1"/>
  <c r="F31" i="15"/>
  <c r="F10" i="15"/>
  <c r="F9" i="15"/>
  <c r="B91" i="12"/>
  <c r="N170" i="3"/>
  <c r="L176" i="3"/>
  <c r="N176" i="3" s="1"/>
  <c r="B40" i="1"/>
  <c r="B47" i="9"/>
  <c r="D47" i="9" s="1"/>
  <c r="D7" i="9"/>
  <c r="D23" i="9"/>
  <c r="B23" i="9" s="1"/>
  <c r="B4" i="17"/>
  <c r="L156" i="3"/>
  <c r="N156" i="3" s="1"/>
  <c r="N151" i="3"/>
  <c r="L168" i="3"/>
  <c r="N168" i="3" s="1"/>
  <c r="B59" i="2"/>
  <c r="D59" i="2" s="1"/>
  <c r="B17" i="19"/>
  <c r="J18" i="10"/>
  <c r="M16" i="10"/>
  <c r="J23" i="10"/>
  <c r="B93" i="12"/>
  <c r="B100" i="12" s="1"/>
  <c r="D100" i="12" s="1"/>
  <c r="B45" i="2"/>
  <c r="B47" i="2" s="1"/>
  <c r="B49" i="2" s="1"/>
  <c r="B50" i="2" s="1"/>
  <c r="D36" i="15"/>
  <c r="D38" i="15"/>
  <c r="D37" i="15"/>
  <c r="D28" i="12"/>
  <c r="B35" i="12"/>
  <c r="B48" i="12" s="1"/>
  <c r="D48" i="12" s="1"/>
  <c r="B40" i="12"/>
  <c r="L78" i="4"/>
  <c r="N78" i="4" s="1"/>
  <c r="B36" i="17"/>
  <c r="B52" i="13"/>
  <c r="D81" i="1"/>
  <c r="B16" i="8" l="1"/>
  <c r="B14" i="8"/>
  <c r="D30" i="12"/>
  <c r="B37" i="12"/>
  <c r="L169" i="3"/>
  <c r="N169" i="3" s="1"/>
  <c r="E36" i="15"/>
  <c r="E38" i="15"/>
  <c r="E37" i="15"/>
  <c r="B26" i="9"/>
  <c r="B7" i="19"/>
  <c r="B18" i="19" s="1"/>
  <c r="C18" i="19" s="1"/>
  <c r="C19" i="19" s="1"/>
  <c r="B38" i="1"/>
  <c r="B46" i="9"/>
  <c r="D46" i="9" s="1"/>
  <c r="D40" i="1"/>
  <c r="B17" i="13"/>
  <c r="B46" i="1"/>
  <c r="B56" i="1"/>
  <c r="F36" i="15"/>
  <c r="F38" i="15"/>
  <c r="F37" i="15"/>
  <c r="B113" i="12"/>
  <c r="E9" i="8"/>
  <c r="C10" i="8" s="1"/>
  <c r="D7" i="8"/>
  <c r="D40" i="12"/>
  <c r="B41" i="12"/>
  <c r="B32" i="12"/>
  <c r="B105" i="12"/>
  <c r="D105" i="12" s="1"/>
  <c r="B114" i="12" s="1"/>
  <c r="B83" i="1"/>
  <c r="D83" i="1" s="1"/>
  <c r="D82" i="1"/>
  <c r="B58" i="1" l="1"/>
  <c r="B60" i="1" s="1"/>
  <c r="B66" i="1" s="1"/>
  <c r="B67" i="1" s="1"/>
  <c r="B19" i="13"/>
  <c r="B37" i="13" s="1"/>
  <c r="C21" i="19"/>
  <c r="C20" i="19"/>
  <c r="C29" i="19" s="1"/>
  <c r="B42" i="12"/>
  <c r="D42" i="12" s="1"/>
  <c r="D41" i="12"/>
  <c r="B117" i="12"/>
  <c r="B116" i="12"/>
  <c r="D114" i="12"/>
  <c r="B70" i="1"/>
  <c r="D38" i="1"/>
  <c r="B45" i="1"/>
  <c r="B18" i="13"/>
  <c r="B51" i="13" s="1"/>
  <c r="B53" i="13" s="1"/>
  <c r="B55" i="13" s="1"/>
  <c r="D55" i="13" s="1"/>
  <c r="B56" i="13" s="1"/>
  <c r="B57" i="1"/>
  <c r="B29" i="9"/>
  <c r="B37" i="9"/>
  <c r="B42" i="9" s="1"/>
  <c r="D42" i="9" s="1"/>
  <c r="B55" i="9" s="1"/>
  <c r="B35" i="9"/>
  <c r="D32" i="12"/>
  <c r="B38" i="12"/>
  <c r="D9" i="8"/>
  <c r="B10" i="8" s="1"/>
  <c r="D8" i="8"/>
  <c r="D113" i="12"/>
  <c r="B115" i="12"/>
  <c r="D115" i="12" s="1"/>
  <c r="B19" i="19"/>
  <c r="E12" i="8"/>
  <c r="B18" i="8"/>
  <c r="D55" i="9" l="1"/>
  <c r="B17" i="8"/>
  <c r="B19" i="8"/>
  <c r="B41" i="13"/>
  <c r="D41" i="13" s="1"/>
  <c r="B42" i="13" s="1"/>
  <c r="B38" i="13"/>
  <c r="D29" i="9"/>
  <c r="B30" i="9"/>
  <c r="B36" i="9"/>
  <c r="B38" i="9"/>
  <c r="B43" i="9" s="1"/>
  <c r="D43" i="9" s="1"/>
  <c r="B56" i="9" s="1"/>
  <c r="B59" i="1"/>
  <c r="B20" i="13"/>
  <c r="B26" i="13" s="1"/>
  <c r="B21" i="19"/>
  <c r="B20" i="19"/>
  <c r="B29" i="19" s="1"/>
  <c r="B30" i="13" l="1"/>
  <c r="D30" i="13" s="1"/>
  <c r="B31" i="13" s="1"/>
  <c r="B27" i="13"/>
  <c r="B59" i="9"/>
  <c r="D56" i="9"/>
  <c r="B60" i="9"/>
  <c r="B57" i="9"/>
  <c r="B58" i="9" l="1"/>
  <c r="D57" i="9"/>
</calcChain>
</file>

<file path=xl/sharedStrings.xml><?xml version="1.0" encoding="utf-8"?>
<sst xmlns="http://schemas.openxmlformats.org/spreadsheetml/2006/main" count="2782" uniqueCount="682">
  <si>
    <r>
      <rPr>
        <b/>
        <sz val="10"/>
        <rFont val="Arial"/>
      </rPr>
      <t xml:space="preserve">IN THIS CALC: </t>
    </r>
    <r>
      <rPr>
        <sz val="10"/>
        <rFont val="Arial"/>
      </rPr>
      <t xml:space="preserve">We </t>
    </r>
    <r>
      <rPr>
        <b/>
        <sz val="10"/>
        <rFont val="Arial"/>
      </rPr>
      <t>define injector geometries</t>
    </r>
    <r>
      <rPr>
        <sz val="10"/>
        <rFont val="Arial"/>
      </rPr>
      <t xml:space="preserve"> based on the incompressible flow equation on the right. We take a (educated - see injector resources in drive) guess as to Cd(flow resistance), and assume a safe(&gt;20%combustion chamber) pressure drop across the injector(prevent flow instabilities from combustion-rooted pressure fluctuations). The rest follows from the desired injector geometry / assembly. </t>
    </r>
  </si>
  <si>
    <t>Input:</t>
  </si>
  <si>
    <t>Conversions:</t>
  </si>
  <si>
    <t>From</t>
  </si>
  <si>
    <t>To</t>
  </si>
  <si>
    <t>(1 of "From" is x of "To")</t>
  </si>
  <si>
    <t>ΔP_fuel</t>
  </si>
  <si>
    <t>(psi)</t>
  </si>
  <si>
    <t>(Pa)</t>
  </si>
  <si>
    <t>pressure drop over ethanol manifold</t>
  </si>
  <si>
    <t>ΔP_ox</t>
  </si>
  <si>
    <t>pressure drop over injector face</t>
  </si>
  <si>
    <t>g/cm^3</t>
  </si>
  <si>
    <t>kg/m3</t>
  </si>
  <si>
    <t>ρ_f</t>
  </si>
  <si>
    <t>(g/cm^3)</t>
  </si>
  <si>
    <t>density of fuel(96%ethonol)</t>
  </si>
  <si>
    <t>kg</t>
  </si>
  <si>
    <t>lb</t>
  </si>
  <si>
    <t>ρ_ox</t>
  </si>
  <si>
    <t>density of oxidizer(lox)</t>
  </si>
  <si>
    <t>mm</t>
  </si>
  <si>
    <t>in</t>
  </si>
  <si>
    <t>μ_f</t>
  </si>
  <si>
    <t>mPa s</t>
  </si>
  <si>
    <t>kg/(ms)</t>
  </si>
  <si>
    <t>viscosity of fuel</t>
  </si>
  <si>
    <t>μ_ox</t>
  </si>
  <si>
    <t>uPa s</t>
  </si>
  <si>
    <t>viscosity of oxidizer</t>
  </si>
  <si>
    <t>10^-4</t>
  </si>
  <si>
    <t>mg/cms</t>
  </si>
  <si>
    <t>kg/ms</t>
  </si>
  <si>
    <t>Prandlt_fuel</t>
  </si>
  <si>
    <t>Prandlt_ox</t>
  </si>
  <si>
    <t>Thermal Diffusivity / Momentum Diffusivity</t>
  </si>
  <si>
    <t>mdot_total</t>
  </si>
  <si>
    <t>(kg/s)</t>
  </si>
  <si>
    <t>(lb/s)</t>
  </si>
  <si>
    <t>total flow rate</t>
  </si>
  <si>
    <t>psi</t>
  </si>
  <si>
    <t>Pa</t>
  </si>
  <si>
    <t>o/f ratio</t>
  </si>
  <si>
    <t>KgOx/KgEth</t>
  </si>
  <si>
    <t>oxidizer/fuel ratio</t>
  </si>
  <si>
    <t>lb/ci / lb/cft</t>
  </si>
  <si>
    <t>Cd_ox</t>
  </si>
  <si>
    <t>(unitless)</t>
  </si>
  <si>
    <t>Discharge Coefficient (Oxidizer)</t>
  </si>
  <si>
    <t>Cd_fuel</t>
  </si>
  <si>
    <t>Discharge Coefficienct(Fuel)</t>
  </si>
  <si>
    <t>Cd_Film</t>
  </si>
  <si>
    <t>Impinger input:</t>
  </si>
  <si>
    <t>n_f</t>
  </si>
  <si>
    <t>(integer)</t>
  </si>
  <si>
    <t>number of fuel orifices</t>
  </si>
  <si>
    <t>n_o</t>
  </si>
  <si>
    <t>number of oxidizer orifices</t>
  </si>
  <si>
    <t>n_film</t>
  </si>
  <si>
    <t>film cooling orifices(fuel)</t>
  </si>
  <si>
    <t>Ratio_Film</t>
  </si>
  <si>
    <t>(0-1)</t>
  </si>
  <si>
    <t>fraction /1 of fuel used in film cooling</t>
  </si>
  <si>
    <t>Pintle input:</t>
  </si>
  <si>
    <t>d_center</t>
  </si>
  <si>
    <t>(in)</t>
  </si>
  <si>
    <t>(mm)</t>
  </si>
  <si>
    <t>diameter of pintle center-pin</t>
  </si>
  <si>
    <t>t_wall</t>
  </si>
  <si>
    <t>wall thickness</t>
  </si>
  <si>
    <t>Output:</t>
  </si>
  <si>
    <t>mdot_fuel</t>
  </si>
  <si>
    <t>fuel flow rate</t>
  </si>
  <si>
    <t>mdot_ox</t>
  </si>
  <si>
    <t>oxidizer flow rate</t>
  </si>
  <si>
    <t>mdot_film</t>
  </si>
  <si>
    <t xml:space="preserve">film </t>
  </si>
  <si>
    <t>Vdot_fuel</t>
  </si>
  <si>
    <t>(m^3/s)</t>
  </si>
  <si>
    <t>(gal/min)</t>
  </si>
  <si>
    <t>volume flow rate(fuel)</t>
  </si>
  <si>
    <t>Vdot_ox</t>
  </si>
  <si>
    <t>volume flow rate(ox)</t>
  </si>
  <si>
    <t>A_fuel</t>
  </si>
  <si>
    <t>(m^2)</t>
  </si>
  <si>
    <t>(mm^2)</t>
  </si>
  <si>
    <t>total area of fuel orifices</t>
  </si>
  <si>
    <t>A_ox</t>
  </si>
  <si>
    <t>total area of oxidizer orifices</t>
  </si>
  <si>
    <t>A_film</t>
  </si>
  <si>
    <t>CdA_f</t>
  </si>
  <si>
    <t>CdA_ox</t>
  </si>
  <si>
    <t>Impinger output:</t>
  </si>
  <si>
    <t>d_fuel</t>
  </si>
  <si>
    <t>diameter of each fuel orifice</t>
  </si>
  <si>
    <t>d_film</t>
  </si>
  <si>
    <t>diameter of film cooling oricices</t>
  </si>
  <si>
    <t>d_ox</t>
  </si>
  <si>
    <t>diameter of each oxidizer orifice</t>
  </si>
  <si>
    <t>O/F Total (initial mixture)</t>
  </si>
  <si>
    <t>of ratio of mixture without film cooling</t>
  </si>
  <si>
    <t>v_f</t>
  </si>
  <si>
    <t>(m/s)</t>
  </si>
  <si>
    <t>stream velocity of fuel</t>
  </si>
  <si>
    <t>v_o</t>
  </si>
  <si>
    <t>stream velocity of oxidizer</t>
  </si>
  <si>
    <t>v_film</t>
  </si>
  <si>
    <t>stream velocity of film cooling</t>
  </si>
  <si>
    <t>Lmax_f_orifice</t>
  </si>
  <si>
    <t>Lmin_ox_orif</t>
  </si>
  <si>
    <t xml:space="preserve">LD ratio </t>
  </si>
  <si>
    <t>n/a</t>
  </si>
  <si>
    <t>Length of oriface</t>
  </si>
  <si>
    <t xml:space="preserve">Impinger Angle Calc </t>
  </si>
  <si>
    <t>See right pic &gt;</t>
  </si>
  <si>
    <t>alpha_ox</t>
  </si>
  <si>
    <t>(degrees)</t>
  </si>
  <si>
    <t>radians</t>
  </si>
  <si>
    <t>alpha_fuel</t>
  </si>
  <si>
    <t>degrees</t>
  </si>
  <si>
    <t>Beta_Resultant</t>
  </si>
  <si>
    <t>(towards oxygen)</t>
  </si>
  <si>
    <t>LOX Feed System Temperature Additions</t>
  </si>
  <si>
    <t>Re_injox</t>
  </si>
  <si>
    <t>Re_injfuel</t>
  </si>
  <si>
    <t>h_inj_ox</t>
  </si>
  <si>
    <t>(W/m^2K)</t>
  </si>
  <si>
    <t>h_inj_fuel</t>
  </si>
  <si>
    <t>inj power addition</t>
  </si>
  <si>
    <t>W</t>
  </si>
  <si>
    <t>diam_feedox</t>
  </si>
  <si>
    <t>m</t>
  </si>
  <si>
    <t>v_feed_ox</t>
  </si>
  <si>
    <t>m/s</t>
  </si>
  <si>
    <t>Re_feedox</t>
  </si>
  <si>
    <t>h_feed_ox</t>
  </si>
  <si>
    <t>feed power added</t>
  </si>
  <si>
    <t>total power added</t>
  </si>
  <si>
    <t>Temp Rise</t>
  </si>
  <si>
    <t>(K)</t>
  </si>
  <si>
    <t>Combustion Instability Analysis</t>
  </si>
  <si>
    <t>Instability Frequency</t>
  </si>
  <si>
    <t>Hz</t>
  </si>
  <si>
    <t xml:space="preserve">See "Impinging Injector Frequency Analysis" in LE2 Resources </t>
  </si>
  <si>
    <t>Chamber Resonance Calc</t>
  </si>
  <si>
    <t>Length</t>
  </si>
  <si>
    <t>Diameter</t>
  </si>
  <si>
    <t xml:space="preserve">Longitudinal Mode </t>
  </si>
  <si>
    <t>Tangential Mode</t>
  </si>
  <si>
    <t>Radial Mode</t>
  </si>
  <si>
    <t>Pintle Output:</t>
  </si>
  <si>
    <t>d_o</t>
  </si>
  <si>
    <t>diameter of oxidizer cylinder (central)</t>
  </si>
  <si>
    <t>d_f</t>
  </si>
  <si>
    <t>diameter of fuel annulus (outer)</t>
  </si>
  <si>
    <t>d_p</t>
  </si>
  <si>
    <t>diameter of pintle</t>
  </si>
  <si>
    <r>
      <rPr>
        <b/>
        <sz val="10"/>
        <rFont val="Arial"/>
      </rPr>
      <t xml:space="preserve">IN THIS CALC: </t>
    </r>
    <r>
      <rPr>
        <sz val="10"/>
        <rFont val="Arial"/>
      </rPr>
      <t xml:space="preserve">We </t>
    </r>
    <r>
      <rPr>
        <b/>
        <sz val="10"/>
        <rFont val="Arial"/>
      </rPr>
      <t>define injector geometries</t>
    </r>
    <r>
      <rPr>
        <sz val="10"/>
        <rFont val="Arial"/>
      </rPr>
      <t xml:space="preserve"> based on the incompressible flow equation on the right. We take a (educated - see injector resources in drive) guess as to Cd(flow resistance), and assume a safe(&gt;20%combustion chamber) pressure drop across the injector(prevent flow instabilities from combustion-rooted pressure fluctuations). The rest follows from the desired injector geometry / assembly. </t>
    </r>
  </si>
  <si>
    <t>K</t>
  </si>
  <si>
    <t>head-loss coefficient</t>
  </si>
  <si>
    <t>g0(in/s^2)</t>
  </si>
  <si>
    <t>(cm^3/s)</t>
  </si>
  <si>
    <t>A_f</t>
  </si>
  <si>
    <t>A_o</t>
  </si>
  <si>
    <t>o/f (initial mixture)</t>
  </si>
  <si>
    <t>Re_ox</t>
  </si>
  <si>
    <t>Re_f</t>
  </si>
  <si>
    <t>h_ox</t>
  </si>
  <si>
    <t>(W/m^2*K)</t>
  </si>
  <si>
    <t>h_fuel</t>
  </si>
  <si>
    <t>power addition(conv)</t>
  </si>
  <si>
    <t>C ration sp heat</t>
  </si>
  <si>
    <t>Injector ID</t>
  </si>
  <si>
    <t>Propellant Side</t>
  </si>
  <si>
    <t>Date / Notes</t>
  </si>
  <si>
    <t>Diameter Orifice (m)</t>
  </si>
  <si>
    <t>Density (kg/m3)</t>
  </si>
  <si>
    <t>Mass Water (g)</t>
  </si>
  <si>
    <t>Time (s)</t>
  </si>
  <si>
    <t>DeltaP (psi) : LogMean</t>
  </si>
  <si>
    <t>Mdot (kg/s)</t>
  </si>
  <si>
    <t>Reynolds</t>
  </si>
  <si>
    <t>Orifice Area (m2)</t>
  </si>
  <si>
    <t>Cd*A [m2]</t>
  </si>
  <si>
    <t>Cd</t>
  </si>
  <si>
    <t>R_hyd=1/(2*(CdA)2)</t>
  </si>
  <si>
    <t>validation (dPpsi)</t>
  </si>
  <si>
    <t>Random Calcs</t>
  </si>
  <si>
    <t>P_initial</t>
  </si>
  <si>
    <t>P_final</t>
  </si>
  <si>
    <t>EXAMPLE</t>
  </si>
  <si>
    <t>To Check Calcs</t>
  </si>
  <si>
    <t>Ethanol</t>
  </si>
  <si>
    <t>Timing slightly off 10/15/2022</t>
  </si>
  <si>
    <t>Digital Gauge 10/15/2022</t>
  </si>
  <si>
    <t>Ox</t>
  </si>
  <si>
    <t>Ox (questionable)</t>
  </si>
  <si>
    <t>NEW SET</t>
  </si>
  <si>
    <t>OX</t>
  </si>
  <si>
    <t>ETH</t>
  </si>
  <si>
    <t>May not be trustable: high pressure loss11/19/2022</t>
  </si>
  <si>
    <t>TIme may be slightly off 11/19</t>
  </si>
  <si>
    <t>HF1</t>
  </si>
  <si>
    <t>LOX</t>
  </si>
  <si>
    <t>.5 (dont trust partly from fs)</t>
  </si>
  <si>
    <t>HF2</t>
  </si>
  <si>
    <t>ETH FEED</t>
  </si>
  <si>
    <t>ETH Feed (S23)</t>
  </si>
  <si>
    <t>LOX system</t>
  </si>
  <si>
    <t>10/3/2023 (bad)</t>
  </si>
  <si>
    <t>ETHANOL</t>
  </si>
  <si>
    <t>10/20/2023 *bad</t>
  </si>
  <si>
    <t>ETH feed system</t>
  </si>
  <si>
    <t>(no inj)</t>
  </si>
  <si>
    <t>AVG</t>
  </si>
  <si>
    <t>w/ injector</t>
  </si>
  <si>
    <t>AVG:</t>
  </si>
  <si>
    <t>Eth Injector</t>
  </si>
  <si>
    <t>LOX injector</t>
  </si>
  <si>
    <t>LOX sys (no inj)</t>
  </si>
  <si>
    <t>A</t>
  </si>
  <si>
    <t>mdot</t>
  </si>
  <si>
    <t>R</t>
  </si>
  <si>
    <t>dp</t>
  </si>
  <si>
    <t>Injector</t>
  </si>
  <si>
    <t>Tubing/Valve System</t>
  </si>
  <si>
    <t>HF2 LOX</t>
  </si>
  <si>
    <t>HF2 ETH</t>
  </si>
  <si>
    <t xml:space="preserve">LOX Feed </t>
  </si>
  <si>
    <t>ETH Feed</t>
  </si>
  <si>
    <t>density [kg/m3]</t>
  </si>
  <si>
    <t>mdot [kg/s]</t>
  </si>
  <si>
    <t>Cd [TESTING]</t>
  </si>
  <si>
    <t>Diameter [m]</t>
  </si>
  <si>
    <t>CdA</t>
  </si>
  <si>
    <t>deltap [psi]</t>
  </si>
  <si>
    <t>Rhyd [m^-4] (dP=Rhyd*mdot^2/rho)</t>
  </si>
  <si>
    <t>Resistance Ratio (Feed/Inj)</t>
  </si>
  <si>
    <t>COMBUSTION PRESSURE</t>
  </si>
  <si>
    <t>ETH %Pc Injector Drop</t>
  </si>
  <si>
    <t>(percent)</t>
  </si>
  <si>
    <t>LOX %Pc Injector Drop</t>
  </si>
  <si>
    <t>ETH TANK PRESSURE:</t>
  </si>
  <si>
    <t>LOX TANK PRESSURE:</t>
  </si>
  <si>
    <t>Confirmation_mdotETH</t>
  </si>
  <si>
    <t>[3095.8567650493083, 2776.923910981406, 2021.9973366870006, 1476.8477033162749, 1065.4294800865289, 754.669461692065, 522.4886529525202, 353.62524408503594, 236.3117887351712, 152.25977399453984]</t>
  </si>
  <si>
    <r>
      <rPr>
        <b/>
        <sz val="12"/>
        <rFont val="Arial"/>
      </rPr>
      <t xml:space="preserve">For Complete Thrust Model, See </t>
    </r>
    <r>
      <rPr>
        <b/>
        <u/>
        <sz val="12"/>
        <color rgb="FF1155CC"/>
        <rFont val="Arial"/>
      </rPr>
      <t>ALULA THRUST + FLIGHT CODE</t>
    </r>
  </si>
  <si>
    <r>
      <rPr>
        <b/>
        <sz val="12"/>
        <rFont val="Arial"/>
      </rPr>
      <t xml:space="preserve">Determine Initial Fill: </t>
    </r>
    <r>
      <rPr>
        <sz val="12"/>
        <rFont val="Arial"/>
      </rPr>
      <t>With this calc, we iterate initial propellant mass and estimate pressure drop/flow dynamics through our selected injector(from tab1). We want to maximize total impulse(equivalent-ish to propellant mass) while maintaining healthy(safe) pressure drops across the injector. This is a fairly jank calc based largely on iterated RPA calcs to determine chamber pressure at end of burn and interpolate through entire burn.</t>
    </r>
  </si>
  <si>
    <t>Vtank_f</t>
  </si>
  <si>
    <t>(gal)</t>
  </si>
  <si>
    <t>(Liters)</t>
  </si>
  <si>
    <t>Total Volume Fuel Tank</t>
  </si>
  <si>
    <t>Vtank_ox</t>
  </si>
  <si>
    <t>(L)</t>
  </si>
  <si>
    <t>Total Volume Ox tank</t>
  </si>
  <si>
    <t>tank o/f ratio initial</t>
  </si>
  <si>
    <t>initial mass ratio of ox/fuel tanks (NOT initial mass flow ratio)</t>
  </si>
  <si>
    <t>Mtotal_Fuel</t>
  </si>
  <si>
    <t>(kg)</t>
  </si>
  <si>
    <t>(lbm)</t>
  </si>
  <si>
    <t>Total Mass of fuel</t>
  </si>
  <si>
    <t>Mtotal_Ox</t>
  </si>
  <si>
    <t>Total Mass of oxidizer</t>
  </si>
  <si>
    <t>Conversions</t>
  </si>
  <si>
    <t>(kg/L)</t>
  </si>
  <si>
    <t>Gallons</t>
  </si>
  <si>
    <t>Liters</t>
  </si>
  <si>
    <t>ρ_o</t>
  </si>
  <si>
    <t>Pcc_Init</t>
  </si>
  <si>
    <t>MPa</t>
  </si>
  <si>
    <t>Initial Combustion Chamber Pressure</t>
  </si>
  <si>
    <t>Pitank_fuel</t>
  </si>
  <si>
    <t>Initial Tank Pressure(fuel)</t>
  </si>
  <si>
    <t>Pitank_ox</t>
  </si>
  <si>
    <t>Initial Tank Pressure(ox)</t>
  </si>
  <si>
    <t>Pinj / Pcomb _ideal</t>
  </si>
  <si>
    <t>Pressure Ratio across Injector (20% increase is safe)</t>
  </si>
  <si>
    <t>Ptank / Pinj (Fuel)</t>
  </si>
  <si>
    <t>Pressure Ratio over feed system</t>
  </si>
  <si>
    <t>Ptank / Pinj (Ox)</t>
  </si>
  <si>
    <t>Gamma_Press_Fuel</t>
  </si>
  <si>
    <t>Specific Heat Ratio(Cp/Cv) of Fuel Pressurant</t>
  </si>
  <si>
    <t>Gamma_Press_Ox</t>
  </si>
  <si>
    <t>Specific Heat Ratio(Cp/Cv) of Ox Pressurant</t>
  </si>
  <si>
    <t>Outputs</t>
  </si>
  <si>
    <t>Vprop_fuel</t>
  </si>
  <si>
    <t>Total Volume of Fuel</t>
  </si>
  <si>
    <t>Vprop_ox</t>
  </si>
  <si>
    <t>Total Volume of oxidizer</t>
  </si>
  <si>
    <t>Pftank_Fuel</t>
  </si>
  <si>
    <t>Final Fuel Tank Pressure</t>
  </si>
  <si>
    <t>Pftank_Ox</t>
  </si>
  <si>
    <t>Final Ox Tank Pressure</t>
  </si>
  <si>
    <t>Pcomb_final</t>
  </si>
  <si>
    <t>Final CC_Pressure, Assuming 20%Pc injector drop</t>
  </si>
  <si>
    <t>ΔP_Injector_ideal</t>
  </si>
  <si>
    <t>Final Injector Pressure Drop</t>
  </si>
  <si>
    <t>Injector Drop Output:</t>
  </si>
  <si>
    <t>Pinj / Pcomb (Fuel)</t>
  </si>
  <si>
    <t>Goal 1.20</t>
  </si>
  <si>
    <t>Pinj / Pcomb (Ox)</t>
  </si>
  <si>
    <t>ΔP_final Injector(Fuel)</t>
  </si>
  <si>
    <t>ΔP_final Injector(Ox)</t>
  </si>
  <si>
    <t>FlowRateCalc Output: (dependent on Tank Drop Above)</t>
  </si>
  <si>
    <t>ΔP (fuel)</t>
  </si>
  <si>
    <t>ΔP (ox)</t>
  </si>
  <si>
    <t>total area of oxygen orifices</t>
  </si>
  <si>
    <t>mdot_ox_init</t>
  </si>
  <si>
    <t>initial mass flow rate of oxidizer</t>
  </si>
  <si>
    <t>head-loss coefficient(Ignore)</t>
  </si>
  <si>
    <t>mdot_total final</t>
  </si>
  <si>
    <t>mdot_ratio(f/i)</t>
  </si>
  <si>
    <t>o/f ratio_final</t>
  </si>
  <si>
    <t>mass flow ratio at empty tanks. If of_final &gt; of_tankinitial, ox will run out first(good)</t>
  </si>
  <si>
    <t>Burn Time (LOX-dominated) :</t>
  </si>
  <si>
    <r>
      <t xml:space="preserve">dependent on initial </t>
    </r>
    <r>
      <rPr>
        <b/>
        <sz val="10"/>
        <rFont val="Arial"/>
      </rPr>
      <t>LOX</t>
    </r>
    <r>
      <rPr>
        <sz val="10"/>
        <color rgb="FF000000"/>
        <rFont val="Arial"/>
      </rPr>
      <t xml:space="preserve"> flow rate(see InjectorDesign)</t>
    </r>
  </si>
  <si>
    <t>Final Thrust: (RPA)</t>
  </si>
  <si>
    <t>kN</t>
  </si>
  <si>
    <t>lbf</t>
  </si>
  <si>
    <t>Ethanol Fill Trial</t>
  </si>
  <si>
    <t>water in fill tank (g)</t>
  </si>
  <si>
    <t>water out (g)</t>
  </si>
  <si>
    <t>time (s)</t>
  </si>
  <si>
    <t xml:space="preserve"> left in tank (g)</t>
  </si>
  <si>
    <t>starting pressure (psi)</t>
  </si>
  <si>
    <t>rho</t>
  </si>
  <si>
    <t>vol left (L)</t>
  </si>
  <si>
    <t>eth rho</t>
  </si>
  <si>
    <t>Eth Mass (g)</t>
  </si>
  <si>
    <t>CONSTANTS</t>
  </si>
  <si>
    <t>water density</t>
  </si>
  <si>
    <t>g/L</t>
  </si>
  <si>
    <t>kg/m^3</t>
  </si>
  <si>
    <t>ethanol density</t>
  </si>
  <si>
    <t>avg</t>
  </si>
  <si>
    <t>hotfire day</t>
  </si>
  <si>
    <t>goal ethanol fill</t>
  </si>
  <si>
    <t>L</t>
  </si>
  <si>
    <t>goal water mass</t>
  </si>
  <si>
    <t>g</t>
  </si>
  <si>
    <t>goal water mass + left over</t>
  </si>
  <si>
    <t>fuel tank fill trial</t>
  </si>
  <si>
    <t>Eth Mass left(g)</t>
  </si>
  <si>
    <t>7zs</t>
  </si>
  <si>
    <t>40bar</t>
  </si>
  <si>
    <t>500psi</t>
  </si>
  <si>
    <t>goal eth fill in tank(input value)</t>
  </si>
  <si>
    <t>total eth mass needed</t>
  </si>
  <si>
    <t>trial 1</t>
  </si>
  <si>
    <t xml:space="preserve">Eth </t>
  </si>
  <si>
    <t>Total ethanol to use</t>
  </si>
  <si>
    <t>Ethanol fill to tank</t>
  </si>
  <si>
    <t>HOTFIRE</t>
  </si>
  <si>
    <t>Goal Ethanol fill to Eth tank</t>
  </si>
  <si>
    <t>total ethanol to use in transfer tank</t>
  </si>
  <si>
    <t>ethanol transfer tank clean weight</t>
  </si>
  <si>
    <t>or</t>
  </si>
  <si>
    <t xml:space="preserve">                                                                                                                           </t>
  </si>
  <si>
    <t>95% ETHANOL dilution</t>
  </si>
  <si>
    <t>Bottle clean weight(kg)</t>
  </si>
  <si>
    <t>99.5% eth net weight (kg)</t>
  </si>
  <si>
    <t>99.5% eth clean weight (kg)</t>
  </si>
  <si>
    <t>Water to add (kg)</t>
  </si>
  <si>
    <t>95.0% Eth clean weight</t>
  </si>
  <si>
    <t>Bottle 1</t>
  </si>
  <si>
    <t>Bottle 2</t>
  </si>
  <si>
    <t>updated 2/27/2024</t>
  </si>
  <si>
    <t>lox tank inner radius</t>
  </si>
  <si>
    <t>RTD hole extrusion (assume cone shape)</t>
  </si>
  <si>
    <t>in3</t>
  </si>
  <si>
    <t>lox tank cylinder portion height</t>
  </si>
  <si>
    <t>lox tank hemisphere volume</t>
  </si>
  <si>
    <t>total lox tank volume</t>
  </si>
  <si>
    <t>in^3</t>
  </si>
  <si>
    <t>lox tank cylinder volume</t>
  </si>
  <si>
    <t>lox volume needed (reference Flight Code in Github)</t>
  </si>
  <si>
    <t>conversion</t>
  </si>
  <si>
    <t>lox filled HEIGHT above bot hemisphere</t>
  </si>
  <si>
    <t>drop tube LENGTH needed</t>
  </si>
  <si>
    <t>summer 2023</t>
  </si>
  <si>
    <t>fall 2023</t>
  </si>
  <si>
    <t>drop tube length (compensate boil off)</t>
  </si>
  <si>
    <t>boiloff compensation</t>
  </si>
  <si>
    <t>previous length</t>
  </si>
  <si>
    <t>actual tube end to hole length</t>
  </si>
  <si>
    <t>fittings height (swagelok pair)</t>
  </si>
  <si>
    <t>previous tube end to hole length</t>
  </si>
  <si>
    <t>(07/2023)</t>
  </si>
  <si>
    <t>assume NPT threads raises</t>
  </si>
  <si>
    <t>need shift</t>
  </si>
  <si>
    <t>drop tube dimensions</t>
  </si>
  <si>
    <t>drop tube length (compensate boil off) (from above)</t>
  </si>
  <si>
    <t>Uncertainty</t>
  </si>
  <si>
    <t>OD</t>
  </si>
  <si>
    <t>thickness</t>
  </si>
  <si>
    <t>IF crimp:</t>
  </si>
  <si>
    <t xml:space="preserve">RSS uncertainty with boiloff: </t>
  </si>
  <si>
    <t>tube OD:</t>
  </si>
  <si>
    <t>crimp</t>
  </si>
  <si>
    <r>
      <rPr>
        <b/>
        <sz val="10"/>
        <rFont val="Arial"/>
      </rPr>
      <t>Determine Tolerance Range for Injector Machining:</t>
    </r>
    <r>
      <rPr>
        <sz val="10"/>
        <rFont val="Arial"/>
      </rPr>
      <t xml:space="preserve"> Based on max acceptable o/f ratio(from RPA temps: higher o/f &gt; higher flux to chamber walls) and prevention of LOX being last to finish draining(don't want to run lox only through our CC cause it'll burn everything)</t>
    </r>
  </si>
  <si>
    <t>ΔP</t>
  </si>
  <si>
    <t>o/f ratio TEST</t>
  </si>
  <si>
    <t>o/f ratio_MAX</t>
  </si>
  <si>
    <t>STOICHIOMETRIC</t>
  </si>
  <si>
    <t>o/f ratio_MIN</t>
  </si>
  <si>
    <t>SOURCED FROM BLOWDOWN CALCS TO PREVENT LOX-ONLY FLOW</t>
  </si>
  <si>
    <t xml:space="preserve">LE2 Impinger Angles </t>
  </si>
  <si>
    <t>Pressure Ratio across Injector (30% increase is safe)</t>
  </si>
  <si>
    <t>Final CC_Pressure, Assuming 30%Pc injector drop</t>
  </si>
  <si>
    <t>Injector Drop Output: (Optimal Combustion Chamber Pressure Constraint)</t>
  </si>
  <si>
    <t>Goal 1.30</t>
  </si>
  <si>
    <t>Burn Time:</t>
  </si>
  <si>
    <t>dependent on initial LOX flow rate(see InjectorDesign)</t>
  </si>
  <si>
    <t xml:space="preserve">Description: </t>
  </si>
  <si>
    <r>
      <t xml:space="preserve">The goal of a fluid component flow test is to calculate the equivalent </t>
    </r>
    <r>
      <rPr>
        <b/>
        <sz val="10"/>
        <rFont val="Arial"/>
      </rPr>
      <t>discharge coefficient</t>
    </r>
    <r>
      <rPr>
        <sz val="10"/>
        <color rgb="FF000000"/>
        <rFont val="Arial"/>
      </rPr>
      <t xml:space="preserve"> (Cd) for a given flow environment. To determine Cd, we control orifice area(or valve position, for which Cd*A would be considered Cd for a given valve position). We then measure pressure drop and mass flow and compute Cd according to formula for incompressible flow. Cd is mostly constant across flow ranges, but is a weak function of Reynolds Number at low flowrates(esp across turbulent flow transition range), so we want to target reynolds number-equivalent flowrates or interpolate Cd from a Reynolds Number - Cd curve.</t>
    </r>
  </si>
  <si>
    <t>Parameters:</t>
  </si>
  <si>
    <t>mdot_total_burn</t>
  </si>
  <si>
    <t>total actual flow</t>
  </si>
  <si>
    <t>d_orifice_ox</t>
  </si>
  <si>
    <t>(m)</t>
  </si>
  <si>
    <t>d_orifice_fuel</t>
  </si>
  <si>
    <t>Test calcs: Fuel Side</t>
  </si>
  <si>
    <t>vapor_press_testfluid</t>
  </si>
  <si>
    <t>Pressure of auto-boil</t>
  </si>
  <si>
    <t>ρ_testfluid</t>
  </si>
  <si>
    <t>g/cc</t>
  </si>
  <si>
    <t>Density of test fluid - water</t>
  </si>
  <si>
    <t>μ_testfluid</t>
  </si>
  <si>
    <t>mPa-s</t>
  </si>
  <si>
    <t>Viscosity of test fluid - water</t>
  </si>
  <si>
    <t>velocity_equivalent_Re</t>
  </si>
  <si>
    <t>mdot_Re_target</t>
  </si>
  <si>
    <t>Mass flow for target Re</t>
  </si>
  <si>
    <t>Pressure Lost (Dynamic P)</t>
  </si>
  <si>
    <t>Necessary Downstream Pressure</t>
  </si>
  <si>
    <t>Test calcs: LOX Side</t>
  </si>
  <si>
    <r>
      <rPr>
        <b/>
        <sz val="10"/>
        <rFont val="Arial"/>
      </rPr>
      <t>CONCLUSION</t>
    </r>
    <r>
      <rPr>
        <sz val="10"/>
        <color rgb="FF000000"/>
        <rFont val="Arial"/>
      </rPr>
      <t>: Obviously Impossible to hit this Reynolds number with water. Need to interpolate.</t>
    </r>
  </si>
  <si>
    <t>Test Clacs: Water Cavitation</t>
  </si>
  <si>
    <t>pressure drop</t>
  </si>
  <si>
    <t>Cavitated?</t>
  </si>
  <si>
    <t>Tube Dynamic Pressure Loss</t>
  </si>
  <si>
    <t>Dtube</t>
  </si>
  <si>
    <t>Atube</t>
  </si>
  <si>
    <t>m2</t>
  </si>
  <si>
    <t>Mdot</t>
  </si>
  <si>
    <t>kg/s</t>
  </si>
  <si>
    <t>Vthrutube</t>
  </si>
  <si>
    <t>dynamicP</t>
  </si>
  <si>
    <t>N2 volume flow</t>
  </si>
  <si>
    <t>L/min</t>
  </si>
  <si>
    <t>L/s</t>
  </si>
  <si>
    <t>tube temperature</t>
  </si>
  <si>
    <t>C</t>
  </si>
  <si>
    <t>Constants</t>
  </si>
  <si>
    <t>L vap N</t>
  </si>
  <si>
    <t>kJ/kg</t>
  </si>
  <si>
    <t>T sat LN @atm</t>
  </si>
  <si>
    <t xml:space="preserve">gaseous N sat density </t>
  </si>
  <si>
    <t>kg/L</t>
  </si>
  <si>
    <t>L vap Ox</t>
  </si>
  <si>
    <t xml:space="preserve">LOX sat density </t>
  </si>
  <si>
    <t>g/cm3</t>
  </si>
  <si>
    <t>expected LOX mass lost rate</t>
  </si>
  <si>
    <t>converted to VOLUME FLOW</t>
  </si>
  <si>
    <t>m^3/s</t>
  </si>
  <si>
    <t>(N2volume flow/LN desntiy)*Lvap N/(T out- T in LN)*(T out- T in LOX)/L vap Ox</t>
  </si>
  <si>
    <t>Min: Fill to Hotfire</t>
  </si>
  <si>
    <t>Compensation</t>
  </si>
  <si>
    <t xml:space="preserve">L </t>
  </si>
  <si>
    <t>mL</t>
  </si>
  <si>
    <t>cm^3</t>
  </si>
  <si>
    <t>cm</t>
  </si>
  <si>
    <t>lox tank circular area</t>
  </si>
  <si>
    <t>cm^2</t>
  </si>
  <si>
    <t>compensation height</t>
  </si>
  <si>
    <t>Orifice Flow Calculator: Set mass flow by choking flow across an orifice of known Cd</t>
  </si>
  <si>
    <t>Component</t>
  </si>
  <si>
    <t>Regulator Droop Cal.</t>
  </si>
  <si>
    <t>LOX Fill Line Drain Orifice</t>
  </si>
  <si>
    <t>Trickle Purge</t>
  </si>
  <si>
    <t>LOX Press</t>
  </si>
  <si>
    <t>ETH Press</t>
  </si>
  <si>
    <t xml:space="preserve">Description </t>
  </si>
  <si>
    <t>Mass Flowrate (kg/s)</t>
  </si>
  <si>
    <t>Result:</t>
  </si>
  <si>
    <t>d_orifice (in)</t>
  </si>
  <si>
    <t>d_orifice (m)</t>
  </si>
  <si>
    <t>A_orifice (m^2)</t>
  </si>
  <si>
    <t>Lee Ohm</t>
  </si>
  <si>
    <t>Water Cv (gpm/psi^.5)</t>
  </si>
  <si>
    <t>Cd (dim)</t>
  </si>
  <si>
    <t>Cd*A (m^2)</t>
  </si>
  <si>
    <t>Fluid</t>
  </si>
  <si>
    <t>Nitrogen</t>
  </si>
  <si>
    <t>Helium</t>
  </si>
  <si>
    <t xml:space="preserve">Molecular Mass (kg/mol) </t>
  </si>
  <si>
    <t>R_gas (J/kg-K)</t>
  </si>
  <si>
    <t>Gamma (dim)</t>
  </si>
  <si>
    <t>Upstream</t>
  </si>
  <si>
    <t>Upstream Pressure (Pa)</t>
  </si>
  <si>
    <t>Upstream Pressure (psia)</t>
  </si>
  <si>
    <t>Temp (K)</t>
  </si>
  <si>
    <t>Temp (F)</t>
  </si>
  <si>
    <t>*Density (kg/m^3)</t>
  </si>
  <si>
    <t>Downstream</t>
  </si>
  <si>
    <t>Downstream Pressure (Pa)</t>
  </si>
  <si>
    <t>Downstream Pressure (psi)</t>
  </si>
  <si>
    <t>Temp(K)</t>
  </si>
  <si>
    <t>Temp(F)</t>
  </si>
  <si>
    <t>*Density(kg/m^3)</t>
  </si>
  <si>
    <t>Flow Results</t>
  </si>
  <si>
    <t>Choked?</t>
  </si>
  <si>
    <t>m_dot_choked (kg/s)</t>
  </si>
  <si>
    <t>m_dot_subsonic (kg/s)</t>
  </si>
  <si>
    <t>m_dot (kg/s)</t>
  </si>
  <si>
    <t>m_dot (lbm/s)</t>
  </si>
  <si>
    <t>Density @STP (kg/m^3)</t>
  </si>
  <si>
    <t>V_dot @STP (m^3/s)</t>
  </si>
  <si>
    <t>V_dot (scim)</t>
  </si>
  <si>
    <t>V_dot (scfm)</t>
  </si>
  <si>
    <t>V_dot (L/min)</t>
  </si>
  <si>
    <t>Notes</t>
  </si>
  <si>
    <r>
      <rPr>
        <sz val="10"/>
        <color rgb="FF000000"/>
        <rFont val="Arial"/>
      </rPr>
      <t xml:space="preserve">*Density Calc: </t>
    </r>
    <r>
      <rPr>
        <u/>
        <sz val="10"/>
        <color rgb="FF1155CC"/>
        <rFont val="Arial"/>
      </rPr>
      <t>http://www.peacesoftware.de/einigewerte/stickstoff_e.html</t>
    </r>
  </si>
  <si>
    <t>Temperature (K)</t>
  </si>
  <si>
    <t>Pressure (MPa)</t>
  </si>
  <si>
    <t>Density (mol/l)</t>
  </si>
  <si>
    <t>Volume (l/mol)</t>
  </si>
  <si>
    <t>Internal Energy (kJ/mol)</t>
  </si>
  <si>
    <t>Enthalpy (kJ/mol)</t>
  </si>
  <si>
    <t>Entropy (J/mol*K)</t>
  </si>
  <si>
    <t>Cv (J/mol*K)</t>
  </si>
  <si>
    <t>Cp (J/mol*K)</t>
  </si>
  <si>
    <t>Sound Spd. (m/s)</t>
  </si>
  <si>
    <t>Joule-Thomson (K/MPa)</t>
  </si>
  <si>
    <t>Viscosity (uPa*s)</t>
  </si>
  <si>
    <t>Therm. Cond. (W/m*K)</t>
  </si>
  <si>
    <t>Phase</t>
  </si>
  <si>
    <t>liquid</t>
  </si>
  <si>
    <t>vapor</t>
  </si>
  <si>
    <t>T_ambient air</t>
  </si>
  <si>
    <t>()</t>
  </si>
  <si>
    <t>T_exterior</t>
  </si>
  <si>
    <t>T_LOX</t>
  </si>
  <si>
    <t>T_ETH(output)</t>
  </si>
  <si>
    <t>ethanol Tfreeze</t>
  </si>
  <si>
    <t>(==LOX tank cylinder portion height)</t>
  </si>
  <si>
    <t>t_ins</t>
  </si>
  <si>
    <t>k_ins</t>
  </si>
  <si>
    <t>W/mK</t>
  </si>
  <si>
    <t>assume k_Al==inf</t>
  </si>
  <si>
    <t>assume k_SS==inf</t>
  </si>
  <si>
    <t>\</t>
  </si>
  <si>
    <t>D_airframe</t>
  </si>
  <si>
    <t>t_airframe</t>
  </si>
  <si>
    <t>k_airframe</t>
  </si>
  <si>
    <t>k_eth</t>
  </si>
  <si>
    <t>D_eth(varibal input)</t>
  </si>
  <si>
    <t xml:space="preserve">FOR </t>
  </si>
  <si>
    <t>" tube</t>
  </si>
  <si>
    <t>A_ethanol_w_airframe</t>
  </si>
  <si>
    <t>in^2</t>
  </si>
  <si>
    <t>m^2</t>
  </si>
  <si>
    <t>ASSUMPTION</t>
  </si>
  <si>
    <t>~1/5* tube Diameter contact with airframe</t>
  </si>
  <si>
    <t>A_ethanol_w_insulation</t>
  </si>
  <si>
    <t>~3/5* tube Diameter contact with airframe</t>
  </si>
  <si>
    <t>A_ethanol_prism_average</t>
  </si>
  <si>
    <t>Environment conditions</t>
  </si>
  <si>
    <t>FAR</t>
  </si>
  <si>
    <t>need to update with FAR website</t>
  </si>
  <si>
    <t>T</t>
  </si>
  <si>
    <t>F</t>
  </si>
  <si>
    <t>(needs to update by season)</t>
  </si>
  <si>
    <t xml:space="preserve">wind speed,v </t>
  </si>
  <si>
    <t>mph</t>
  </si>
  <si>
    <t>Pressure</t>
  </si>
  <si>
    <t>inHg</t>
  </si>
  <si>
    <t>kinematic viscosity, vv</t>
  </si>
  <si>
    <t>Pa s</t>
  </si>
  <si>
    <t>(update by calc with P, T)</t>
  </si>
  <si>
    <t>Reynold number, Re, airframe</t>
  </si>
  <si>
    <t>h_ambient air</t>
  </si>
  <si>
    <t>W/m^2*K</t>
  </si>
  <si>
    <t>R_conv,air</t>
  </si>
  <si>
    <t>K/W</t>
  </si>
  <si>
    <t>idk</t>
  </si>
  <si>
    <t>R_cond_fiberglass airframe</t>
  </si>
  <si>
    <t>Req_1</t>
  </si>
  <si>
    <t>R_cond_ethanol</t>
  </si>
  <si>
    <t>R_cond_ethanol+insulation</t>
  </si>
  <si>
    <t>Req_2</t>
  </si>
  <si>
    <t>Determine # of Purge Cycles to clear airborne H2O to acceptable level(prevent valve icing)</t>
  </si>
  <si>
    <t>LOX System Pre-Fill Purge</t>
  </si>
  <si>
    <t>Ambient Temperature</t>
  </si>
  <si>
    <t>Farenheit</t>
  </si>
  <si>
    <t>(Kelvin)</t>
  </si>
  <si>
    <t>N2 Tank Volume</t>
  </si>
  <si>
    <t>(c.i.)</t>
  </si>
  <si>
    <t>ci to gal</t>
  </si>
  <si>
    <t>LOX Tank/Lines Volume</t>
  </si>
  <si>
    <t>Tank Purge Pressure</t>
  </si>
  <si>
    <t>F to K</t>
  </si>
  <si>
    <t>N2 Tank Initial Pressure</t>
  </si>
  <si>
    <t>psi to Pa</t>
  </si>
  <si>
    <t>Initial H2O concentration</t>
  </si>
  <si>
    <t>(ppm)</t>
  </si>
  <si>
    <t>Required H2O concentration</t>
  </si>
  <si>
    <t>ppm</t>
  </si>
  <si>
    <t>ci to L</t>
  </si>
  <si>
    <t>Number of Cycles</t>
  </si>
  <si>
    <t>gal to L</t>
  </si>
  <si>
    <t>psi to atm</t>
  </si>
  <si>
    <t>initial tank air</t>
  </si>
  <si>
    <t>mol</t>
  </si>
  <si>
    <t>initial N2 moles</t>
  </si>
  <si>
    <t>Outputs (isothermal)</t>
  </si>
  <si>
    <t>N2 moles (after single cycle)</t>
  </si>
  <si>
    <t>N2 pressure (after single cycle)</t>
  </si>
  <si>
    <t>(psia)</t>
  </si>
  <si>
    <t>final ppm (goal 70-100ppm)</t>
  </si>
  <si>
    <t>Kelvin</t>
  </si>
  <si>
    <t>R=</t>
  </si>
  <si>
    <t>L*atm/mol/K</t>
  </si>
  <si>
    <t>atm</t>
  </si>
  <si>
    <t>intial tank air</t>
  </si>
  <si>
    <t>intial N2</t>
  </si>
  <si>
    <t>manual plug in:</t>
  </si>
  <si>
    <t>Determine moles/tanks of He needed to pressurize LOX &amp; Ethanol tanks for hotfire</t>
  </si>
  <si>
    <t>Pressurization</t>
  </si>
  <si>
    <t>LOX tank temp (high end)</t>
  </si>
  <si>
    <t>LOX tank temp (low end)</t>
  </si>
  <si>
    <t xml:space="preserve">Ethanol tank temp </t>
  </si>
  <si>
    <t>N2 volume in LOX tank</t>
  </si>
  <si>
    <t>N2 volume in Ethanol tank</t>
  </si>
  <si>
    <t xml:space="preserve">target LOX pressure </t>
  </si>
  <si>
    <t>target Ethanol pressure</t>
  </si>
  <si>
    <t>N2 tank volume (90 c.i)</t>
  </si>
  <si>
    <t>initial N2 tank pressure</t>
  </si>
  <si>
    <t>N2 moles in 1 tank (90c.i, 3500 psi)</t>
  </si>
  <si>
    <t>w/ high end temp</t>
  </si>
  <si>
    <t>w/ low end temp</t>
  </si>
  <si>
    <t>N2 moles needed for LOX</t>
  </si>
  <si>
    <t>he</t>
  </si>
  <si>
    <t>molar mass</t>
  </si>
  <si>
    <t>N2 moles needed for Ethanol</t>
  </si>
  <si>
    <t>total N2 moles needed (high end temp)</t>
  </si>
  <si>
    <t>total N2 moles needed (with safety factor = 4)</t>
  </si>
  <si>
    <t>mass He</t>
  </si>
  <si>
    <t>max N2 moles in N2 tank (90ci, 3500psi)</t>
  </si>
  <si>
    <t>max N2 moles can send before pressure drop disappears</t>
  </si>
  <si>
    <t>max N2 moles can send (2 tanks)</t>
  </si>
  <si>
    <t>Conclusion</t>
  </si>
  <si>
    <t># N2 tanks needed:</t>
  </si>
  <si>
    <t>tanks</t>
  </si>
  <si>
    <t xml:space="preserve">note: </t>
  </si>
  <si>
    <t>need to account for pipe volume</t>
  </si>
  <si>
    <t>temperature increase in N2 tank when moles decrease and pressure constant</t>
  </si>
  <si>
    <t>Determine moles/tanks of N2 needed to pressurize LOX &amp; Ethanol tanks for hotfire</t>
  </si>
  <si>
    <t>Pressure (psia)</t>
  </si>
  <si>
    <t>Density (l, kg/m3)</t>
  </si>
  <si>
    <t>Volume (l, m3/kg)</t>
  </si>
  <si>
    <t>Internal Energy (l, kJ/kg)</t>
  </si>
  <si>
    <t>Enthalpy (l, kJ/kg)</t>
  </si>
  <si>
    <t>Entropy (l, J/g*K)</t>
  </si>
  <si>
    <t>Cv (l, J/g*K)</t>
  </si>
  <si>
    <t>Cp (l, J/g*K)</t>
  </si>
  <si>
    <t>Sound Spd. (l, m/s)</t>
  </si>
  <si>
    <t>Joule-Thomson (l, F/psia)</t>
  </si>
  <si>
    <t>Viscosity (l, uPa*s)</t>
  </si>
  <si>
    <t>Therm. Cond. (l, W/m*K)</t>
  </si>
  <si>
    <t>Surf. Tension (l, N/m)</t>
  </si>
  <si>
    <t>Density (v, kg/m3)</t>
  </si>
  <si>
    <t>Volume (v, m3/kg)</t>
  </si>
  <si>
    <t>Internal Energy (v, kJ/kg)</t>
  </si>
  <si>
    <t>Enthalpy (v, kJ/kg)</t>
  </si>
  <si>
    <t>Entropy (v, J/g*K)</t>
  </si>
  <si>
    <t>Cv (v, J/g*K)</t>
  </si>
  <si>
    <t>Cp (v, J/g*K)</t>
  </si>
  <si>
    <t>Sound Spd. (v, m/s)</t>
  </si>
  <si>
    <t>Joule-Thomson (v, F/psia)</t>
  </si>
  <si>
    <t>Viscosity (v, uPa*s)</t>
  </si>
  <si>
    <t>Therm. Cond. (v, W/m*K)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</si>
</sst>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5">
    <numFmt numFmtId="164" formatCode="0.0000"/>
    <numFmt numFmtId="165" formatCode="0.00000"/>
    <numFmt numFmtId="166" formatCode="0.00000000"/>
    <numFmt numFmtId="167" formatCode="0.000"/>
    <numFmt numFmtId="168" formatCode="0.0000000"/>
    <numFmt numFmtId="169" formatCode="0.000000000"/>
    <numFmt numFmtId="170" formatCode="0.0"/>
    <numFmt numFmtId="171" formatCode="0.000000"/>
    <numFmt numFmtId="172" formatCode="m/d"/>
    <numFmt numFmtId="173" formatCode="0.0000000000"/>
    <numFmt numFmtId="174" formatCode="mm/dd/yyyy"/>
    <numFmt numFmtId="175" formatCode="0.00000000000"/>
    <numFmt numFmtId="176" formatCode="0.0000000000000"/>
    <numFmt numFmtId="177" formatCode="#,##0.0000"/>
    <numFmt numFmtId="178" formatCode="#,##0.000"/>
  </numFmts>
  <fonts count="34">
    <font>
      <sz val="10"/>
      <color rgb="FF000000"/>
      <name val="Arial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Inconsolata"/>
    </font>
    <font>
      <sz val="10"/>
      <name val="Arial"/>
    </font>
    <font>
      <sz val="9"/>
      <color rgb="FF000000"/>
      <name val="&quot;Google Sans Mono&quot;"/>
    </font>
    <font>
      <sz val="9"/>
      <color rgb="FF000000"/>
      <name val="Google Sans Mono"/>
    </font>
    <font>
      <sz val="9"/>
      <name val="Arial"/>
    </font>
    <font>
      <b/>
      <u/>
      <sz val="12"/>
      <color rgb="FF0000FF"/>
      <name val="Arial"/>
    </font>
    <font>
      <b/>
      <sz val="12"/>
      <name val="Arial"/>
    </font>
    <font>
      <b/>
      <sz val="16"/>
      <name val="Arial"/>
    </font>
    <font>
      <b/>
      <sz val="14"/>
      <name val="Arial"/>
    </font>
    <font>
      <b/>
      <sz val="10"/>
      <name val="Arial"/>
    </font>
    <font>
      <sz val="12"/>
      <name val="Arial"/>
    </font>
    <font>
      <b/>
      <sz val="10"/>
      <color rgb="FFFF0000"/>
      <name val="Arial"/>
    </font>
    <font>
      <sz val="10"/>
      <color rgb="FFFF0000"/>
      <name val="Arial"/>
    </font>
    <font>
      <b/>
      <sz val="10"/>
      <color rgb="FFFF9900"/>
      <name val="Arial"/>
    </font>
    <font>
      <sz val="10"/>
      <color rgb="FF00FFFF"/>
      <name val="Arial"/>
    </font>
    <font>
      <b/>
      <sz val="9"/>
      <color rgb="FFFF0000"/>
      <name val="&quot;Google Sans Mono&quot;"/>
    </font>
    <font>
      <sz val="11"/>
      <color rgb="FF1155CC"/>
      <name val="Inconsolata"/>
    </font>
    <font>
      <sz val="9"/>
      <color rgb="FF7E3794"/>
      <name val="&quot;Google Sans Mono&quot;"/>
    </font>
    <font>
      <sz val="10"/>
      <color rgb="FF000000"/>
      <name val="Roboto"/>
    </font>
    <font>
      <sz val="10"/>
      <color rgb="FF000000"/>
      <name val="Arial"/>
    </font>
    <font>
      <u/>
      <sz val="10"/>
      <color rgb="FF0000FF"/>
      <name val="Arial"/>
    </font>
    <font>
      <sz val="9"/>
      <color rgb="FF1155CC"/>
      <name val="&quot;Google Sans Mono&quot;"/>
    </font>
    <font>
      <sz val="11"/>
      <color rgb="FF1F1F1F"/>
      <name val="&quot;Google Sans&quot;"/>
    </font>
    <font>
      <b/>
      <sz val="14"/>
      <name val="Arial"/>
    </font>
    <font>
      <sz val="12"/>
      <name val="Arial"/>
    </font>
    <font>
      <sz val="11"/>
      <name val="Inconsolata"/>
    </font>
    <font>
      <sz val="10"/>
      <name val="Roboto"/>
    </font>
    <font>
      <b/>
      <u/>
      <sz val="12"/>
      <color rgb="FF1155CC"/>
      <name val="Arial"/>
    </font>
    <font>
      <u/>
      <sz val="10"/>
      <color rgb="FF1155CC"/>
      <name val="Arial"/>
    </font>
  </fonts>
  <fills count="22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FEF8E3"/>
        <bgColor rgb="FFFEF8E3"/>
      </patternFill>
    </fill>
    <fill>
      <patternFill patternType="solid">
        <fgColor rgb="FF999999"/>
        <bgColor rgb="FF999999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000000"/>
        <bgColor rgb="FF000000"/>
      </patternFill>
    </fill>
    <fill>
      <patternFill patternType="solid">
        <fgColor rgb="FFEA9999"/>
        <bgColor rgb="FFEA9999"/>
      </patternFill>
    </fill>
    <fill>
      <patternFill patternType="solid">
        <fgColor rgb="FFBFBFBF"/>
        <bgColor rgb="FFBFBFBF"/>
      </patternFill>
    </fill>
    <fill>
      <patternFill patternType="solid">
        <fgColor rgb="FFFF00FF"/>
        <bgColor rgb="FFFF00FF"/>
      </patternFill>
    </fill>
    <fill>
      <patternFill patternType="solid">
        <fgColor rgb="FFFF0000"/>
        <bgColor rgb="FFFF0000"/>
      </patternFill>
    </fill>
    <fill>
      <patternFill patternType="solid">
        <fgColor rgb="FF4A86E8"/>
        <bgColor rgb="FF4A86E8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2" borderId="0" xfId="0" applyFont="1" applyFill="1"/>
    <xf numFmtId="164" fontId="2" fillId="0" borderId="0" xfId="0" applyNumberFormat="1" applyFont="1"/>
    <xf numFmtId="1" fontId="2" fillId="0" borderId="0" xfId="0" applyNumberFormat="1" applyFont="1"/>
    <xf numFmtId="165" fontId="2" fillId="0" borderId="0" xfId="0" applyNumberFormat="1" applyFont="1"/>
    <xf numFmtId="166" fontId="2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right"/>
    </xf>
    <xf numFmtId="167" fontId="2" fillId="0" borderId="0" xfId="0" applyNumberFormat="1" applyFont="1"/>
    <xf numFmtId="167" fontId="1" fillId="0" borderId="0" xfId="0" applyNumberFormat="1" applyFont="1"/>
    <xf numFmtId="2" fontId="1" fillId="0" borderId="0" xfId="0" applyNumberFormat="1" applyFont="1"/>
    <xf numFmtId="2" fontId="2" fillId="0" borderId="0" xfId="0" applyNumberFormat="1" applyFont="1"/>
    <xf numFmtId="167" fontId="2" fillId="2" borderId="0" xfId="0" applyNumberFormat="1" applyFont="1" applyFill="1"/>
    <xf numFmtId="0" fontId="2" fillId="0" borderId="0" xfId="0" applyFont="1" applyAlignment="1">
      <alignment horizontal="right"/>
    </xf>
    <xf numFmtId="168" fontId="0" fillId="3" borderId="0" xfId="0" applyNumberFormat="1" applyFill="1"/>
    <xf numFmtId="168" fontId="2" fillId="0" borderId="0" xfId="0" applyNumberFormat="1" applyFont="1"/>
    <xf numFmtId="0" fontId="4" fillId="3" borderId="0" xfId="0" applyFont="1" applyFill="1" applyAlignment="1">
      <alignment horizontal="left"/>
    </xf>
    <xf numFmtId="0" fontId="5" fillId="3" borderId="0" xfId="0" applyFont="1" applyFill="1"/>
    <xf numFmtId="169" fontId="0" fillId="3" borderId="0" xfId="0" applyNumberFormat="1" applyFill="1"/>
    <xf numFmtId="169" fontId="2" fillId="0" borderId="0" xfId="0" applyNumberFormat="1" applyFont="1"/>
    <xf numFmtId="0" fontId="1" fillId="4" borderId="0" xfId="0" applyFont="1" applyFill="1"/>
    <xf numFmtId="164" fontId="2" fillId="4" borderId="0" xfId="0" applyNumberFormat="1" applyFont="1" applyFill="1"/>
    <xf numFmtId="0" fontId="2" fillId="4" borderId="0" xfId="0" applyFont="1" applyFill="1"/>
    <xf numFmtId="167" fontId="2" fillId="4" borderId="0" xfId="0" applyNumberFormat="1" applyFont="1" applyFill="1"/>
    <xf numFmtId="164" fontId="0" fillId="3" borderId="0" xfId="0" applyNumberFormat="1" applyFill="1"/>
    <xf numFmtId="2" fontId="0" fillId="3" borderId="0" xfId="0" applyNumberFormat="1" applyFill="1"/>
    <xf numFmtId="170" fontId="2" fillId="0" borderId="0" xfId="0" applyNumberFormat="1" applyFont="1"/>
    <xf numFmtId="1" fontId="6" fillId="0" borderId="0" xfId="0" applyNumberFormat="1" applyFont="1"/>
    <xf numFmtId="1" fontId="6" fillId="4" borderId="0" xfId="0" applyNumberFormat="1" applyFont="1" applyFill="1"/>
    <xf numFmtId="1" fontId="0" fillId="3" borderId="0" xfId="0" applyNumberFormat="1" applyFill="1"/>
    <xf numFmtId="167" fontId="6" fillId="0" borderId="0" xfId="0" applyNumberFormat="1" applyFont="1"/>
    <xf numFmtId="171" fontId="6" fillId="0" borderId="0" xfId="0" applyNumberFormat="1" applyFont="1"/>
    <xf numFmtId="171" fontId="7" fillId="3" borderId="0" xfId="0" applyNumberFormat="1" applyFont="1" applyFill="1"/>
    <xf numFmtId="170" fontId="0" fillId="3" borderId="0" xfId="0" applyNumberFormat="1" applyFill="1"/>
    <xf numFmtId="0" fontId="1" fillId="5" borderId="0" xfId="0" applyFont="1" applyFill="1"/>
    <xf numFmtId="1" fontId="2" fillId="5" borderId="0" xfId="0" applyNumberFormat="1" applyFont="1" applyFill="1"/>
    <xf numFmtId="0" fontId="2" fillId="5" borderId="0" xfId="0" applyFont="1" applyFill="1"/>
    <xf numFmtId="2" fontId="5" fillId="3" borderId="0" xfId="0" applyNumberFormat="1" applyFont="1" applyFill="1"/>
    <xf numFmtId="1" fontId="5" fillId="3" borderId="0" xfId="0" applyNumberFormat="1" applyFont="1" applyFill="1"/>
    <xf numFmtId="171" fontId="2" fillId="0" borderId="0" xfId="0" applyNumberFormat="1" applyFont="1"/>
    <xf numFmtId="0" fontId="1" fillId="6" borderId="0" xfId="0" applyFont="1" applyFill="1"/>
    <xf numFmtId="1" fontId="2" fillId="6" borderId="0" xfId="0" applyNumberFormat="1" applyFont="1" applyFill="1"/>
    <xf numFmtId="0" fontId="2" fillId="6" borderId="0" xfId="0" applyFont="1" applyFill="1"/>
    <xf numFmtId="0" fontId="2" fillId="7" borderId="0" xfId="0" applyFont="1" applyFill="1"/>
    <xf numFmtId="0" fontId="4" fillId="0" borderId="0" xfId="0" applyFont="1" applyAlignment="1">
      <alignment horizontal="left"/>
    </xf>
    <xf numFmtId="0" fontId="2" fillId="8" borderId="0" xfId="0" applyFont="1" applyFill="1"/>
    <xf numFmtId="170" fontId="2" fillId="8" borderId="0" xfId="0" applyNumberFormat="1" applyFont="1" applyFill="1"/>
    <xf numFmtId="0" fontId="5" fillId="8" borderId="0" xfId="0" applyFont="1" applyFill="1"/>
    <xf numFmtId="167" fontId="2" fillId="8" borderId="0" xfId="0" applyNumberFormat="1" applyFont="1" applyFill="1"/>
    <xf numFmtId="14" fontId="2" fillId="0" borderId="0" xfId="0" applyNumberFormat="1" applyFont="1"/>
    <xf numFmtId="1" fontId="2" fillId="8" borderId="0" xfId="0" applyNumberFormat="1" applyFont="1" applyFill="1"/>
    <xf numFmtId="0" fontId="2" fillId="9" borderId="0" xfId="0" applyFont="1" applyFill="1"/>
    <xf numFmtId="167" fontId="2" fillId="9" borderId="0" xfId="0" applyNumberFormat="1" applyFont="1" applyFill="1"/>
    <xf numFmtId="170" fontId="2" fillId="9" borderId="0" xfId="0" applyNumberFormat="1" applyFont="1" applyFill="1"/>
    <xf numFmtId="0" fontId="5" fillId="9" borderId="0" xfId="0" applyFont="1" applyFill="1"/>
    <xf numFmtId="172" fontId="2" fillId="0" borderId="0" xfId="0" applyNumberFormat="1" applyFont="1"/>
    <xf numFmtId="172" fontId="3" fillId="0" borderId="0" xfId="0" applyNumberFormat="1" applyFont="1" applyAlignment="1">
      <alignment horizontal="right"/>
    </xf>
    <xf numFmtId="167" fontId="3" fillId="0" borderId="0" xfId="0" applyNumberFormat="1" applyFont="1" applyAlignment="1">
      <alignment horizontal="center"/>
    </xf>
    <xf numFmtId="1" fontId="3" fillId="8" borderId="0" xfId="0" applyNumberFormat="1" applyFont="1" applyFill="1" applyAlignment="1">
      <alignment horizontal="center"/>
    </xf>
    <xf numFmtId="166" fontId="3" fillId="0" borderId="0" xfId="0" applyNumberFormat="1" applyFont="1" applyAlignment="1">
      <alignment horizontal="right"/>
    </xf>
    <xf numFmtId="0" fontId="5" fillId="3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67" fontId="3" fillId="0" borderId="0" xfId="0" applyNumberFormat="1" applyFont="1"/>
    <xf numFmtId="172" fontId="3" fillId="0" borderId="0" xfId="0" applyNumberFormat="1" applyFont="1"/>
    <xf numFmtId="173" fontId="3" fillId="0" borderId="0" xfId="0" applyNumberFormat="1" applyFont="1" applyAlignment="1">
      <alignment horizontal="center"/>
    </xf>
    <xf numFmtId="172" fontId="4" fillId="10" borderId="0" xfId="0" applyNumberFormat="1" applyFont="1" applyFill="1" applyAlignment="1">
      <alignment horizontal="right"/>
    </xf>
    <xf numFmtId="14" fontId="4" fillId="10" borderId="0" xfId="0" applyNumberFormat="1" applyFont="1" applyFill="1" applyAlignment="1">
      <alignment horizontal="right"/>
    </xf>
    <xf numFmtId="174" fontId="2" fillId="0" borderId="0" xfId="0" applyNumberFormat="1" applyFont="1"/>
    <xf numFmtId="175" fontId="5" fillId="3" borderId="0" xfId="0" applyNumberFormat="1" applyFont="1" applyFill="1" applyAlignment="1">
      <alignment horizontal="center"/>
    </xf>
    <xf numFmtId="0" fontId="4" fillId="10" borderId="0" xfId="0" applyFont="1" applyFill="1" applyAlignment="1">
      <alignment horizontal="left"/>
    </xf>
    <xf numFmtId="173" fontId="2" fillId="0" borderId="0" xfId="0" applyNumberFormat="1" applyFont="1"/>
    <xf numFmtId="0" fontId="7" fillId="3" borderId="0" xfId="0" applyFont="1" applyFill="1"/>
    <xf numFmtId="173" fontId="6" fillId="0" borderId="0" xfId="0" applyNumberFormat="1" applyFont="1"/>
    <xf numFmtId="167" fontId="3" fillId="3" borderId="0" xfId="0" applyNumberFormat="1" applyFont="1" applyFill="1" applyAlignment="1">
      <alignment horizontal="center"/>
    </xf>
    <xf numFmtId="0" fontId="3" fillId="10" borderId="0" xfId="0" applyFont="1" applyFill="1"/>
    <xf numFmtId="0" fontId="3" fillId="10" borderId="0" xfId="0" applyFont="1" applyFill="1" applyAlignment="1">
      <alignment horizontal="right"/>
    </xf>
    <xf numFmtId="167" fontId="3" fillId="10" borderId="0" xfId="0" applyNumberFormat="1" applyFont="1" applyFill="1" applyAlignment="1">
      <alignment horizontal="center"/>
    </xf>
    <xf numFmtId="1" fontId="3" fillId="10" borderId="0" xfId="0" applyNumberFormat="1" applyFont="1" applyFill="1" applyAlignment="1">
      <alignment horizontal="center"/>
    </xf>
    <xf numFmtId="166" fontId="3" fillId="10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0" fontId="3" fillId="3" borderId="0" xfId="0" applyFont="1" applyFill="1"/>
    <xf numFmtId="0" fontId="3" fillId="3" borderId="0" xfId="0" applyFont="1" applyFill="1" applyAlignment="1">
      <alignment horizontal="right"/>
    </xf>
    <xf numFmtId="1" fontId="3" fillId="3" borderId="0" xfId="0" applyNumberFormat="1" applyFont="1" applyFill="1" applyAlignment="1">
      <alignment horizontal="center"/>
    </xf>
    <xf numFmtId="166" fontId="3" fillId="3" borderId="0" xfId="0" applyNumberFormat="1" applyFont="1" applyFill="1" applyAlignment="1">
      <alignment horizontal="right"/>
    </xf>
    <xf numFmtId="0" fontId="3" fillId="10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9" fillId="0" borderId="0" xfId="0" applyFont="1"/>
    <xf numFmtId="166" fontId="0" fillId="3" borderId="0" xfId="0" applyNumberFormat="1" applyFill="1"/>
    <xf numFmtId="176" fontId="2" fillId="0" borderId="0" xfId="0" applyNumberFormat="1" applyFont="1"/>
    <xf numFmtId="170" fontId="1" fillId="0" borderId="0" xfId="0" applyNumberFormat="1" applyFont="1"/>
    <xf numFmtId="167" fontId="0" fillId="3" borderId="0" xfId="0" applyNumberFormat="1" applyFill="1"/>
    <xf numFmtId="0" fontId="11" fillId="0" borderId="0" xfId="0" applyFont="1" applyAlignment="1">
      <alignment wrapText="1"/>
    </xf>
    <xf numFmtId="0" fontId="12" fillId="2" borderId="0" xfId="0" applyFont="1" applyFill="1"/>
    <xf numFmtId="0" fontId="13" fillId="11" borderId="0" xfId="0" applyFont="1" applyFill="1"/>
    <xf numFmtId="167" fontId="2" fillId="11" borderId="0" xfId="0" applyNumberFormat="1" applyFont="1" applyFill="1"/>
    <xf numFmtId="0" fontId="2" fillId="11" borderId="0" xfId="0" applyFont="1" applyFill="1"/>
    <xf numFmtId="0" fontId="14" fillId="0" borderId="0" xfId="0" applyFont="1"/>
    <xf numFmtId="167" fontId="3" fillId="0" borderId="0" xfId="0" applyNumberFormat="1" applyFont="1" applyAlignment="1">
      <alignment horizontal="right"/>
    </xf>
    <xf numFmtId="0" fontId="3" fillId="0" borderId="1" xfId="0" applyFont="1" applyBorder="1"/>
    <xf numFmtId="0" fontId="11" fillId="2" borderId="0" xfId="0" applyFont="1" applyFill="1"/>
    <xf numFmtId="167" fontId="15" fillId="2" borderId="0" xfId="0" applyNumberFormat="1" applyFont="1" applyFill="1"/>
    <xf numFmtId="0" fontId="15" fillId="2" borderId="0" xfId="0" applyFont="1" applyFill="1"/>
    <xf numFmtId="0" fontId="11" fillId="11" borderId="0" xfId="0" applyFont="1" applyFill="1"/>
    <xf numFmtId="0" fontId="1" fillId="12" borderId="0" xfId="0" applyFont="1" applyFill="1"/>
    <xf numFmtId="14" fontId="1" fillId="12" borderId="0" xfId="0" applyNumberFormat="1" applyFont="1" applyFill="1"/>
    <xf numFmtId="0" fontId="2" fillId="12" borderId="0" xfId="0" applyFont="1" applyFill="1"/>
    <xf numFmtId="0" fontId="2" fillId="13" borderId="0" xfId="0" applyFont="1" applyFill="1"/>
    <xf numFmtId="3" fontId="2" fillId="0" borderId="0" xfId="0" applyNumberFormat="1" applyFont="1"/>
    <xf numFmtId="0" fontId="2" fillId="14" borderId="0" xfId="0" applyFont="1" applyFill="1"/>
    <xf numFmtId="0" fontId="1" fillId="15" borderId="0" xfId="0" applyFont="1" applyFill="1"/>
    <xf numFmtId="0" fontId="16" fillId="0" borderId="0" xfId="0" applyFont="1"/>
    <xf numFmtId="0" fontId="16" fillId="7" borderId="0" xfId="0" applyFont="1" applyFill="1"/>
    <xf numFmtId="0" fontId="17" fillId="0" borderId="0" xfId="0" applyFont="1"/>
    <xf numFmtId="0" fontId="18" fillId="0" borderId="0" xfId="0" applyFont="1"/>
    <xf numFmtId="0" fontId="19" fillId="0" borderId="0" xfId="0" applyFont="1"/>
    <xf numFmtId="14" fontId="2" fillId="12" borderId="0" xfId="0" applyNumberFormat="1" applyFont="1" applyFill="1"/>
    <xf numFmtId="14" fontId="16" fillId="7" borderId="0" xfId="0" applyNumberFormat="1" applyFont="1" applyFill="1"/>
    <xf numFmtId="0" fontId="20" fillId="7" borderId="0" xfId="0" applyFont="1" applyFill="1"/>
    <xf numFmtId="0" fontId="21" fillId="3" borderId="0" xfId="0" applyFont="1" applyFill="1"/>
    <xf numFmtId="168" fontId="2" fillId="7" borderId="0" xfId="0" applyNumberFormat="1" applyFont="1" applyFill="1"/>
    <xf numFmtId="0" fontId="4" fillId="16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177" fontId="2" fillId="0" borderId="0" xfId="0" applyNumberFormat="1" applyFont="1"/>
    <xf numFmtId="0" fontId="22" fillId="3" borderId="0" xfId="0" applyFont="1" applyFill="1"/>
    <xf numFmtId="178" fontId="2" fillId="0" borderId="0" xfId="0" applyNumberFormat="1" applyFont="1"/>
    <xf numFmtId="164" fontId="2" fillId="3" borderId="0" xfId="0" applyNumberFormat="1" applyFont="1" applyFill="1"/>
    <xf numFmtId="0" fontId="23" fillId="3" borderId="0" xfId="0" applyFont="1" applyFill="1"/>
    <xf numFmtId="0" fontId="24" fillId="17" borderId="0" xfId="0" applyFont="1" applyFill="1"/>
    <xf numFmtId="0" fontId="25" fillId="0" borderId="0" xfId="0" applyFont="1"/>
    <xf numFmtId="0" fontId="3" fillId="18" borderId="0" xfId="0" applyFont="1" applyFill="1" applyAlignment="1">
      <alignment horizontal="right"/>
    </xf>
    <xf numFmtId="4" fontId="3" fillId="0" borderId="0" xfId="0" applyNumberFormat="1" applyFont="1" applyAlignment="1">
      <alignment horizontal="right"/>
    </xf>
    <xf numFmtId="0" fontId="3" fillId="7" borderId="0" xfId="0" applyFont="1" applyFill="1" applyAlignment="1">
      <alignment horizontal="right"/>
    </xf>
    <xf numFmtId="0" fontId="26" fillId="3" borderId="0" xfId="0" applyFont="1" applyFill="1" applyAlignment="1">
      <alignment horizontal="right"/>
    </xf>
    <xf numFmtId="0" fontId="27" fillId="3" borderId="0" xfId="0" applyFont="1" applyFill="1"/>
    <xf numFmtId="0" fontId="14" fillId="19" borderId="0" xfId="0" applyFont="1" applyFill="1"/>
    <xf numFmtId="0" fontId="3" fillId="19" borderId="0" xfId="0" applyFont="1" applyFill="1"/>
    <xf numFmtId="0" fontId="3" fillId="20" borderId="0" xfId="0" applyFont="1" applyFill="1"/>
    <xf numFmtId="0" fontId="3" fillId="20" borderId="0" xfId="0" applyFont="1" applyFill="1" applyAlignment="1">
      <alignment horizontal="right"/>
    </xf>
    <xf numFmtId="0" fontId="28" fillId="11" borderId="0" xfId="0" applyFont="1" applyFill="1"/>
    <xf numFmtId="167" fontId="3" fillId="11" borderId="0" xfId="0" applyNumberFormat="1" applyFont="1" applyFill="1"/>
    <xf numFmtId="0" fontId="3" fillId="11" borderId="0" xfId="0" applyFont="1" applyFill="1"/>
    <xf numFmtId="0" fontId="29" fillId="0" borderId="0" xfId="0" applyFont="1"/>
    <xf numFmtId="0" fontId="30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1" fillId="3" borderId="0" xfId="0" applyFont="1" applyFill="1" applyAlignment="1">
      <alignment horizontal="right"/>
    </xf>
    <xf numFmtId="0" fontId="31" fillId="3" borderId="0" xfId="0" applyFont="1" applyFill="1"/>
    <xf numFmtId="0" fontId="2" fillId="21" borderId="0" xfId="0" applyFont="1" applyFill="1"/>
    <xf numFmtId="11" fontId="2" fillId="0" borderId="0" xfId="0" applyNumberFormat="1" applyFont="1"/>
    <xf numFmtId="0" fontId="1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19" borderId="0" xfId="0" applyFont="1" applyFill="1"/>
    <xf numFmtId="0" fontId="3" fillId="20" borderId="0" xfId="0" applyFont="1" applyFill="1"/>
    <xf numFmtId="0" fontId="3" fillId="0" borderId="0" xfId="0" applyFont="1" applyAlignment="1">
      <alignment wrapText="1"/>
    </xf>
  </cellXfs>
  <cellStyles count="1">
    <cellStyle name="Normal" xfId="0" builtinId="0"/>
  </cellStyles>
  <dxfs count="15"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5">
    <tableStyle name="Flow Testing-style" pivot="0" count="3" xr9:uid="{00000000-0011-0000-FFFF-FFFF00000000}">
      <tableStyleElement type="headerRow" dxfId="14"/>
      <tableStyleElement type="firstRowStripe" dxfId="13"/>
      <tableStyleElement type="secondRowStripe" dxfId="12"/>
    </tableStyle>
    <tableStyle name="Copy of Flow Testing-style" pivot="0" count="3" xr9:uid="{00000000-0011-0000-FFFF-FFFF01000000}">
      <tableStyleElement type="headerRow" dxfId="11"/>
      <tableStyleElement type="firstRowStripe" dxfId="10"/>
      <tableStyleElement type="secondRowStripe" dxfId="9"/>
    </tableStyle>
    <tableStyle name="Cd to Orifice Diameter-style" pivot="0" count="3" xr9:uid="{00000000-0011-0000-FFFF-FFFF02000000}">
      <tableStyleElement type="headerRow" dxfId="8"/>
      <tableStyleElement type="firstRowStripe" dxfId="7"/>
      <tableStyleElement type="secondRowStripe" dxfId="6"/>
    </tableStyle>
    <tableStyle name="Copy of Cd to Orifice Diameter -style" pivot="0" count="3" xr9:uid="{00000000-0011-0000-FFFF-FFFF03000000}">
      <tableStyleElement type="headerRow" dxfId="5"/>
      <tableStyleElement type="firstRowStripe" dxfId="4"/>
      <tableStyleElement type="secondRowStripe" dxfId="3"/>
    </tableStyle>
    <tableStyle name="Copy of Cd to Orifice Diameter-style" pivot="0" count="3" xr9:uid="{00000000-0011-0000-FFFF-FFFF04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Cd vs. Mdot (kg/s)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'LOX Flow Testing'!$I$12:$I$22</c:f>
              <c:numCache>
                <c:formatCode>0.000</c:formatCode>
                <c:ptCount val="11"/>
              </c:numCache>
            </c:numRef>
          </c:xVal>
          <c:yVal>
            <c:numRef>
              <c:f>'LOX Flow Testing'!$M$12:$M$22</c:f>
              <c:numCache>
                <c:formatCode>0.000</c:formatCode>
                <c:ptCount val="11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CD-4E9D-A88A-B5D7290863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95865"/>
        <c:axId val="1689522203"/>
      </c:scatterChart>
      <c:valAx>
        <c:axId val="4181958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Mdot (kg/s)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89522203"/>
        <c:crosses val="autoZero"/>
        <c:crossBetween val="midCat"/>
      </c:valAx>
      <c:valAx>
        <c:axId val="1689522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Cd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1819586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Cd vs. Mdot (kg/s)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'Flow Testing'!$I$40:$I$50</c:f>
              <c:numCache>
                <c:formatCode>0.000</c:formatCode>
                <c:ptCount val="11"/>
                <c:pt idx="0">
                  <c:v>0.24764705882352944</c:v>
                </c:pt>
                <c:pt idx="1">
                  <c:v>0.29224137931034483</c:v>
                </c:pt>
                <c:pt idx="2">
                  <c:v>0.35000000000000003</c:v>
                </c:pt>
                <c:pt idx="3">
                  <c:v>0.3261904761904762</c:v>
                </c:pt>
                <c:pt idx="4">
                  <c:v>0.34302325581395349</c:v>
                </c:pt>
                <c:pt idx="5">
                  <c:v>0.33818770226537215</c:v>
                </c:pt>
                <c:pt idx="6">
                  <c:v>0.30769230769230771</c:v>
                </c:pt>
                <c:pt idx="7">
                  <c:v>0.26600000000000001</c:v>
                </c:pt>
                <c:pt idx="8">
                  <c:v>0.28311688311688316</c:v>
                </c:pt>
                <c:pt idx="9">
                  <c:v>0.24893617021276593</c:v>
                </c:pt>
                <c:pt idx="10">
                  <c:v>0.26156583629893237</c:v>
                </c:pt>
              </c:numCache>
            </c:numRef>
          </c:xVal>
          <c:yVal>
            <c:numRef>
              <c:f>'Flow Testing'!$M$40:$M$50</c:f>
              <c:numCache>
                <c:formatCode>0.000</c:formatCode>
                <c:ptCount val="11"/>
                <c:pt idx="0">
                  <c:v>0.52113260084311674</c:v>
                </c:pt>
                <c:pt idx="1">
                  <c:v>0.52445161594863932</c:v>
                </c:pt>
                <c:pt idx="2">
                  <c:v>0.55115928220087951</c:v>
                </c:pt>
                <c:pt idx="3">
                  <c:v>0.54448429172102064</c:v>
                </c:pt>
                <c:pt idx="4">
                  <c:v>0.56939204004761101</c:v>
                </c:pt>
                <c:pt idx="5">
                  <c:v>0.53149604372608616</c:v>
                </c:pt>
                <c:pt idx="6">
                  <c:v>0.52773018214633205</c:v>
                </c:pt>
                <c:pt idx="7">
                  <c:v>0.52360131809083554</c:v>
                </c:pt>
                <c:pt idx="8">
                  <c:v>0.54878582127193709</c:v>
                </c:pt>
                <c:pt idx="9">
                  <c:v>0.52906729162620891</c:v>
                </c:pt>
                <c:pt idx="10">
                  <c:v>0.55590928579941568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E5D-46C0-9537-9EBBCE1DCE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281783"/>
        <c:axId val="19911324"/>
      </c:scatterChart>
      <c:valAx>
        <c:axId val="9472817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Mdot (kg/s)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911324"/>
        <c:crosses val="autoZero"/>
        <c:crossBetween val="midCat"/>
      </c:valAx>
      <c:valAx>
        <c:axId val="199113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Cd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4728178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HF2 LOX: Re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'Flow Testing'!$J$72:$J$78</c:f>
              <c:numCache>
                <c:formatCode>0</c:formatCode>
                <c:ptCount val="7"/>
                <c:pt idx="0">
                  <c:v>26436.772034480873</c:v>
                </c:pt>
                <c:pt idx="1">
                  <c:v>29178.951228799127</c:v>
                </c:pt>
                <c:pt idx="2">
                  <c:v>28369.481805261603</c:v>
                </c:pt>
                <c:pt idx="3">
                  <c:v>13817.644517223107</c:v>
                </c:pt>
                <c:pt idx="4">
                  <c:v>12844.373161001466</c:v>
                </c:pt>
                <c:pt idx="5">
                  <c:v>16877.360809304937</c:v>
                </c:pt>
                <c:pt idx="6">
                  <c:v>19965.204785329493</c:v>
                </c:pt>
              </c:numCache>
            </c:numRef>
          </c:xVal>
          <c:yVal>
            <c:numRef>
              <c:f>'Flow Testing'!$M$72:$M$78</c:f>
              <c:numCache>
                <c:formatCode>0.000</c:formatCode>
                <c:ptCount val="7"/>
                <c:pt idx="0">
                  <c:v>0.70504476923545778</c:v>
                </c:pt>
                <c:pt idx="1">
                  <c:v>0.73517838551205716</c:v>
                </c:pt>
                <c:pt idx="2">
                  <c:v>0.70631501094631033</c:v>
                </c:pt>
                <c:pt idx="3">
                  <c:v>0.51301473769149541</c:v>
                </c:pt>
                <c:pt idx="4">
                  <c:v>0.42612843350796326</c:v>
                </c:pt>
                <c:pt idx="5">
                  <c:v>0.43688600701400876</c:v>
                </c:pt>
                <c:pt idx="6">
                  <c:v>0.65132056438567887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C2-4C41-A817-9959910E0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005548"/>
        <c:axId val="907501529"/>
      </c:scatterChart>
      <c:valAx>
        <c:axId val="93005548"/>
        <c:scaling>
          <c:orientation val="minMax"/>
          <c:max val="2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07501529"/>
        <c:crosses val="autoZero"/>
        <c:crossBetween val="midCat"/>
      </c:valAx>
      <c:valAx>
        <c:axId val="907501529"/>
        <c:scaling>
          <c:orientation val="minMax"/>
          <c:min val="0.3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300554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HF1 LOX: Re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'Flow Testing'!$J$55:$J$62</c:f>
              <c:numCache>
                <c:formatCode>0</c:formatCode>
                <c:ptCount val="8"/>
                <c:pt idx="0">
                  <c:v>37933.289346843943</c:v>
                </c:pt>
                <c:pt idx="1">
                  <c:v>43024.62807310871</c:v>
                </c:pt>
                <c:pt idx="2">
                  <c:v>42236.055069236769</c:v>
                </c:pt>
                <c:pt idx="3">
                  <c:v>38390.422839884195</c:v>
                </c:pt>
                <c:pt idx="4">
                  <c:v>37326.929537328542</c:v>
                </c:pt>
                <c:pt idx="5">
                  <c:v>37054.070452343622</c:v>
                </c:pt>
                <c:pt idx="6">
                  <c:v>36924.889232651825</c:v>
                </c:pt>
                <c:pt idx="7">
                  <c:v>36864.753321193835</c:v>
                </c:pt>
              </c:numCache>
            </c:numRef>
          </c:xVal>
          <c:yVal>
            <c:numRef>
              <c:f>'Flow Testing'!$M$55:$M$62</c:f>
              <c:numCache>
                <c:formatCode>0.000</c:formatCode>
                <c:ptCount val="8"/>
                <c:pt idx="0">
                  <c:v>0.55753685115035367</c:v>
                </c:pt>
                <c:pt idx="1">
                  <c:v>0.67104109496876885</c:v>
                </c:pt>
                <c:pt idx="2">
                  <c:v>0.62077814905536033</c:v>
                </c:pt>
                <c:pt idx="3">
                  <c:v>0.58656686526464585</c:v>
                </c:pt>
                <c:pt idx="4">
                  <c:v>0.59480596425247467</c:v>
                </c:pt>
                <c:pt idx="5">
                  <c:v>0.59045794492269843</c:v>
                </c:pt>
                <c:pt idx="6">
                  <c:v>0.58839943754224944</c:v>
                </c:pt>
                <c:pt idx="7">
                  <c:v>0.58744116963100323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90-4453-9900-22FF73A2B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427014"/>
        <c:axId val="1018671212"/>
      </c:scatterChart>
      <c:valAx>
        <c:axId val="19224270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18671212"/>
        <c:crosses val="autoZero"/>
        <c:crossBetween val="midCat"/>
      </c:valAx>
      <c:valAx>
        <c:axId val="1018671212"/>
        <c:scaling>
          <c:orientation val="minMax"/>
          <c:min val="0.4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2242701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HF1 ETH: Re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'Flow Testing'!$J$63:$J$71</c:f>
              <c:numCache>
                <c:formatCode>0</c:formatCode>
                <c:ptCount val="9"/>
                <c:pt idx="0">
                  <c:v>37279.797115171896</c:v>
                </c:pt>
                <c:pt idx="1">
                  <c:v>38118.071673358529</c:v>
                </c:pt>
                <c:pt idx="2">
                  <c:v>39226.199815011481</c:v>
                </c:pt>
                <c:pt idx="3">
                  <c:v>39019.777331222984</c:v>
                </c:pt>
                <c:pt idx="4">
                  <c:v>37279.470866378571</c:v>
                </c:pt>
                <c:pt idx="5">
                  <c:v>31042.745456004792</c:v>
                </c:pt>
                <c:pt idx="6">
                  <c:v>31893.442490252517</c:v>
                </c:pt>
                <c:pt idx="7">
                  <c:v>30108.907101766257</c:v>
                </c:pt>
                <c:pt idx="8">
                  <c:v>31783.565849907416</c:v>
                </c:pt>
              </c:numCache>
            </c:numRef>
          </c:xVal>
          <c:yVal>
            <c:numRef>
              <c:f>'Flow Testing'!$M$63:$M$71</c:f>
              <c:numCache>
                <c:formatCode>0.000</c:formatCode>
                <c:ptCount val="9"/>
                <c:pt idx="0">
                  <c:v>0.56529112111780133</c:v>
                </c:pt>
                <c:pt idx="1">
                  <c:v>0.55395374741705339</c:v>
                </c:pt>
                <c:pt idx="2">
                  <c:v>0.58091692081465762</c:v>
                </c:pt>
                <c:pt idx="3">
                  <c:v>0.57785992538214459</c:v>
                </c:pt>
                <c:pt idx="4">
                  <c:v>0.55208701142160421</c:v>
                </c:pt>
                <c:pt idx="5">
                  <c:v>0.51900256532797473</c:v>
                </c:pt>
                <c:pt idx="6">
                  <c:v>0.5332253390100643</c:v>
                </c:pt>
                <c:pt idx="7">
                  <c:v>0.49852597165967305</c:v>
                </c:pt>
                <c:pt idx="8">
                  <c:v>0.51170038509117599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ED8-4A1F-BC05-D91638E00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7123704"/>
        <c:axId val="9477646"/>
      </c:scatterChart>
      <c:valAx>
        <c:axId val="4571237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Reynolds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477646"/>
        <c:crosses val="autoZero"/>
        <c:crossBetween val="midCat"/>
      </c:valAx>
      <c:valAx>
        <c:axId val="9477646"/>
        <c:scaling>
          <c:orientation val="minMax"/>
          <c:min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Cd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571237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ETH HF2 Reynolds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'Flow Testing'!$J$84:$J$98</c:f>
              <c:numCache>
                <c:formatCode>0</c:formatCode>
                <c:ptCount val="15"/>
                <c:pt idx="0">
                  <c:v>17908.406208770466</c:v>
                </c:pt>
                <c:pt idx="1">
                  <c:v>27380.057857260486</c:v>
                </c:pt>
                <c:pt idx="2">
                  <c:v>25692.504922313885</c:v>
                </c:pt>
                <c:pt idx="3">
                  <c:v>24019.116794577269</c:v>
                </c:pt>
                <c:pt idx="4">
                  <c:v>17282.103127257982</c:v>
                </c:pt>
                <c:pt idx="5">
                  <c:v>18766.022502862637</c:v>
                </c:pt>
                <c:pt idx="6">
                  <c:v>24857.239904408001</c:v>
                </c:pt>
                <c:pt idx="7">
                  <c:v>26608.518895323581</c:v>
                </c:pt>
                <c:pt idx="8">
                  <c:v>24525.799084105285</c:v>
                </c:pt>
                <c:pt idx="9">
                  <c:v>31480.622771321992</c:v>
                </c:pt>
                <c:pt idx="10">
                  <c:v>31303.977809393135</c:v>
                </c:pt>
                <c:pt idx="11">
                  <c:v>35037.015571720542</c:v>
                </c:pt>
                <c:pt idx="12">
                  <c:v>34107.774828538386</c:v>
                </c:pt>
                <c:pt idx="13">
                  <c:v>34750.815945725939</c:v>
                </c:pt>
                <c:pt idx="14">
                  <c:v>35800.457970701973</c:v>
                </c:pt>
              </c:numCache>
            </c:numRef>
          </c:xVal>
          <c:yVal>
            <c:numRef>
              <c:f>'Flow Testing'!$M$84:$M$98</c:f>
              <c:numCache>
                <c:formatCode>0.000</c:formatCode>
                <c:ptCount val="15"/>
                <c:pt idx="0">
                  <c:v>0.67616300503609406</c:v>
                </c:pt>
                <c:pt idx="1">
                  <c:v>0.65382094038987293</c:v>
                </c:pt>
                <c:pt idx="2">
                  <c:v>0.65401781254588298</c:v>
                </c:pt>
                <c:pt idx="3">
                  <c:v>0.67595105489118823</c:v>
                </c:pt>
                <c:pt idx="4">
                  <c:v>0.7077528033712055</c:v>
                </c:pt>
                <c:pt idx="5">
                  <c:v>0.72695059921590854</c:v>
                </c:pt>
                <c:pt idx="6">
                  <c:v>0.70946070845192977</c:v>
                </c:pt>
                <c:pt idx="7">
                  <c:v>0.69327497294541462</c:v>
                </c:pt>
                <c:pt idx="8">
                  <c:v>0.69021021483575662</c:v>
                </c:pt>
                <c:pt idx="9">
                  <c:v>0.66970340514652793</c:v>
                </c:pt>
                <c:pt idx="10">
                  <c:v>0.66594554643562909</c:v>
                </c:pt>
                <c:pt idx="11">
                  <c:v>0.62710688574459794</c:v>
                </c:pt>
                <c:pt idx="12">
                  <c:v>0.64796165819921236</c:v>
                </c:pt>
                <c:pt idx="13">
                  <c:v>0.65197653179726722</c:v>
                </c:pt>
                <c:pt idx="14">
                  <c:v>0.64809462940743867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594-4941-93D7-864646D805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895713"/>
        <c:axId val="2061612366"/>
      </c:scatterChart>
      <c:valAx>
        <c:axId val="6148957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61612366"/>
        <c:crosses val="autoZero"/>
        <c:crossBetween val="midCat"/>
      </c:valAx>
      <c:valAx>
        <c:axId val="20616123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1489571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'Flow Testing'!$I$151:$I$155</c:f>
              <c:numCache>
                <c:formatCode>0.000</c:formatCode>
                <c:ptCount val="5"/>
                <c:pt idx="0">
                  <c:v>0.71244813278008301</c:v>
                </c:pt>
                <c:pt idx="1">
                  <c:v>0.69278996865203757</c:v>
                </c:pt>
                <c:pt idx="2">
                  <c:v>0.7820121951219513</c:v>
                </c:pt>
                <c:pt idx="3">
                  <c:v>0.85358255451713405</c:v>
                </c:pt>
                <c:pt idx="4">
                  <c:v>0.61094674556213013</c:v>
                </c:pt>
              </c:numCache>
            </c:numRef>
          </c:xVal>
          <c:yVal>
            <c:numRef>
              <c:f>'Flow Testing'!$H$151:$H$155</c:f>
              <c:numCache>
                <c:formatCode>General</c:formatCode>
                <c:ptCount val="5"/>
                <c:pt idx="0">
                  <c:v>70</c:v>
                </c:pt>
                <c:pt idx="1">
                  <c:v>58</c:v>
                </c:pt>
                <c:pt idx="2">
                  <c:v>108</c:v>
                </c:pt>
                <c:pt idx="3">
                  <c:v>125</c:v>
                </c:pt>
                <c:pt idx="4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0B-47DF-8FFE-E128884F7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336504"/>
        <c:axId val="1138288624"/>
      </c:scatterChart>
      <c:valAx>
        <c:axId val="9823365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38288624"/>
        <c:crosses val="autoZero"/>
        <c:crossBetween val="midCat"/>
      </c:valAx>
      <c:valAx>
        <c:axId val="11382886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8233650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'Flow Testing'!$I$177:$I$184</c:f>
              <c:numCache>
                <c:formatCode>0.000</c:formatCode>
                <c:ptCount val="8"/>
                <c:pt idx="0">
                  <c:v>0.98598130841121479</c:v>
                </c:pt>
                <c:pt idx="1">
                  <c:v>1.1977611940298507</c:v>
                </c:pt>
                <c:pt idx="2">
                  <c:v>1.1123853211009174</c:v>
                </c:pt>
                <c:pt idx="3">
                  <c:v>1.157142857142857</c:v>
                </c:pt>
                <c:pt idx="4">
                  <c:v>0.71428571428571419</c:v>
                </c:pt>
                <c:pt idx="5">
                  <c:v>1.3841463414634148</c:v>
                </c:pt>
                <c:pt idx="6">
                  <c:v>1.4104166666666669</c:v>
                </c:pt>
                <c:pt idx="7">
                  <c:v>1.322265625</c:v>
                </c:pt>
              </c:numCache>
            </c:numRef>
          </c:xVal>
          <c:yVal>
            <c:numRef>
              <c:f>'Flow Testing'!$H$177:$H$184</c:f>
              <c:numCache>
                <c:formatCode>General</c:formatCode>
                <c:ptCount val="8"/>
                <c:pt idx="0">
                  <c:v>57.707801635558539</c:v>
                </c:pt>
                <c:pt idx="1">
                  <c:v>54.434699845496716</c:v>
                </c:pt>
                <c:pt idx="2">
                  <c:v>55.052061346849122</c:v>
                </c:pt>
                <c:pt idx="3">
                  <c:v>56.900761722179489</c:v>
                </c:pt>
                <c:pt idx="4">
                  <c:v>49.686849108777281</c:v>
                </c:pt>
                <c:pt idx="5">
                  <c:v>87.188897566370287</c:v>
                </c:pt>
                <c:pt idx="6">
                  <c:v>85.439290927219218</c:v>
                </c:pt>
                <c:pt idx="7">
                  <c:v>83.724795151671785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96-43EC-B0EA-65A3397F3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742329"/>
        <c:axId val="1255011372"/>
      </c:scatterChart>
      <c:valAx>
        <c:axId val="191174232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55011372"/>
        <c:crosses val="autoZero"/>
        <c:crossBetween val="midCat"/>
      </c:valAx>
      <c:valAx>
        <c:axId val="12550113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1174232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'Flow Testing'!$I$170:$I$175</c:f>
              <c:numCache>
                <c:formatCode>0.000</c:formatCode>
                <c:ptCount val="6"/>
                <c:pt idx="0">
                  <c:v>0.2243975903614458</c:v>
                </c:pt>
                <c:pt idx="1">
                  <c:v>0.23809523809523808</c:v>
                </c:pt>
                <c:pt idx="2">
                  <c:v>0.22245322245322249</c:v>
                </c:pt>
                <c:pt idx="3">
                  <c:v>0.2236559139784946</c:v>
                </c:pt>
                <c:pt idx="4">
                  <c:v>0.25427872860635697</c:v>
                </c:pt>
                <c:pt idx="5">
                  <c:v>0.26535626535626533</c:v>
                </c:pt>
              </c:numCache>
            </c:numRef>
          </c:xVal>
          <c:yVal>
            <c:numRef>
              <c:f>'Flow Testing'!$H$170:$H$175</c:f>
              <c:numCache>
                <c:formatCode>General</c:formatCode>
                <c:ptCount val="6"/>
                <c:pt idx="0">
                  <c:v>75.841841973991421</c:v>
                </c:pt>
                <c:pt idx="1">
                  <c:v>75.559360022049646</c:v>
                </c:pt>
                <c:pt idx="2">
                  <c:v>59.440268239769239</c:v>
                </c:pt>
                <c:pt idx="3">
                  <c:v>58.539498110814144</c:v>
                </c:pt>
                <c:pt idx="4">
                  <c:v>77.380682393957301</c:v>
                </c:pt>
                <c:pt idx="5">
                  <c:v>92.824106636844263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D2-48BC-8A8B-00DEE6C64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229571"/>
        <c:axId val="1073572895"/>
      </c:scatterChart>
      <c:valAx>
        <c:axId val="8992295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73572895"/>
        <c:crosses val="autoZero"/>
        <c:crossBetween val="midCat"/>
      </c:valAx>
      <c:valAx>
        <c:axId val="10735728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992295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Cd vs. Mdot (kg/s)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'Copy of Flow Testing'!$I$12:$I$22</c:f>
              <c:numCache>
                <c:formatCode>0.000</c:formatCode>
                <c:ptCount val="11"/>
                <c:pt idx="0">
                  <c:v>0.24764705882352944</c:v>
                </c:pt>
                <c:pt idx="1">
                  <c:v>0.29224137931034483</c:v>
                </c:pt>
                <c:pt idx="2">
                  <c:v>0.35000000000000003</c:v>
                </c:pt>
                <c:pt idx="3">
                  <c:v>0.3261904761904762</c:v>
                </c:pt>
                <c:pt idx="4">
                  <c:v>0.34302325581395349</c:v>
                </c:pt>
                <c:pt idx="5">
                  <c:v>0.33818770226537215</c:v>
                </c:pt>
                <c:pt idx="6">
                  <c:v>0.30769230769230771</c:v>
                </c:pt>
                <c:pt idx="7">
                  <c:v>0.26600000000000001</c:v>
                </c:pt>
                <c:pt idx="8">
                  <c:v>0.28311688311688316</c:v>
                </c:pt>
                <c:pt idx="9">
                  <c:v>0.24893617021276593</c:v>
                </c:pt>
                <c:pt idx="10">
                  <c:v>0.26156583629893237</c:v>
                </c:pt>
              </c:numCache>
            </c:numRef>
          </c:xVal>
          <c:yVal>
            <c:numRef>
              <c:f>'Copy of Flow Testing'!$M$12:$M$22</c:f>
              <c:numCache>
                <c:formatCode>0.000</c:formatCode>
                <c:ptCount val="11"/>
                <c:pt idx="0">
                  <c:v>0.52113260084311674</c:v>
                </c:pt>
                <c:pt idx="1">
                  <c:v>0.52445161594863932</c:v>
                </c:pt>
                <c:pt idx="2">
                  <c:v>0.55115928220087951</c:v>
                </c:pt>
                <c:pt idx="3">
                  <c:v>0.54448429172102064</c:v>
                </c:pt>
                <c:pt idx="4">
                  <c:v>0.56939204004761101</c:v>
                </c:pt>
                <c:pt idx="5">
                  <c:v>0.53149604372608616</c:v>
                </c:pt>
                <c:pt idx="6">
                  <c:v>0.52773018214633205</c:v>
                </c:pt>
                <c:pt idx="7">
                  <c:v>0.52360131809083554</c:v>
                </c:pt>
                <c:pt idx="8">
                  <c:v>0.54878582127193709</c:v>
                </c:pt>
                <c:pt idx="9">
                  <c:v>0.52906729162620891</c:v>
                </c:pt>
                <c:pt idx="10">
                  <c:v>0.55590928579941568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24-40A9-B9FE-61C7A2B95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8195865"/>
        <c:axId val="1689522203"/>
      </c:scatterChart>
      <c:valAx>
        <c:axId val="4181958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Mdot (kg/s)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89522203"/>
        <c:crosses val="autoZero"/>
        <c:crossBetween val="midCat"/>
      </c:valAx>
      <c:valAx>
        <c:axId val="16895222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Cd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1819586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HF2 LOX: Re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01134992"/>
        <c:axId val="724654028"/>
      </c:scatterChart>
      <c:valAx>
        <c:axId val="1601134992"/>
        <c:scaling>
          <c:orientation val="minMax"/>
          <c:max val="2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24654028"/>
        <c:crosses val="autoZero"/>
        <c:crossBetween val="midCat"/>
      </c:valAx>
      <c:valAx>
        <c:axId val="724654028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60113499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HF2 LOX: Re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601134992"/>
        <c:axId val="724654028"/>
      </c:scatterChart>
      <c:valAx>
        <c:axId val="1601134992"/>
        <c:scaling>
          <c:orientation val="minMax"/>
          <c:max val="2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24654028"/>
        <c:crosses val="autoZero"/>
        <c:crossBetween val="midCat"/>
      </c:valAx>
      <c:valAx>
        <c:axId val="724654028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60113499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HF1 LOX: Re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'Copy of Flow Testing'!$J$27:$J$34</c:f>
              <c:numCache>
                <c:formatCode>0</c:formatCode>
                <c:ptCount val="8"/>
                <c:pt idx="0">
                  <c:v>37933.289346843943</c:v>
                </c:pt>
                <c:pt idx="1">
                  <c:v>43024.62807310871</c:v>
                </c:pt>
                <c:pt idx="2">
                  <c:v>42236.055069236769</c:v>
                </c:pt>
                <c:pt idx="3">
                  <c:v>38390.422839884195</c:v>
                </c:pt>
                <c:pt idx="4">
                  <c:v>37326.929537328542</c:v>
                </c:pt>
                <c:pt idx="5">
                  <c:v>37054.070452343622</c:v>
                </c:pt>
                <c:pt idx="6">
                  <c:v>36924.889232651825</c:v>
                </c:pt>
                <c:pt idx="7">
                  <c:v>36864.753321193835</c:v>
                </c:pt>
              </c:numCache>
            </c:numRef>
          </c:xVal>
          <c:yVal>
            <c:numRef>
              <c:f>'Copy of Flow Testing'!$M$27:$M$34</c:f>
              <c:numCache>
                <c:formatCode>0.000</c:formatCode>
                <c:ptCount val="8"/>
                <c:pt idx="0">
                  <c:v>0.55753685115035367</c:v>
                </c:pt>
                <c:pt idx="1">
                  <c:v>0.67104109496876885</c:v>
                </c:pt>
                <c:pt idx="2">
                  <c:v>0.62077814905536033</c:v>
                </c:pt>
                <c:pt idx="3">
                  <c:v>0.58656686526464585</c:v>
                </c:pt>
                <c:pt idx="4">
                  <c:v>0.59480596425247467</c:v>
                </c:pt>
                <c:pt idx="5">
                  <c:v>0.59045794492269843</c:v>
                </c:pt>
                <c:pt idx="6">
                  <c:v>0.58839943754224944</c:v>
                </c:pt>
                <c:pt idx="7">
                  <c:v>0.58744116963100323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9C3-43D1-9739-718BE35D6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2281"/>
        <c:axId val="1506186036"/>
      </c:scatterChart>
      <c:valAx>
        <c:axId val="1814822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06186036"/>
        <c:crosses val="autoZero"/>
        <c:crossBetween val="midCat"/>
      </c:valAx>
      <c:valAx>
        <c:axId val="1506186036"/>
        <c:scaling>
          <c:orientation val="minMax"/>
          <c:min val="0.4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148228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HF1 ETH: Re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'Copy of Flow Testing'!$J$35:$J$43</c:f>
              <c:numCache>
                <c:formatCode>0</c:formatCode>
                <c:ptCount val="9"/>
                <c:pt idx="0">
                  <c:v>37279.797115171896</c:v>
                </c:pt>
                <c:pt idx="1">
                  <c:v>38118.071673358529</c:v>
                </c:pt>
                <c:pt idx="2">
                  <c:v>39226.199815011481</c:v>
                </c:pt>
                <c:pt idx="3">
                  <c:v>39019.777331222984</c:v>
                </c:pt>
                <c:pt idx="4">
                  <c:v>37279.470866378571</c:v>
                </c:pt>
                <c:pt idx="5">
                  <c:v>31042.745456004792</c:v>
                </c:pt>
                <c:pt idx="6">
                  <c:v>31893.442490252517</c:v>
                </c:pt>
                <c:pt idx="7">
                  <c:v>30108.907101766257</c:v>
                </c:pt>
                <c:pt idx="8">
                  <c:v>31783.565849907416</c:v>
                </c:pt>
              </c:numCache>
            </c:numRef>
          </c:xVal>
          <c:yVal>
            <c:numRef>
              <c:f>'Copy of Flow Testing'!$M$35:$M$43</c:f>
              <c:numCache>
                <c:formatCode>0.000</c:formatCode>
                <c:ptCount val="9"/>
                <c:pt idx="0">
                  <c:v>0.56529112111780133</c:v>
                </c:pt>
                <c:pt idx="1">
                  <c:v>0.55395374741705339</c:v>
                </c:pt>
                <c:pt idx="2">
                  <c:v>0.58091692081465762</c:v>
                </c:pt>
                <c:pt idx="3">
                  <c:v>0.57785992538214459</c:v>
                </c:pt>
                <c:pt idx="4">
                  <c:v>0.55208701142160421</c:v>
                </c:pt>
                <c:pt idx="5">
                  <c:v>0.51900256532797473</c:v>
                </c:pt>
                <c:pt idx="6">
                  <c:v>0.5332253390100643</c:v>
                </c:pt>
                <c:pt idx="7">
                  <c:v>0.49852597165967305</c:v>
                </c:pt>
                <c:pt idx="8">
                  <c:v>0.51170038509117599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A7-4B24-BD70-906EB9884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13455"/>
        <c:axId val="13603358"/>
      </c:scatterChart>
      <c:valAx>
        <c:axId val="1079134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Reynolds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03358"/>
        <c:crosses val="autoZero"/>
        <c:crossBetween val="midCat"/>
      </c:valAx>
      <c:valAx>
        <c:axId val="13603358"/>
        <c:scaling>
          <c:orientation val="minMax"/>
          <c:min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Cd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791345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 HF2 Reynolds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'Copy of Flow Testing'!$J$48:$J$62</c:f>
              <c:numCache>
                <c:formatCode>0</c:formatCode>
                <c:ptCount val="15"/>
                <c:pt idx="0">
                  <c:v>17908.406208770466</c:v>
                </c:pt>
                <c:pt idx="1">
                  <c:v>27380.057857260486</c:v>
                </c:pt>
                <c:pt idx="2">
                  <c:v>25692.504922313885</c:v>
                </c:pt>
                <c:pt idx="3">
                  <c:v>24019.116794577269</c:v>
                </c:pt>
                <c:pt idx="4">
                  <c:v>17282.103127257982</c:v>
                </c:pt>
                <c:pt idx="5">
                  <c:v>18766.022502862637</c:v>
                </c:pt>
                <c:pt idx="6">
                  <c:v>24857.239904408001</c:v>
                </c:pt>
                <c:pt idx="7">
                  <c:v>26608.518895323581</c:v>
                </c:pt>
                <c:pt idx="8">
                  <c:v>24525.799084105285</c:v>
                </c:pt>
                <c:pt idx="9">
                  <c:v>31480.622771321992</c:v>
                </c:pt>
                <c:pt idx="10">
                  <c:v>31303.977809393135</c:v>
                </c:pt>
                <c:pt idx="11">
                  <c:v>35037.015571720542</c:v>
                </c:pt>
                <c:pt idx="12">
                  <c:v>34107.774828538386</c:v>
                </c:pt>
                <c:pt idx="13">
                  <c:v>34750.815945725939</c:v>
                </c:pt>
                <c:pt idx="14">
                  <c:v>35800.457970701973</c:v>
                </c:pt>
              </c:numCache>
            </c:numRef>
          </c:xVal>
          <c:yVal>
            <c:numRef>
              <c:f>'Copy of Flow Testing'!$M$48:$M$62</c:f>
              <c:numCache>
                <c:formatCode>0.000</c:formatCode>
                <c:ptCount val="15"/>
                <c:pt idx="0">
                  <c:v>0.67616300503609406</c:v>
                </c:pt>
                <c:pt idx="1">
                  <c:v>0.65382094038987293</c:v>
                </c:pt>
                <c:pt idx="2">
                  <c:v>0.65401781254588298</c:v>
                </c:pt>
                <c:pt idx="3">
                  <c:v>0.67595105489118823</c:v>
                </c:pt>
                <c:pt idx="4">
                  <c:v>0.7077528033712055</c:v>
                </c:pt>
                <c:pt idx="5">
                  <c:v>0.72695059921590854</c:v>
                </c:pt>
                <c:pt idx="6">
                  <c:v>0.70946070845192977</c:v>
                </c:pt>
                <c:pt idx="7">
                  <c:v>0.69327497294541462</c:v>
                </c:pt>
                <c:pt idx="8">
                  <c:v>0.69021021483575662</c:v>
                </c:pt>
                <c:pt idx="9">
                  <c:v>0.66970340514652793</c:v>
                </c:pt>
                <c:pt idx="10">
                  <c:v>0.66594554643562909</c:v>
                </c:pt>
                <c:pt idx="11">
                  <c:v>0.62710688574459794</c:v>
                </c:pt>
                <c:pt idx="12">
                  <c:v>0.64796165819921236</c:v>
                </c:pt>
                <c:pt idx="13">
                  <c:v>0.65197653179726722</c:v>
                </c:pt>
                <c:pt idx="14">
                  <c:v>0.64809462940743867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D0-4DCD-87A4-B5D4862FC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274391"/>
        <c:axId val="1292094472"/>
      </c:scatterChart>
      <c:valAx>
        <c:axId val="13532743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92094472"/>
        <c:crosses val="autoZero"/>
        <c:crossBetween val="midCat"/>
      </c:valAx>
      <c:valAx>
        <c:axId val="1292094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5327439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06092520"/>
        <c:axId val="1492675804"/>
      </c:scatterChart>
      <c:valAx>
        <c:axId val="15060925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92675804"/>
        <c:crosses val="autoZero"/>
        <c:crossBetween val="midCat"/>
      </c:valAx>
      <c:valAx>
        <c:axId val="1492675804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50609252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4928850"/>
        <c:axId val="1248430819"/>
      </c:scatterChart>
      <c:valAx>
        <c:axId val="1749288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48430819"/>
        <c:crosses val="autoZero"/>
        <c:crossBetween val="midCat"/>
      </c:valAx>
      <c:valAx>
        <c:axId val="1248430819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7492885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'Copy of Flow Testing'!$I$72:$I$77</c:f>
              <c:numCache>
                <c:formatCode>0.000</c:formatCode>
                <c:ptCount val="6"/>
                <c:pt idx="0">
                  <c:v>0.2243975903614458</c:v>
                </c:pt>
                <c:pt idx="1">
                  <c:v>0.23809523809523808</c:v>
                </c:pt>
                <c:pt idx="2">
                  <c:v>0.22245322245322249</c:v>
                </c:pt>
                <c:pt idx="3">
                  <c:v>0.2236559139784946</c:v>
                </c:pt>
                <c:pt idx="4">
                  <c:v>0.25427872860635697</c:v>
                </c:pt>
                <c:pt idx="5">
                  <c:v>0.26535626535626533</c:v>
                </c:pt>
              </c:numCache>
            </c:numRef>
          </c:xVal>
          <c:yVal>
            <c:numRef>
              <c:f>'Copy of Flow Testing'!$H$72:$H$77</c:f>
              <c:numCache>
                <c:formatCode>General</c:formatCode>
                <c:ptCount val="6"/>
                <c:pt idx="0">
                  <c:v>75.841841973991421</c:v>
                </c:pt>
                <c:pt idx="1">
                  <c:v>75.559360022049646</c:v>
                </c:pt>
                <c:pt idx="2">
                  <c:v>59.440268239769239</c:v>
                </c:pt>
                <c:pt idx="3">
                  <c:v>58.539498110814144</c:v>
                </c:pt>
                <c:pt idx="4">
                  <c:v>77.380682393957301</c:v>
                </c:pt>
                <c:pt idx="5">
                  <c:v>92.824106636844263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E8-4A4A-9A8C-BA539EA7D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96319"/>
        <c:axId val="1140056617"/>
      </c:scatterChart>
      <c:valAx>
        <c:axId val="11648963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40056617"/>
        <c:crosses val="autoZero"/>
        <c:crossBetween val="midCat"/>
      </c:valAx>
      <c:valAx>
        <c:axId val="1140056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6489631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'Copy of Flow Testing'!$D$12:$D$77</c:f>
              <c:numCache>
                <c:formatCode>General</c:formatCode>
                <c:ptCount val="66"/>
                <c:pt idx="0">
                  <c:v>1.6509999999999999E-3</c:v>
                </c:pt>
                <c:pt idx="1">
                  <c:v>1.6509999999999999E-3</c:v>
                </c:pt>
                <c:pt idx="2">
                  <c:v>1.6509999999999999E-3</c:v>
                </c:pt>
                <c:pt idx="3">
                  <c:v>1.6509999999999999E-3</c:v>
                </c:pt>
                <c:pt idx="4">
                  <c:v>1.6509999999999999E-3</c:v>
                </c:pt>
                <c:pt idx="5">
                  <c:v>1.6509999999999999E-3</c:v>
                </c:pt>
                <c:pt idx="6">
                  <c:v>1.6509999999999999E-3</c:v>
                </c:pt>
                <c:pt idx="7">
                  <c:v>1.6509999999999999E-3</c:v>
                </c:pt>
                <c:pt idx="8">
                  <c:v>1.6509999999999999E-3</c:v>
                </c:pt>
                <c:pt idx="9">
                  <c:v>1.6509999999999999E-3</c:v>
                </c:pt>
                <c:pt idx="10">
                  <c:v>1.6509999999999999E-3</c:v>
                </c:pt>
                <c:pt idx="14">
                  <c:v>1.6004000000000001E-3</c:v>
                </c:pt>
                <c:pt idx="15">
                  <c:v>1.5883E-3</c:v>
                </c:pt>
                <c:pt idx="16">
                  <c:v>1.5883E-3</c:v>
                </c:pt>
                <c:pt idx="17">
                  <c:v>1.5883E-3</c:v>
                </c:pt>
                <c:pt idx="18">
                  <c:v>1.5883E-3</c:v>
                </c:pt>
                <c:pt idx="19">
                  <c:v>1.5883E-3</c:v>
                </c:pt>
                <c:pt idx="20">
                  <c:v>1.5883E-3</c:v>
                </c:pt>
                <c:pt idx="21">
                  <c:v>1.5883E-3</c:v>
                </c:pt>
                <c:pt idx="22">
                  <c:v>1.5883E-3</c:v>
                </c:pt>
                <c:pt idx="23">
                  <c:v>1.6004000000000001E-3</c:v>
                </c:pt>
                <c:pt idx="24">
                  <c:v>1.6004000000000001E-3</c:v>
                </c:pt>
                <c:pt idx="25">
                  <c:v>1.6004000000000001E-3</c:v>
                </c:pt>
                <c:pt idx="26">
                  <c:v>1.6004000000000001E-3</c:v>
                </c:pt>
                <c:pt idx="27">
                  <c:v>1.6004000000000001E-3</c:v>
                </c:pt>
                <c:pt idx="28">
                  <c:v>1.6004000000000001E-3</c:v>
                </c:pt>
                <c:pt idx="29">
                  <c:v>1.6004000000000001E-3</c:v>
                </c:pt>
                <c:pt idx="30">
                  <c:v>1.6004000000000001E-3</c:v>
                </c:pt>
                <c:pt idx="31">
                  <c:v>1.6004000000000001E-3</c:v>
                </c:pt>
                <c:pt idx="36">
                  <c:v>1.6004000000000001E-3</c:v>
                </c:pt>
                <c:pt idx="37">
                  <c:v>1.6004000000000001E-3</c:v>
                </c:pt>
                <c:pt idx="38">
                  <c:v>1.6004000000000001E-3</c:v>
                </c:pt>
                <c:pt idx="39">
                  <c:v>1.6004000000000001E-3</c:v>
                </c:pt>
                <c:pt idx="40">
                  <c:v>1.6004000000000001E-3</c:v>
                </c:pt>
                <c:pt idx="41">
                  <c:v>1.6004000000000001E-3</c:v>
                </c:pt>
                <c:pt idx="42">
                  <c:v>1.6004000000000001E-3</c:v>
                </c:pt>
                <c:pt idx="43">
                  <c:v>1.6004000000000001E-3</c:v>
                </c:pt>
                <c:pt idx="44">
                  <c:v>1.6004000000000001E-3</c:v>
                </c:pt>
                <c:pt idx="45">
                  <c:v>1.6004000000000001E-3</c:v>
                </c:pt>
                <c:pt idx="46">
                  <c:v>1.6004000000000001E-3</c:v>
                </c:pt>
                <c:pt idx="47">
                  <c:v>1.6004000000000001E-3</c:v>
                </c:pt>
                <c:pt idx="48">
                  <c:v>1.6004000000000001E-3</c:v>
                </c:pt>
                <c:pt idx="49">
                  <c:v>1.6004000000000001E-3</c:v>
                </c:pt>
                <c:pt idx="50">
                  <c:v>1.6004000000000001E-3</c:v>
                </c:pt>
                <c:pt idx="56">
                  <c:v>1.6256E-3</c:v>
                </c:pt>
                <c:pt idx="57">
                  <c:v>1.6256E-3</c:v>
                </c:pt>
                <c:pt idx="58">
                  <c:v>1.6256E-3</c:v>
                </c:pt>
                <c:pt idx="59">
                  <c:v>1.6256E-3</c:v>
                </c:pt>
                <c:pt idx="60">
                  <c:v>1.5621000000000001E-3</c:v>
                </c:pt>
                <c:pt idx="61">
                  <c:v>1.5621000000000001E-3</c:v>
                </c:pt>
                <c:pt idx="62">
                  <c:v>1.5621000000000001E-3</c:v>
                </c:pt>
                <c:pt idx="63">
                  <c:v>1.5621000000000001E-3</c:v>
                </c:pt>
                <c:pt idx="64">
                  <c:v>1.5621000000000001E-3</c:v>
                </c:pt>
                <c:pt idx="65">
                  <c:v>1.5621000000000001E-3</c:v>
                </c:pt>
              </c:numCache>
            </c:numRef>
          </c:xVal>
          <c:yVal>
            <c:numRef>
              <c:f>'Copy of Flow Testing'!$M$12:$M$77</c:f>
              <c:numCache>
                <c:formatCode>0.000</c:formatCode>
                <c:ptCount val="66"/>
                <c:pt idx="0">
                  <c:v>0.52113260084311674</c:v>
                </c:pt>
                <c:pt idx="1">
                  <c:v>0.52445161594863932</c:v>
                </c:pt>
                <c:pt idx="2">
                  <c:v>0.55115928220087951</c:v>
                </c:pt>
                <c:pt idx="3">
                  <c:v>0.54448429172102064</c:v>
                </c:pt>
                <c:pt idx="4">
                  <c:v>0.56939204004761101</c:v>
                </c:pt>
                <c:pt idx="5">
                  <c:v>0.53149604372608616</c:v>
                </c:pt>
                <c:pt idx="6">
                  <c:v>0.52773018214633205</c:v>
                </c:pt>
                <c:pt idx="7">
                  <c:v>0.52360131809083554</c:v>
                </c:pt>
                <c:pt idx="8">
                  <c:v>0.54878582127193709</c:v>
                </c:pt>
                <c:pt idx="9">
                  <c:v>0.52906729162620891</c:v>
                </c:pt>
                <c:pt idx="10">
                  <c:v>0.55590928579941568</c:v>
                </c:pt>
                <c:pt idx="15">
                  <c:v>0.55753685115035367</c:v>
                </c:pt>
                <c:pt idx="16">
                  <c:v>0.67104109496876885</c:v>
                </c:pt>
                <c:pt idx="17">
                  <c:v>0.62077814905536033</c:v>
                </c:pt>
                <c:pt idx="18">
                  <c:v>0.58656686526464585</c:v>
                </c:pt>
                <c:pt idx="19">
                  <c:v>0.59480596425247467</c:v>
                </c:pt>
                <c:pt idx="20">
                  <c:v>0.59045794492269843</c:v>
                </c:pt>
                <c:pt idx="21">
                  <c:v>0.58839943754224944</c:v>
                </c:pt>
                <c:pt idx="22">
                  <c:v>0.58744116963100323</c:v>
                </c:pt>
                <c:pt idx="23">
                  <c:v>0.56529112111780133</c:v>
                </c:pt>
                <c:pt idx="24">
                  <c:v>0.55395374741705339</c:v>
                </c:pt>
                <c:pt idx="25">
                  <c:v>0.58091692081465762</c:v>
                </c:pt>
                <c:pt idx="26">
                  <c:v>0.57785992538214459</c:v>
                </c:pt>
                <c:pt idx="27">
                  <c:v>0.55208701142160421</c:v>
                </c:pt>
                <c:pt idx="28">
                  <c:v>0.51900256532797473</c:v>
                </c:pt>
                <c:pt idx="29">
                  <c:v>0.5332253390100643</c:v>
                </c:pt>
                <c:pt idx="30">
                  <c:v>0.49852597165967305</c:v>
                </c:pt>
                <c:pt idx="31">
                  <c:v>0.51170038509117599</c:v>
                </c:pt>
                <c:pt idx="36">
                  <c:v>0.67616300503609406</c:v>
                </c:pt>
                <c:pt idx="37">
                  <c:v>0.65382094038987293</c:v>
                </c:pt>
                <c:pt idx="38">
                  <c:v>0.65401781254588298</c:v>
                </c:pt>
                <c:pt idx="39">
                  <c:v>0.67595105489118823</c:v>
                </c:pt>
                <c:pt idx="40">
                  <c:v>0.7077528033712055</c:v>
                </c:pt>
                <c:pt idx="41">
                  <c:v>0.72695059921590854</c:v>
                </c:pt>
                <c:pt idx="42">
                  <c:v>0.70946070845192977</c:v>
                </c:pt>
                <c:pt idx="43">
                  <c:v>0.69327497294541462</c:v>
                </c:pt>
                <c:pt idx="44">
                  <c:v>0.69021021483575662</c:v>
                </c:pt>
                <c:pt idx="45">
                  <c:v>0.66970340514652793</c:v>
                </c:pt>
                <c:pt idx="46">
                  <c:v>0.66594554643562909</c:v>
                </c:pt>
                <c:pt idx="47">
                  <c:v>0.62710688574459794</c:v>
                </c:pt>
                <c:pt idx="48">
                  <c:v>0.64796165819921236</c:v>
                </c:pt>
                <c:pt idx="49">
                  <c:v>0.65197653179726722</c:v>
                </c:pt>
                <c:pt idx="50">
                  <c:v>0.64809462940743867</c:v>
                </c:pt>
                <c:pt idx="56">
                  <c:v>0.87732398504827735</c:v>
                </c:pt>
                <c:pt idx="57">
                  <c:v>0.80869207358540907</c:v>
                </c:pt>
                <c:pt idx="58">
                  <c:v>0.79286664717762545</c:v>
                </c:pt>
                <c:pt idx="59">
                  <c:v>0.79475270253764574</c:v>
                </c:pt>
                <c:pt idx="60">
                  <c:v>0.45326200567894576</c:v>
                </c:pt>
                <c:pt idx="61">
                  <c:v>0.48182811460746988</c:v>
                </c:pt>
                <c:pt idx="62">
                  <c:v>0.50755590435148401</c:v>
                </c:pt>
                <c:pt idx="63">
                  <c:v>0.51421110595045039</c:v>
                </c:pt>
                <c:pt idx="64">
                  <c:v>0.50848637089045823</c:v>
                </c:pt>
                <c:pt idx="65">
                  <c:v>0.48448966856745346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6A-4A35-9873-40DA5F36E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78084"/>
        <c:axId val="1626015790"/>
      </c:scatterChart>
      <c:valAx>
        <c:axId val="17471780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26015790"/>
        <c:crosses val="autoZero"/>
        <c:crossBetween val="midCat"/>
      </c:valAx>
      <c:valAx>
        <c:axId val="1626015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4717808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Cd vs. Mdot (kg/s)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473750736"/>
        <c:axId val="2007618020"/>
      </c:scatterChart>
      <c:valAx>
        <c:axId val="14737507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Mdot (kg/s)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07618020"/>
        <c:crosses val="autoZero"/>
        <c:crossBetween val="midCat"/>
      </c:valAx>
      <c:valAx>
        <c:axId val="2007618020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47375073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HF2 LOX: Re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name>Trendline for series 1</c:nam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'Cd to Orifice Diameter'!$J$34:$J$40</c:f>
              <c:numCache>
                <c:formatCode>0</c:formatCode>
                <c:ptCount val="7"/>
                <c:pt idx="0">
                  <c:v>26436.772034480873</c:v>
                </c:pt>
                <c:pt idx="1">
                  <c:v>29178.951228799127</c:v>
                </c:pt>
                <c:pt idx="2">
                  <c:v>28369.481805261603</c:v>
                </c:pt>
                <c:pt idx="3">
                  <c:v>13817.644517223107</c:v>
                </c:pt>
                <c:pt idx="4">
                  <c:v>12844.373161001466</c:v>
                </c:pt>
                <c:pt idx="5">
                  <c:v>16877.360809304937</c:v>
                </c:pt>
                <c:pt idx="6">
                  <c:v>19965.204785329493</c:v>
                </c:pt>
              </c:numCache>
            </c:numRef>
          </c:xVal>
          <c:yVal>
            <c:numRef>
              <c:f>'Cd to Orifice Diameter'!$M$34:$M$40</c:f>
              <c:numCache>
                <c:formatCode>0.000</c:formatCode>
                <c:ptCount val="7"/>
                <c:pt idx="0">
                  <c:v>0.70504476923545778</c:v>
                </c:pt>
                <c:pt idx="1">
                  <c:v>0.73517838551205716</c:v>
                </c:pt>
                <c:pt idx="2">
                  <c:v>0.70631501094631033</c:v>
                </c:pt>
                <c:pt idx="3">
                  <c:v>0.51301473769149541</c:v>
                </c:pt>
                <c:pt idx="4">
                  <c:v>0.42612843350796326</c:v>
                </c:pt>
                <c:pt idx="5">
                  <c:v>0.43688600701400876</c:v>
                </c:pt>
                <c:pt idx="6">
                  <c:v>0.65132056438567887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3F-49A7-894D-0EF236CEF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4987570"/>
        <c:axId val="210171822"/>
      </c:scatterChart>
      <c:valAx>
        <c:axId val="534987570"/>
        <c:scaling>
          <c:orientation val="minMax"/>
          <c:max val="2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0171822"/>
        <c:crosses val="autoZero"/>
        <c:crossBetween val="midCat"/>
      </c:valAx>
      <c:valAx>
        <c:axId val="210171822"/>
        <c:scaling>
          <c:orientation val="minMax"/>
          <c:min val="0.3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3498757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HF1 LOX: Re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'Cd to Orifice Diameter'!$J$26:$J$33</c:f>
              <c:numCache>
                <c:formatCode>0</c:formatCode>
                <c:ptCount val="8"/>
                <c:pt idx="0">
                  <c:v>37933.289346843943</c:v>
                </c:pt>
                <c:pt idx="1">
                  <c:v>43024.62807310871</c:v>
                </c:pt>
                <c:pt idx="2">
                  <c:v>42236.055069236769</c:v>
                </c:pt>
                <c:pt idx="3">
                  <c:v>38390.422839884195</c:v>
                </c:pt>
                <c:pt idx="4">
                  <c:v>37326.929537328542</c:v>
                </c:pt>
                <c:pt idx="5">
                  <c:v>37054.070452343622</c:v>
                </c:pt>
                <c:pt idx="6">
                  <c:v>36924.889232651825</c:v>
                </c:pt>
                <c:pt idx="7">
                  <c:v>36864.753321193835</c:v>
                </c:pt>
              </c:numCache>
            </c:numRef>
          </c:xVal>
          <c:yVal>
            <c:numRef>
              <c:f>'Cd to Orifice Diameter'!$M$26:$M$33</c:f>
              <c:numCache>
                <c:formatCode>0.000</c:formatCode>
                <c:ptCount val="8"/>
                <c:pt idx="0">
                  <c:v>0.55753685115035367</c:v>
                </c:pt>
                <c:pt idx="1">
                  <c:v>0.67104109496876885</c:v>
                </c:pt>
                <c:pt idx="2">
                  <c:v>0.62077814905536033</c:v>
                </c:pt>
                <c:pt idx="3">
                  <c:v>0.58656686526464585</c:v>
                </c:pt>
                <c:pt idx="4">
                  <c:v>0.59480596425247467</c:v>
                </c:pt>
                <c:pt idx="5">
                  <c:v>0.59045794492269843</c:v>
                </c:pt>
                <c:pt idx="6">
                  <c:v>0.58839943754224944</c:v>
                </c:pt>
                <c:pt idx="7">
                  <c:v>0.58744116963100323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1C7-40C5-A68C-99597E17EE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12197"/>
        <c:axId val="1037332287"/>
      </c:scatterChart>
      <c:valAx>
        <c:axId val="5909121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37332287"/>
        <c:crosses val="autoZero"/>
        <c:crossBetween val="midCat"/>
      </c:valAx>
      <c:valAx>
        <c:axId val="1037332287"/>
        <c:scaling>
          <c:orientation val="minMax"/>
          <c:min val="0.4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59091219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HF1 LOX: Re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'LOX Flow Testing'!$J$27:$J$34</c:f>
              <c:numCache>
                <c:formatCode>0</c:formatCode>
                <c:ptCount val="8"/>
                <c:pt idx="0">
                  <c:v>37933.289346843943</c:v>
                </c:pt>
                <c:pt idx="1">
                  <c:v>43024.62807310871</c:v>
                </c:pt>
                <c:pt idx="2">
                  <c:v>42236.055069236769</c:v>
                </c:pt>
                <c:pt idx="3">
                  <c:v>38390.422839884195</c:v>
                </c:pt>
                <c:pt idx="4">
                  <c:v>37326.929537328542</c:v>
                </c:pt>
                <c:pt idx="5">
                  <c:v>37054.070452343622</c:v>
                </c:pt>
                <c:pt idx="6">
                  <c:v>36924.889232651825</c:v>
                </c:pt>
                <c:pt idx="7">
                  <c:v>36864.753321193835</c:v>
                </c:pt>
              </c:numCache>
            </c:numRef>
          </c:xVal>
          <c:yVal>
            <c:numRef>
              <c:f>'LOX Flow Testing'!$M$27:$M$34</c:f>
              <c:numCache>
                <c:formatCode>0.000</c:formatCode>
                <c:ptCount val="8"/>
                <c:pt idx="0">
                  <c:v>0.55753685115035367</c:v>
                </c:pt>
                <c:pt idx="1">
                  <c:v>0.67104109496876885</c:v>
                </c:pt>
                <c:pt idx="2">
                  <c:v>0.62077814905536033</c:v>
                </c:pt>
                <c:pt idx="3">
                  <c:v>0.58656686526464585</c:v>
                </c:pt>
                <c:pt idx="4">
                  <c:v>0.59480596425247467</c:v>
                </c:pt>
                <c:pt idx="5">
                  <c:v>0.59045794492269843</c:v>
                </c:pt>
                <c:pt idx="6">
                  <c:v>0.58839943754224944</c:v>
                </c:pt>
                <c:pt idx="7">
                  <c:v>0.58744116963100323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E9-451E-B828-FA3FB617F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82281"/>
        <c:axId val="1506186036"/>
      </c:scatterChart>
      <c:valAx>
        <c:axId val="1814822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06186036"/>
        <c:crosses val="autoZero"/>
        <c:crossBetween val="midCat"/>
      </c:valAx>
      <c:valAx>
        <c:axId val="1506186036"/>
        <c:scaling>
          <c:orientation val="minMax"/>
          <c:min val="0.4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148228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HF1 ETH: Re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64316908"/>
        <c:axId val="247938220"/>
      </c:scatterChart>
      <c:valAx>
        <c:axId val="20643169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Reynolds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47938220"/>
        <c:crosses val="autoZero"/>
        <c:crossBetween val="midCat"/>
      </c:valAx>
      <c:valAx>
        <c:axId val="247938220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206431690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 HF2 Reynolds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18607951"/>
        <c:axId val="838672842"/>
      </c:scatterChart>
      <c:valAx>
        <c:axId val="5186079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38672842"/>
        <c:crosses val="autoZero"/>
        <c:crossBetween val="midCat"/>
      </c:valAx>
      <c:valAx>
        <c:axId val="838672842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51860795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326122372"/>
        <c:axId val="858998080"/>
      </c:scatterChart>
      <c:valAx>
        <c:axId val="132612237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58998080"/>
        <c:crosses val="autoZero"/>
        <c:crossBetween val="midCat"/>
      </c:valAx>
      <c:valAx>
        <c:axId val="858998080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32612237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04976010"/>
        <c:axId val="1262616861"/>
      </c:scatterChart>
      <c:valAx>
        <c:axId val="200497601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62616861"/>
        <c:crosses val="autoZero"/>
        <c:crossBetween val="midCat"/>
      </c:valAx>
      <c:valAx>
        <c:axId val="1262616861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200497601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'Cd to Orifice Diameter'!$I$55:$I$60</c:f>
              <c:numCache>
                <c:formatCode>0.000</c:formatCode>
                <c:ptCount val="6"/>
                <c:pt idx="0">
                  <c:v>0.2243975903614458</c:v>
                </c:pt>
                <c:pt idx="1">
                  <c:v>0.23809523809523808</c:v>
                </c:pt>
                <c:pt idx="2">
                  <c:v>0.22245322245322249</c:v>
                </c:pt>
                <c:pt idx="3">
                  <c:v>0.2236559139784946</c:v>
                </c:pt>
                <c:pt idx="4">
                  <c:v>0.25427872860635697</c:v>
                </c:pt>
                <c:pt idx="5">
                  <c:v>0.26535626535626533</c:v>
                </c:pt>
              </c:numCache>
            </c:numRef>
          </c:xVal>
          <c:yVal>
            <c:numRef>
              <c:f>'Cd to Orifice Diameter'!$H$55:$H$60</c:f>
              <c:numCache>
                <c:formatCode>General</c:formatCode>
                <c:ptCount val="6"/>
                <c:pt idx="0">
                  <c:v>75.841841973991421</c:v>
                </c:pt>
                <c:pt idx="1">
                  <c:v>75.559360022049646</c:v>
                </c:pt>
                <c:pt idx="2">
                  <c:v>59.440268239769239</c:v>
                </c:pt>
                <c:pt idx="3">
                  <c:v>58.539498110814144</c:v>
                </c:pt>
                <c:pt idx="4">
                  <c:v>77.380682393957301</c:v>
                </c:pt>
                <c:pt idx="5">
                  <c:v>92.824106636844263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31-4A6B-B62E-DF68E28EF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2254917"/>
        <c:axId val="243744491"/>
      </c:scatterChart>
      <c:valAx>
        <c:axId val="178225491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43744491"/>
        <c:crosses val="autoZero"/>
        <c:crossBetween val="midCat"/>
      </c:valAx>
      <c:valAx>
        <c:axId val="2437444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8225491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Cd vs. Mdot (kg/s)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11577022"/>
        <c:axId val="33650173"/>
      </c:scatterChart>
      <c:valAx>
        <c:axId val="9115770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Mdot (kg/s)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3650173"/>
        <c:crosses val="autoZero"/>
        <c:crossBetween val="midCat"/>
      </c:valAx>
      <c:valAx>
        <c:axId val="33650173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91157702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HF2 LOX: Re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359769815"/>
        <c:axId val="1033150051"/>
      </c:scatterChart>
      <c:valAx>
        <c:axId val="1359769815"/>
        <c:scaling>
          <c:orientation val="minMax"/>
          <c:max val="2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33150051"/>
        <c:crosses val="autoZero"/>
        <c:crossBetween val="midCat"/>
      </c:valAx>
      <c:valAx>
        <c:axId val="1033150051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35976981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HF1 LOX: Re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'Copy of Cd to Orifice Diameter '!$J$26:$J$33</c:f>
              <c:numCache>
                <c:formatCode>0</c:formatCode>
                <c:ptCount val="8"/>
                <c:pt idx="0">
                  <c:v>37933.289346843943</c:v>
                </c:pt>
                <c:pt idx="1">
                  <c:v>43024.62807310871</c:v>
                </c:pt>
                <c:pt idx="2">
                  <c:v>42236.055069236769</c:v>
                </c:pt>
                <c:pt idx="3">
                  <c:v>38390.422839884195</c:v>
                </c:pt>
                <c:pt idx="4">
                  <c:v>37326.929537328542</c:v>
                </c:pt>
                <c:pt idx="5">
                  <c:v>37054.070452343622</c:v>
                </c:pt>
                <c:pt idx="6">
                  <c:v>36924.889232651825</c:v>
                </c:pt>
                <c:pt idx="7">
                  <c:v>36864.753321193835</c:v>
                </c:pt>
              </c:numCache>
            </c:numRef>
          </c:xVal>
          <c:yVal>
            <c:numRef>
              <c:f>'Copy of Cd to Orifice Diameter '!$M$26:$M$33</c:f>
              <c:numCache>
                <c:formatCode>0.000</c:formatCode>
                <c:ptCount val="8"/>
                <c:pt idx="0">
                  <c:v>0.55753685115035367</c:v>
                </c:pt>
                <c:pt idx="1">
                  <c:v>0.67104109496876885</c:v>
                </c:pt>
                <c:pt idx="2">
                  <c:v>0.62077814905536033</c:v>
                </c:pt>
                <c:pt idx="3">
                  <c:v>0.58656686526464585</c:v>
                </c:pt>
                <c:pt idx="4">
                  <c:v>0.59480596425247467</c:v>
                </c:pt>
                <c:pt idx="5">
                  <c:v>0.59045794492269843</c:v>
                </c:pt>
                <c:pt idx="6">
                  <c:v>0.58839943754224944</c:v>
                </c:pt>
                <c:pt idx="7">
                  <c:v>0.58744116963100323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5E-4CD9-BFB7-69A3116890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6881183"/>
        <c:axId val="1066058809"/>
      </c:scatterChart>
      <c:valAx>
        <c:axId val="14568811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66058809"/>
        <c:crosses val="autoZero"/>
        <c:crossBetween val="midCat"/>
      </c:valAx>
      <c:valAx>
        <c:axId val="1066058809"/>
        <c:scaling>
          <c:orientation val="minMax"/>
          <c:min val="0.4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5688118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HF1 ETH: Re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89772932"/>
        <c:axId val="1406600124"/>
      </c:scatterChart>
      <c:valAx>
        <c:axId val="8897729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Reynolds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06600124"/>
        <c:crosses val="autoZero"/>
        <c:crossBetween val="midCat"/>
      </c:valAx>
      <c:valAx>
        <c:axId val="1406600124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88977293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 HF2 Reynolds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6765097"/>
        <c:axId val="824228358"/>
      </c:scatterChart>
      <c:valAx>
        <c:axId val="967650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24228358"/>
        <c:crosses val="autoZero"/>
        <c:crossBetween val="midCat"/>
      </c:valAx>
      <c:valAx>
        <c:axId val="824228358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9676509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HF1 ETH: Re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'LOX Flow Testing'!$J$35:$J$43</c:f>
              <c:numCache>
                <c:formatCode>0</c:formatCode>
                <c:ptCount val="9"/>
                <c:pt idx="1">
                  <c:v>16952.703589855653</c:v>
                </c:pt>
                <c:pt idx="2">
                  <c:v>20522.506791117856</c:v>
                </c:pt>
                <c:pt idx="3">
                  <c:v>28390.130793625332</c:v>
                </c:pt>
                <c:pt idx="4">
                  <c:v>23296.992649403423</c:v>
                </c:pt>
                <c:pt idx="5">
                  <c:v>26669.260958932315</c:v>
                </c:pt>
                <c:pt idx="6">
                  <c:v>17964.576376016586</c:v>
                </c:pt>
                <c:pt idx="7">
                  <c:v>17683.41104268486</c:v>
                </c:pt>
              </c:numCache>
            </c:numRef>
          </c:xVal>
          <c:yVal>
            <c:numRef>
              <c:f>'LOX Flow Testing'!$M$35:$M$43</c:f>
              <c:numCache>
                <c:formatCode>0.000</c:formatCode>
                <c:ptCount val="9"/>
                <c:pt idx="1">
                  <c:v>0.59291568467878553</c:v>
                </c:pt>
                <c:pt idx="2">
                  <c:v>0.56906476587822385</c:v>
                </c:pt>
                <c:pt idx="3">
                  <c:v>0.62235572749647572</c:v>
                </c:pt>
                <c:pt idx="4">
                  <c:v>0.57615433684869388</c:v>
                </c:pt>
                <c:pt idx="5">
                  <c:v>0.62499745920741534</c:v>
                </c:pt>
                <c:pt idx="6">
                  <c:v>0.52929945214606733</c:v>
                </c:pt>
                <c:pt idx="7">
                  <c:v>0.51280985618981545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4C-48D3-8DB6-D6E4891288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13455"/>
        <c:axId val="13603358"/>
      </c:scatterChart>
      <c:valAx>
        <c:axId val="10791345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Reynolds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603358"/>
        <c:crosses val="autoZero"/>
        <c:crossBetween val="midCat"/>
      </c:valAx>
      <c:valAx>
        <c:axId val="13603358"/>
        <c:scaling>
          <c:orientation val="minMax"/>
          <c:min val="0.4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Roboto"/>
                  </a:rPr>
                  <a:t>Cd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0791345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25751286"/>
        <c:axId val="1152218784"/>
      </c:scatterChart>
      <c:valAx>
        <c:axId val="8257512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52218784"/>
        <c:crosses val="autoZero"/>
        <c:crossBetween val="midCat"/>
      </c:valAx>
      <c:valAx>
        <c:axId val="1152218784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82575128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19231562"/>
        <c:axId val="1516439088"/>
      </c:scatterChart>
      <c:valAx>
        <c:axId val="11923156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16439088"/>
        <c:crosses val="autoZero"/>
        <c:crossBetween val="midCat"/>
      </c:valAx>
      <c:valAx>
        <c:axId val="1516439088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19231562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'Copy of Cd to Orifice Diameter '!$I$48:$I$53</c:f>
              <c:numCache>
                <c:formatCode>0.000</c:formatCode>
                <c:ptCount val="6"/>
                <c:pt idx="0">
                  <c:v>0.2243975903614458</c:v>
                </c:pt>
                <c:pt idx="1">
                  <c:v>0.23809523809523808</c:v>
                </c:pt>
                <c:pt idx="2">
                  <c:v>0.22245322245322249</c:v>
                </c:pt>
                <c:pt idx="3">
                  <c:v>0.2236559139784946</c:v>
                </c:pt>
                <c:pt idx="4">
                  <c:v>0.25427872860635697</c:v>
                </c:pt>
                <c:pt idx="5">
                  <c:v>0.26535626535626533</c:v>
                </c:pt>
              </c:numCache>
            </c:numRef>
          </c:xVal>
          <c:yVal>
            <c:numRef>
              <c:f>'Copy of Cd to Orifice Diameter '!$H$48:$H$53</c:f>
              <c:numCache>
                <c:formatCode>General</c:formatCode>
                <c:ptCount val="6"/>
                <c:pt idx="0">
                  <c:v>75.841841973991421</c:v>
                </c:pt>
                <c:pt idx="1">
                  <c:v>75.559360022049646</c:v>
                </c:pt>
                <c:pt idx="2">
                  <c:v>59.440268239769239</c:v>
                </c:pt>
                <c:pt idx="3">
                  <c:v>58.539498110814144</c:v>
                </c:pt>
                <c:pt idx="4">
                  <c:v>77.380682393957301</c:v>
                </c:pt>
                <c:pt idx="5">
                  <c:v>92.824106636844263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08-43E4-80E6-2E5DBA474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432094"/>
        <c:axId val="139676597"/>
      </c:scatterChart>
      <c:valAx>
        <c:axId val="6874320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9676597"/>
        <c:crosses val="autoZero"/>
        <c:crossBetween val="midCat"/>
      </c:valAx>
      <c:valAx>
        <c:axId val="1396765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8743209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Cd vs. Mdot (kg/s)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96101613"/>
        <c:axId val="786319383"/>
      </c:scatterChart>
      <c:valAx>
        <c:axId val="9610161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Mdot (kg/s)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86319383"/>
        <c:crosses val="autoZero"/>
        <c:crossBetween val="midCat"/>
      </c:valAx>
      <c:valAx>
        <c:axId val="786319383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9610161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HF2 LOX: Re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45544783"/>
        <c:axId val="1577043395"/>
      </c:scatterChart>
      <c:valAx>
        <c:axId val="45544783"/>
        <c:scaling>
          <c:orientation val="minMax"/>
          <c:max val="200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77043395"/>
        <c:crosses val="autoZero"/>
        <c:crossBetween val="midCat"/>
      </c:valAx>
      <c:valAx>
        <c:axId val="1577043395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4554478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HF1 LOX: Re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'Copy of Cd to Orifice Diameter'!$J$26:$J$33</c:f>
              <c:numCache>
                <c:formatCode>0</c:formatCode>
                <c:ptCount val="8"/>
                <c:pt idx="0">
                  <c:v>37933.289346843943</c:v>
                </c:pt>
                <c:pt idx="1">
                  <c:v>43024.62807310871</c:v>
                </c:pt>
                <c:pt idx="2">
                  <c:v>42236.055069236769</c:v>
                </c:pt>
                <c:pt idx="3">
                  <c:v>38390.422839884195</c:v>
                </c:pt>
                <c:pt idx="4">
                  <c:v>37326.929537328542</c:v>
                </c:pt>
                <c:pt idx="5">
                  <c:v>37054.070452343622</c:v>
                </c:pt>
                <c:pt idx="6">
                  <c:v>36924.889232651825</c:v>
                </c:pt>
                <c:pt idx="7">
                  <c:v>36864.753321193835</c:v>
                </c:pt>
              </c:numCache>
            </c:numRef>
          </c:xVal>
          <c:yVal>
            <c:numRef>
              <c:f>'Copy of Cd to Orifice Diameter'!$M$26:$M$33</c:f>
              <c:numCache>
                <c:formatCode>0.000</c:formatCode>
                <c:ptCount val="8"/>
                <c:pt idx="0">
                  <c:v>0.55753685115035367</c:v>
                </c:pt>
                <c:pt idx="1">
                  <c:v>0.67104109496876885</c:v>
                </c:pt>
                <c:pt idx="2">
                  <c:v>0.62077814905536033</c:v>
                </c:pt>
                <c:pt idx="3">
                  <c:v>0.58656686526464585</c:v>
                </c:pt>
                <c:pt idx="4">
                  <c:v>0.59480596425247467</c:v>
                </c:pt>
                <c:pt idx="5">
                  <c:v>0.59045794492269843</c:v>
                </c:pt>
                <c:pt idx="6">
                  <c:v>0.58839943754224944</c:v>
                </c:pt>
                <c:pt idx="7">
                  <c:v>0.58744116963100323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1D0-47C6-9C3B-B9F9E4D0C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68695"/>
        <c:axId val="818567201"/>
      </c:scatterChart>
      <c:valAx>
        <c:axId val="178656869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818567201"/>
        <c:crosses val="autoZero"/>
        <c:crossBetween val="midCat"/>
      </c:valAx>
      <c:valAx>
        <c:axId val="818567201"/>
        <c:scaling>
          <c:orientation val="minMax"/>
          <c:min val="0.4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8656869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HF1 ETH: Re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89913506"/>
        <c:axId val="219831936"/>
      </c:scatterChart>
      <c:valAx>
        <c:axId val="5899135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Reynolds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9831936"/>
        <c:crosses val="autoZero"/>
        <c:crossBetween val="midCat"/>
      </c:valAx>
      <c:valAx>
        <c:axId val="219831936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58991350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ETH HF2 Reynolds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68389923"/>
        <c:axId val="341842451"/>
      </c:scatterChart>
      <c:valAx>
        <c:axId val="15683899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41842451"/>
        <c:crosses val="autoZero"/>
        <c:crossBetween val="midCat"/>
      </c:valAx>
      <c:valAx>
        <c:axId val="341842451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56838992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423376756"/>
        <c:axId val="1182727766"/>
      </c:scatterChart>
      <c:valAx>
        <c:axId val="14233767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82727766"/>
        <c:crosses val="autoZero"/>
        <c:crossBetween val="midCat"/>
      </c:valAx>
      <c:valAx>
        <c:axId val="1182727766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42337675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1"/>
  <c:style val="2"/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351185565"/>
        <c:axId val="1293633830"/>
      </c:scatterChart>
      <c:valAx>
        <c:axId val="3511855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93633830"/>
        <c:crosses val="autoZero"/>
        <c:crossBetween val="midCat"/>
      </c:valAx>
      <c:valAx>
        <c:axId val="1293633830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35118556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lang="en-US" b="0">
                <a:solidFill>
                  <a:srgbClr val="000000"/>
                </a:solidFill>
                <a:latin typeface="Roboto"/>
              </a:rPr>
              <a:t>ETH HF2 Reynolds vs Cd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trendline>
            <c:spPr>
              <a:ln w="19050">
                <a:solidFill>
                  <a:srgbClr val="00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'LOX Flow Testing'!$J$48:$J$62</c:f>
              <c:numCache>
                <c:formatCode>0</c:formatCode>
                <c:ptCount val="15"/>
                <c:pt idx="8">
                  <c:v>37933.289346843943</c:v>
                </c:pt>
                <c:pt idx="9">
                  <c:v>43024.62807310871</c:v>
                </c:pt>
                <c:pt idx="10">
                  <c:v>42236.055069236769</c:v>
                </c:pt>
                <c:pt idx="11">
                  <c:v>38390.422839884195</c:v>
                </c:pt>
                <c:pt idx="12">
                  <c:v>37326.929537328542</c:v>
                </c:pt>
                <c:pt idx="13">
                  <c:v>37054.070452343622</c:v>
                </c:pt>
                <c:pt idx="14">
                  <c:v>36924.889232651825</c:v>
                </c:pt>
              </c:numCache>
            </c:numRef>
          </c:xVal>
          <c:yVal>
            <c:numRef>
              <c:f>'LOX Flow Testing'!$M$48:$M$62</c:f>
              <c:numCache>
                <c:formatCode>0.000</c:formatCode>
                <c:ptCount val="15"/>
                <c:pt idx="8">
                  <c:v>0.55753685115035367</c:v>
                </c:pt>
                <c:pt idx="9">
                  <c:v>0.67104109496876885</c:v>
                </c:pt>
                <c:pt idx="10">
                  <c:v>0.62077814905536033</c:v>
                </c:pt>
                <c:pt idx="11">
                  <c:v>0.58656686526464585</c:v>
                </c:pt>
                <c:pt idx="12">
                  <c:v>0.59480596425247467</c:v>
                </c:pt>
                <c:pt idx="13">
                  <c:v>0.59045794492269843</c:v>
                </c:pt>
                <c:pt idx="14">
                  <c:v>0.58839943754224944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81-44D5-9DE1-0BBD2A228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3274391"/>
        <c:axId val="1292094472"/>
      </c:scatterChart>
      <c:valAx>
        <c:axId val="135327439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92094472"/>
        <c:crosses val="autoZero"/>
        <c:crossBetween val="midCat"/>
      </c:valAx>
      <c:valAx>
        <c:axId val="12920944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5327439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'Copy of Cd to Orifice Diameter'!$I$48:$I$53</c:f>
              <c:numCache>
                <c:formatCode>0.000</c:formatCode>
                <c:ptCount val="6"/>
                <c:pt idx="0">
                  <c:v>0.2243975903614458</c:v>
                </c:pt>
                <c:pt idx="1">
                  <c:v>0.23809523809523808</c:v>
                </c:pt>
                <c:pt idx="2">
                  <c:v>0.22245322245322249</c:v>
                </c:pt>
                <c:pt idx="3">
                  <c:v>0.2236559139784946</c:v>
                </c:pt>
                <c:pt idx="4">
                  <c:v>0.25427872860635697</c:v>
                </c:pt>
                <c:pt idx="5">
                  <c:v>0.26535626535626533</c:v>
                </c:pt>
              </c:numCache>
            </c:numRef>
          </c:xVal>
          <c:yVal>
            <c:numRef>
              <c:f>'Copy of Cd to Orifice Diameter'!$H$48:$H$53</c:f>
              <c:numCache>
                <c:formatCode>General</c:formatCode>
                <c:ptCount val="6"/>
                <c:pt idx="0">
                  <c:v>75.841841973991421</c:v>
                </c:pt>
                <c:pt idx="1">
                  <c:v>75.559360022049646</c:v>
                </c:pt>
                <c:pt idx="2">
                  <c:v>59.440268239769239</c:v>
                </c:pt>
                <c:pt idx="3">
                  <c:v>58.539498110814144</c:v>
                </c:pt>
                <c:pt idx="4">
                  <c:v>77.380682393957301</c:v>
                </c:pt>
                <c:pt idx="5">
                  <c:v>92.824106636844263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2D-4A5E-A962-2EA45E29D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239387"/>
        <c:axId val="1567330447"/>
      </c:scatterChart>
      <c:valAx>
        <c:axId val="213523938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67330447"/>
        <c:crosses val="autoZero"/>
        <c:crossBetween val="midCat"/>
      </c:valAx>
      <c:valAx>
        <c:axId val="15673304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13523938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'Copy of Cd to Orifice Diameter'!$D$4:$D$53</c:f>
              <c:numCache>
                <c:formatCode>General</c:formatCode>
                <c:ptCount val="50"/>
                <c:pt idx="0">
                  <c:v>1.6473E-3</c:v>
                </c:pt>
                <c:pt idx="1">
                  <c:v>1.6473E-3</c:v>
                </c:pt>
                <c:pt idx="2">
                  <c:v>1.6473E-3</c:v>
                </c:pt>
                <c:pt idx="3">
                  <c:v>1.6473E-3</c:v>
                </c:pt>
                <c:pt idx="4">
                  <c:v>1.6473E-3</c:v>
                </c:pt>
                <c:pt idx="5">
                  <c:v>1.6473E-3</c:v>
                </c:pt>
                <c:pt idx="6">
                  <c:v>1.6473E-3</c:v>
                </c:pt>
                <c:pt idx="8">
                  <c:v>1.562E-3</c:v>
                </c:pt>
                <c:pt idx="9">
                  <c:v>1.562E-3</c:v>
                </c:pt>
                <c:pt idx="10">
                  <c:v>1.562E-3</c:v>
                </c:pt>
                <c:pt idx="22">
                  <c:v>1.5883E-3</c:v>
                </c:pt>
                <c:pt idx="23">
                  <c:v>1.5883E-3</c:v>
                </c:pt>
                <c:pt idx="24">
                  <c:v>1.5883E-3</c:v>
                </c:pt>
                <c:pt idx="25">
                  <c:v>1.5883E-3</c:v>
                </c:pt>
                <c:pt idx="26">
                  <c:v>1.5883E-3</c:v>
                </c:pt>
                <c:pt idx="27">
                  <c:v>1.5883E-3</c:v>
                </c:pt>
                <c:pt idx="28">
                  <c:v>1.5883E-3</c:v>
                </c:pt>
                <c:pt idx="29">
                  <c:v>1.5883E-3</c:v>
                </c:pt>
                <c:pt idx="44">
                  <c:v>1.5621000000000001E-3</c:v>
                </c:pt>
                <c:pt idx="45">
                  <c:v>1.5621000000000001E-3</c:v>
                </c:pt>
                <c:pt idx="46">
                  <c:v>1.5621000000000001E-3</c:v>
                </c:pt>
                <c:pt idx="47">
                  <c:v>1.5621000000000001E-3</c:v>
                </c:pt>
                <c:pt idx="48">
                  <c:v>1.5621000000000001E-3</c:v>
                </c:pt>
                <c:pt idx="49">
                  <c:v>1.5621000000000001E-3</c:v>
                </c:pt>
              </c:numCache>
            </c:numRef>
          </c:xVal>
          <c:yVal>
            <c:numRef>
              <c:f>'Copy of Cd to Orifice Diameter'!$M$4:$M$53</c:f>
              <c:numCache>
                <c:formatCode>0.000</c:formatCode>
                <c:ptCount val="50"/>
                <c:pt idx="0">
                  <c:v>0.59291568467878553</c:v>
                </c:pt>
                <c:pt idx="1">
                  <c:v>0.56906476587822385</c:v>
                </c:pt>
                <c:pt idx="2">
                  <c:v>0.62235572749647572</c:v>
                </c:pt>
                <c:pt idx="3">
                  <c:v>0.57615433684869388</c:v>
                </c:pt>
                <c:pt idx="4">
                  <c:v>0.62499745920741534</c:v>
                </c:pt>
                <c:pt idx="5">
                  <c:v>0.52929945214606733</c:v>
                </c:pt>
                <c:pt idx="6">
                  <c:v>0.51280985618981545</c:v>
                </c:pt>
                <c:pt idx="8">
                  <c:v>0.79424915320672518</c:v>
                </c:pt>
                <c:pt idx="9">
                  <c:v>0.83947550852487285</c:v>
                </c:pt>
                <c:pt idx="10">
                  <c:v>0.68998682500822428</c:v>
                </c:pt>
                <c:pt idx="22">
                  <c:v>0.55753685115035367</c:v>
                </c:pt>
                <c:pt idx="23">
                  <c:v>0.67104109496876885</c:v>
                </c:pt>
                <c:pt idx="24">
                  <c:v>0.62077814905536033</c:v>
                </c:pt>
                <c:pt idx="25">
                  <c:v>0.58656686526464585</c:v>
                </c:pt>
                <c:pt idx="26">
                  <c:v>0.59480596425247467</c:v>
                </c:pt>
                <c:pt idx="27">
                  <c:v>0.59045794492269843</c:v>
                </c:pt>
                <c:pt idx="28">
                  <c:v>0.58839943754224944</c:v>
                </c:pt>
                <c:pt idx="29">
                  <c:v>0.58744116963100323</c:v>
                </c:pt>
                <c:pt idx="36" formatCode="General">
                  <c:v>0</c:v>
                </c:pt>
                <c:pt idx="40" formatCode="General">
                  <c:v>0</c:v>
                </c:pt>
                <c:pt idx="42">
                  <c:v>0</c:v>
                </c:pt>
                <c:pt idx="44">
                  <c:v>0.45326200567894576</c:v>
                </c:pt>
                <c:pt idx="45">
                  <c:v>0.48182811460746988</c:v>
                </c:pt>
                <c:pt idx="46">
                  <c:v>0.50755590435148401</c:v>
                </c:pt>
                <c:pt idx="47">
                  <c:v>0.51421110595045039</c:v>
                </c:pt>
                <c:pt idx="48">
                  <c:v>0.50848637089045823</c:v>
                </c:pt>
                <c:pt idx="49">
                  <c:v>0.48448966856745346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87-4B6B-A4FB-409199834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8985053"/>
        <c:axId val="1286789007"/>
      </c:scatterChart>
      <c:valAx>
        <c:axId val="20289850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86789007"/>
        <c:crosses val="autoZero"/>
        <c:crossBetween val="midCat"/>
      </c:valAx>
      <c:valAx>
        <c:axId val="12867890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2898505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LOX Temperature (K) vs Cp (J/mol*K) at 2MPa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'LOX Data'!$I$1</c:f>
              <c:strCache>
                <c:ptCount val="1"/>
                <c:pt idx="0">
                  <c:v>Cp (J/mol*K)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'LOX Data'!$A$2:$A$386</c:f>
              <c:numCache>
                <c:formatCode>0.000</c:formatCode>
                <c:ptCount val="385"/>
                <c:pt idx="0">
                  <c:v>90</c:v>
                </c:pt>
                <c:pt idx="1">
                  <c:v>95</c:v>
                </c:pt>
                <c:pt idx="2">
                  <c:v>100</c:v>
                </c:pt>
                <c:pt idx="3">
                  <c:v>105</c:v>
                </c:pt>
                <c:pt idx="4">
                  <c:v>110</c:v>
                </c:pt>
                <c:pt idx="5">
                  <c:v>115</c:v>
                </c:pt>
                <c:pt idx="6">
                  <c:v>120</c:v>
                </c:pt>
                <c:pt idx="7">
                  <c:v>125</c:v>
                </c:pt>
                <c:pt idx="8">
                  <c:v>130</c:v>
                </c:pt>
                <c:pt idx="9">
                  <c:v>133.46</c:v>
                </c:pt>
                <c:pt idx="10">
                  <c:v>133.46</c:v>
                </c:pt>
                <c:pt idx="11">
                  <c:v>135</c:v>
                </c:pt>
                <c:pt idx="12">
                  <c:v>140</c:v>
                </c:pt>
                <c:pt idx="13">
                  <c:v>145</c:v>
                </c:pt>
                <c:pt idx="14">
                  <c:v>150</c:v>
                </c:pt>
                <c:pt idx="15">
                  <c:v>155</c:v>
                </c:pt>
                <c:pt idx="16">
                  <c:v>160</c:v>
                </c:pt>
                <c:pt idx="17">
                  <c:v>165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185</c:v>
                </c:pt>
                <c:pt idx="22">
                  <c:v>190</c:v>
                </c:pt>
                <c:pt idx="23">
                  <c:v>195</c:v>
                </c:pt>
                <c:pt idx="24">
                  <c:v>200</c:v>
                </c:pt>
                <c:pt idx="25">
                  <c:v>205</c:v>
                </c:pt>
                <c:pt idx="26">
                  <c:v>210</c:v>
                </c:pt>
                <c:pt idx="27">
                  <c:v>215</c:v>
                </c:pt>
                <c:pt idx="28">
                  <c:v>220</c:v>
                </c:pt>
                <c:pt idx="29">
                  <c:v>225</c:v>
                </c:pt>
                <c:pt idx="30">
                  <c:v>230</c:v>
                </c:pt>
                <c:pt idx="31">
                  <c:v>235</c:v>
                </c:pt>
                <c:pt idx="32">
                  <c:v>240</c:v>
                </c:pt>
                <c:pt idx="33">
                  <c:v>245</c:v>
                </c:pt>
                <c:pt idx="34">
                  <c:v>250</c:v>
                </c:pt>
                <c:pt idx="35">
                  <c:v>255</c:v>
                </c:pt>
                <c:pt idx="36">
                  <c:v>260</c:v>
                </c:pt>
                <c:pt idx="37">
                  <c:v>265</c:v>
                </c:pt>
                <c:pt idx="38">
                  <c:v>270</c:v>
                </c:pt>
                <c:pt idx="39">
                  <c:v>275</c:v>
                </c:pt>
                <c:pt idx="40">
                  <c:v>280</c:v>
                </c:pt>
                <c:pt idx="41">
                  <c:v>285</c:v>
                </c:pt>
                <c:pt idx="42">
                  <c:v>290</c:v>
                </c:pt>
                <c:pt idx="43">
                  <c:v>295</c:v>
                </c:pt>
                <c:pt idx="44">
                  <c:v>300</c:v>
                </c:pt>
                <c:pt idx="45">
                  <c:v>305</c:v>
                </c:pt>
                <c:pt idx="46">
                  <c:v>310</c:v>
                </c:pt>
                <c:pt idx="47">
                  <c:v>315</c:v>
                </c:pt>
                <c:pt idx="48">
                  <c:v>320</c:v>
                </c:pt>
                <c:pt idx="49">
                  <c:v>325</c:v>
                </c:pt>
                <c:pt idx="50">
                  <c:v>330</c:v>
                </c:pt>
                <c:pt idx="51">
                  <c:v>335</c:v>
                </c:pt>
                <c:pt idx="52">
                  <c:v>340</c:v>
                </c:pt>
                <c:pt idx="53">
                  <c:v>345</c:v>
                </c:pt>
                <c:pt idx="54">
                  <c:v>350</c:v>
                </c:pt>
                <c:pt idx="55">
                  <c:v>355</c:v>
                </c:pt>
                <c:pt idx="56">
                  <c:v>360</c:v>
                </c:pt>
                <c:pt idx="57">
                  <c:v>365</c:v>
                </c:pt>
                <c:pt idx="58">
                  <c:v>370</c:v>
                </c:pt>
                <c:pt idx="59">
                  <c:v>375</c:v>
                </c:pt>
                <c:pt idx="60">
                  <c:v>380</c:v>
                </c:pt>
                <c:pt idx="61">
                  <c:v>385</c:v>
                </c:pt>
                <c:pt idx="62">
                  <c:v>390</c:v>
                </c:pt>
                <c:pt idx="63">
                  <c:v>395</c:v>
                </c:pt>
                <c:pt idx="64">
                  <c:v>400</c:v>
                </c:pt>
                <c:pt idx="65">
                  <c:v>405</c:v>
                </c:pt>
                <c:pt idx="66">
                  <c:v>410</c:v>
                </c:pt>
                <c:pt idx="67">
                  <c:v>415</c:v>
                </c:pt>
                <c:pt idx="68">
                  <c:v>420</c:v>
                </c:pt>
                <c:pt idx="69">
                  <c:v>425</c:v>
                </c:pt>
                <c:pt idx="70">
                  <c:v>430</c:v>
                </c:pt>
                <c:pt idx="71">
                  <c:v>435</c:v>
                </c:pt>
                <c:pt idx="72">
                  <c:v>440</c:v>
                </c:pt>
                <c:pt idx="73">
                  <c:v>445</c:v>
                </c:pt>
                <c:pt idx="74">
                  <c:v>450</c:v>
                </c:pt>
                <c:pt idx="75">
                  <c:v>455</c:v>
                </c:pt>
                <c:pt idx="76">
                  <c:v>460</c:v>
                </c:pt>
                <c:pt idx="77">
                  <c:v>465</c:v>
                </c:pt>
                <c:pt idx="78">
                  <c:v>470</c:v>
                </c:pt>
                <c:pt idx="79">
                  <c:v>475</c:v>
                </c:pt>
                <c:pt idx="80">
                  <c:v>480</c:v>
                </c:pt>
                <c:pt idx="81">
                  <c:v>485</c:v>
                </c:pt>
                <c:pt idx="82">
                  <c:v>490</c:v>
                </c:pt>
                <c:pt idx="83">
                  <c:v>495</c:v>
                </c:pt>
                <c:pt idx="84">
                  <c:v>500</c:v>
                </c:pt>
                <c:pt idx="85">
                  <c:v>505</c:v>
                </c:pt>
                <c:pt idx="86">
                  <c:v>510</c:v>
                </c:pt>
                <c:pt idx="87">
                  <c:v>515</c:v>
                </c:pt>
                <c:pt idx="88">
                  <c:v>520</c:v>
                </c:pt>
                <c:pt idx="89">
                  <c:v>525</c:v>
                </c:pt>
                <c:pt idx="90">
                  <c:v>530</c:v>
                </c:pt>
                <c:pt idx="91">
                  <c:v>535</c:v>
                </c:pt>
                <c:pt idx="92">
                  <c:v>540</c:v>
                </c:pt>
                <c:pt idx="93">
                  <c:v>545</c:v>
                </c:pt>
                <c:pt idx="94">
                  <c:v>550</c:v>
                </c:pt>
                <c:pt idx="95">
                  <c:v>555</c:v>
                </c:pt>
                <c:pt idx="96">
                  <c:v>560</c:v>
                </c:pt>
                <c:pt idx="97">
                  <c:v>565</c:v>
                </c:pt>
                <c:pt idx="98">
                  <c:v>570</c:v>
                </c:pt>
                <c:pt idx="99">
                  <c:v>575</c:v>
                </c:pt>
                <c:pt idx="100">
                  <c:v>580</c:v>
                </c:pt>
                <c:pt idx="101">
                  <c:v>585</c:v>
                </c:pt>
                <c:pt idx="102">
                  <c:v>590</c:v>
                </c:pt>
                <c:pt idx="103">
                  <c:v>595</c:v>
                </c:pt>
                <c:pt idx="104">
                  <c:v>600</c:v>
                </c:pt>
                <c:pt idx="105">
                  <c:v>605</c:v>
                </c:pt>
                <c:pt idx="106">
                  <c:v>610</c:v>
                </c:pt>
                <c:pt idx="107">
                  <c:v>615</c:v>
                </c:pt>
                <c:pt idx="108">
                  <c:v>620</c:v>
                </c:pt>
                <c:pt idx="109">
                  <c:v>625</c:v>
                </c:pt>
                <c:pt idx="110">
                  <c:v>630</c:v>
                </c:pt>
                <c:pt idx="111">
                  <c:v>635</c:v>
                </c:pt>
                <c:pt idx="112">
                  <c:v>640</c:v>
                </c:pt>
                <c:pt idx="113">
                  <c:v>645</c:v>
                </c:pt>
                <c:pt idx="114">
                  <c:v>650</c:v>
                </c:pt>
                <c:pt idx="115">
                  <c:v>655</c:v>
                </c:pt>
                <c:pt idx="116">
                  <c:v>660</c:v>
                </c:pt>
                <c:pt idx="117">
                  <c:v>665</c:v>
                </c:pt>
                <c:pt idx="118">
                  <c:v>670</c:v>
                </c:pt>
                <c:pt idx="119">
                  <c:v>675</c:v>
                </c:pt>
                <c:pt idx="120">
                  <c:v>680</c:v>
                </c:pt>
                <c:pt idx="121">
                  <c:v>685</c:v>
                </c:pt>
                <c:pt idx="122">
                  <c:v>690</c:v>
                </c:pt>
                <c:pt idx="123">
                  <c:v>695</c:v>
                </c:pt>
                <c:pt idx="124">
                  <c:v>700</c:v>
                </c:pt>
                <c:pt idx="125">
                  <c:v>705</c:v>
                </c:pt>
                <c:pt idx="126">
                  <c:v>710</c:v>
                </c:pt>
                <c:pt idx="127">
                  <c:v>715</c:v>
                </c:pt>
                <c:pt idx="128">
                  <c:v>720</c:v>
                </c:pt>
                <c:pt idx="129">
                  <c:v>725</c:v>
                </c:pt>
                <c:pt idx="130">
                  <c:v>730</c:v>
                </c:pt>
                <c:pt idx="131">
                  <c:v>735</c:v>
                </c:pt>
                <c:pt idx="132">
                  <c:v>740</c:v>
                </c:pt>
                <c:pt idx="133">
                  <c:v>745</c:v>
                </c:pt>
                <c:pt idx="134">
                  <c:v>750</c:v>
                </c:pt>
                <c:pt idx="135">
                  <c:v>755</c:v>
                </c:pt>
                <c:pt idx="136">
                  <c:v>760</c:v>
                </c:pt>
                <c:pt idx="137">
                  <c:v>765</c:v>
                </c:pt>
                <c:pt idx="138">
                  <c:v>770</c:v>
                </c:pt>
                <c:pt idx="139">
                  <c:v>775</c:v>
                </c:pt>
                <c:pt idx="140">
                  <c:v>780</c:v>
                </c:pt>
                <c:pt idx="141">
                  <c:v>785</c:v>
                </c:pt>
                <c:pt idx="142">
                  <c:v>790</c:v>
                </c:pt>
                <c:pt idx="143">
                  <c:v>795</c:v>
                </c:pt>
                <c:pt idx="144">
                  <c:v>800</c:v>
                </c:pt>
                <c:pt idx="145">
                  <c:v>805</c:v>
                </c:pt>
                <c:pt idx="146">
                  <c:v>810</c:v>
                </c:pt>
                <c:pt idx="147">
                  <c:v>815</c:v>
                </c:pt>
                <c:pt idx="148">
                  <c:v>820</c:v>
                </c:pt>
                <c:pt idx="149">
                  <c:v>825</c:v>
                </c:pt>
                <c:pt idx="150">
                  <c:v>830</c:v>
                </c:pt>
                <c:pt idx="151">
                  <c:v>835</c:v>
                </c:pt>
                <c:pt idx="152">
                  <c:v>840</c:v>
                </c:pt>
                <c:pt idx="153">
                  <c:v>845</c:v>
                </c:pt>
                <c:pt idx="154">
                  <c:v>850</c:v>
                </c:pt>
                <c:pt idx="155">
                  <c:v>855</c:v>
                </c:pt>
                <c:pt idx="156">
                  <c:v>860</c:v>
                </c:pt>
                <c:pt idx="157">
                  <c:v>865</c:v>
                </c:pt>
                <c:pt idx="158">
                  <c:v>870</c:v>
                </c:pt>
                <c:pt idx="159">
                  <c:v>875</c:v>
                </c:pt>
                <c:pt idx="160">
                  <c:v>880</c:v>
                </c:pt>
                <c:pt idx="161">
                  <c:v>885</c:v>
                </c:pt>
                <c:pt idx="162">
                  <c:v>890</c:v>
                </c:pt>
                <c:pt idx="163">
                  <c:v>895</c:v>
                </c:pt>
                <c:pt idx="164">
                  <c:v>900</c:v>
                </c:pt>
                <c:pt idx="165">
                  <c:v>905</c:v>
                </c:pt>
                <c:pt idx="166">
                  <c:v>910</c:v>
                </c:pt>
                <c:pt idx="167">
                  <c:v>915</c:v>
                </c:pt>
                <c:pt idx="168">
                  <c:v>920</c:v>
                </c:pt>
                <c:pt idx="169">
                  <c:v>925</c:v>
                </c:pt>
                <c:pt idx="170">
                  <c:v>930</c:v>
                </c:pt>
                <c:pt idx="171">
                  <c:v>935</c:v>
                </c:pt>
                <c:pt idx="172">
                  <c:v>940</c:v>
                </c:pt>
                <c:pt idx="173">
                  <c:v>945</c:v>
                </c:pt>
                <c:pt idx="174">
                  <c:v>950</c:v>
                </c:pt>
                <c:pt idx="175">
                  <c:v>955</c:v>
                </c:pt>
                <c:pt idx="176">
                  <c:v>960</c:v>
                </c:pt>
                <c:pt idx="177">
                  <c:v>965</c:v>
                </c:pt>
                <c:pt idx="178">
                  <c:v>970</c:v>
                </c:pt>
                <c:pt idx="179">
                  <c:v>975</c:v>
                </c:pt>
                <c:pt idx="180">
                  <c:v>980</c:v>
                </c:pt>
                <c:pt idx="181">
                  <c:v>985</c:v>
                </c:pt>
                <c:pt idx="182">
                  <c:v>990</c:v>
                </c:pt>
                <c:pt idx="183">
                  <c:v>995</c:v>
                </c:pt>
                <c:pt idx="184">
                  <c:v>1000</c:v>
                </c:pt>
                <c:pt idx="185">
                  <c:v>1005</c:v>
                </c:pt>
                <c:pt idx="186">
                  <c:v>1010</c:v>
                </c:pt>
                <c:pt idx="187">
                  <c:v>1015</c:v>
                </c:pt>
                <c:pt idx="188">
                  <c:v>1020</c:v>
                </c:pt>
                <c:pt idx="189">
                  <c:v>1025</c:v>
                </c:pt>
                <c:pt idx="190">
                  <c:v>1030</c:v>
                </c:pt>
                <c:pt idx="191">
                  <c:v>1035</c:v>
                </c:pt>
                <c:pt idx="192">
                  <c:v>1040</c:v>
                </c:pt>
                <c:pt idx="193">
                  <c:v>1045</c:v>
                </c:pt>
                <c:pt idx="194">
                  <c:v>1050</c:v>
                </c:pt>
                <c:pt idx="195">
                  <c:v>1055</c:v>
                </c:pt>
                <c:pt idx="196">
                  <c:v>1060</c:v>
                </c:pt>
                <c:pt idx="197">
                  <c:v>1065</c:v>
                </c:pt>
                <c:pt idx="198">
                  <c:v>1070</c:v>
                </c:pt>
                <c:pt idx="199">
                  <c:v>1075</c:v>
                </c:pt>
                <c:pt idx="200">
                  <c:v>1080</c:v>
                </c:pt>
                <c:pt idx="201">
                  <c:v>1085</c:v>
                </c:pt>
                <c:pt idx="202">
                  <c:v>1090</c:v>
                </c:pt>
                <c:pt idx="203">
                  <c:v>1095</c:v>
                </c:pt>
                <c:pt idx="204">
                  <c:v>1100</c:v>
                </c:pt>
                <c:pt idx="205">
                  <c:v>1105</c:v>
                </c:pt>
                <c:pt idx="206">
                  <c:v>1110</c:v>
                </c:pt>
                <c:pt idx="207">
                  <c:v>1115</c:v>
                </c:pt>
                <c:pt idx="208">
                  <c:v>1120</c:v>
                </c:pt>
                <c:pt idx="209">
                  <c:v>1125</c:v>
                </c:pt>
                <c:pt idx="210">
                  <c:v>1130</c:v>
                </c:pt>
                <c:pt idx="211">
                  <c:v>1135</c:v>
                </c:pt>
                <c:pt idx="212">
                  <c:v>1140</c:v>
                </c:pt>
                <c:pt idx="213">
                  <c:v>1145</c:v>
                </c:pt>
                <c:pt idx="214">
                  <c:v>1150</c:v>
                </c:pt>
                <c:pt idx="215">
                  <c:v>1155</c:v>
                </c:pt>
                <c:pt idx="216">
                  <c:v>1160</c:v>
                </c:pt>
                <c:pt idx="217">
                  <c:v>1165</c:v>
                </c:pt>
                <c:pt idx="218">
                  <c:v>1170</c:v>
                </c:pt>
                <c:pt idx="219">
                  <c:v>1175</c:v>
                </c:pt>
                <c:pt idx="220">
                  <c:v>1180</c:v>
                </c:pt>
                <c:pt idx="221">
                  <c:v>1185</c:v>
                </c:pt>
                <c:pt idx="222">
                  <c:v>1190</c:v>
                </c:pt>
                <c:pt idx="223">
                  <c:v>1195</c:v>
                </c:pt>
                <c:pt idx="224">
                  <c:v>1200</c:v>
                </c:pt>
                <c:pt idx="225">
                  <c:v>1205</c:v>
                </c:pt>
                <c:pt idx="226">
                  <c:v>1210</c:v>
                </c:pt>
                <c:pt idx="227">
                  <c:v>1215</c:v>
                </c:pt>
                <c:pt idx="228">
                  <c:v>1220</c:v>
                </c:pt>
                <c:pt idx="229">
                  <c:v>1225</c:v>
                </c:pt>
                <c:pt idx="230">
                  <c:v>1230</c:v>
                </c:pt>
                <c:pt idx="231">
                  <c:v>1235</c:v>
                </c:pt>
                <c:pt idx="232">
                  <c:v>1240</c:v>
                </c:pt>
                <c:pt idx="233">
                  <c:v>1245</c:v>
                </c:pt>
                <c:pt idx="234">
                  <c:v>1250</c:v>
                </c:pt>
                <c:pt idx="235">
                  <c:v>1255</c:v>
                </c:pt>
                <c:pt idx="236">
                  <c:v>1260</c:v>
                </c:pt>
                <c:pt idx="237">
                  <c:v>1265</c:v>
                </c:pt>
                <c:pt idx="238">
                  <c:v>1270</c:v>
                </c:pt>
                <c:pt idx="239">
                  <c:v>1275</c:v>
                </c:pt>
                <c:pt idx="240">
                  <c:v>1280</c:v>
                </c:pt>
                <c:pt idx="241">
                  <c:v>1285</c:v>
                </c:pt>
                <c:pt idx="242">
                  <c:v>1290</c:v>
                </c:pt>
                <c:pt idx="243">
                  <c:v>1295</c:v>
                </c:pt>
                <c:pt idx="244">
                  <c:v>1300</c:v>
                </c:pt>
                <c:pt idx="245">
                  <c:v>1305</c:v>
                </c:pt>
                <c:pt idx="246">
                  <c:v>1310</c:v>
                </c:pt>
                <c:pt idx="247">
                  <c:v>1315</c:v>
                </c:pt>
                <c:pt idx="248">
                  <c:v>1320</c:v>
                </c:pt>
                <c:pt idx="249">
                  <c:v>1325</c:v>
                </c:pt>
                <c:pt idx="250">
                  <c:v>1330</c:v>
                </c:pt>
                <c:pt idx="251">
                  <c:v>1335</c:v>
                </c:pt>
                <c:pt idx="252">
                  <c:v>1340</c:v>
                </c:pt>
                <c:pt idx="253">
                  <c:v>1345</c:v>
                </c:pt>
                <c:pt idx="254">
                  <c:v>1350</c:v>
                </c:pt>
                <c:pt idx="255">
                  <c:v>1355</c:v>
                </c:pt>
                <c:pt idx="256">
                  <c:v>1360</c:v>
                </c:pt>
                <c:pt idx="257">
                  <c:v>1365</c:v>
                </c:pt>
                <c:pt idx="258">
                  <c:v>1370</c:v>
                </c:pt>
                <c:pt idx="259">
                  <c:v>1375</c:v>
                </c:pt>
                <c:pt idx="260">
                  <c:v>1380</c:v>
                </c:pt>
                <c:pt idx="261">
                  <c:v>1385</c:v>
                </c:pt>
                <c:pt idx="262">
                  <c:v>1390</c:v>
                </c:pt>
                <c:pt idx="263">
                  <c:v>1395</c:v>
                </c:pt>
                <c:pt idx="264">
                  <c:v>1400</c:v>
                </c:pt>
                <c:pt idx="265">
                  <c:v>1405</c:v>
                </c:pt>
                <c:pt idx="266">
                  <c:v>1410</c:v>
                </c:pt>
                <c:pt idx="267">
                  <c:v>1415</c:v>
                </c:pt>
                <c:pt idx="268">
                  <c:v>1420</c:v>
                </c:pt>
                <c:pt idx="269">
                  <c:v>1425</c:v>
                </c:pt>
                <c:pt idx="270">
                  <c:v>1430</c:v>
                </c:pt>
                <c:pt idx="271">
                  <c:v>1435</c:v>
                </c:pt>
                <c:pt idx="272">
                  <c:v>1440</c:v>
                </c:pt>
                <c:pt idx="273">
                  <c:v>1445</c:v>
                </c:pt>
                <c:pt idx="274">
                  <c:v>1450</c:v>
                </c:pt>
                <c:pt idx="275">
                  <c:v>1455</c:v>
                </c:pt>
                <c:pt idx="276">
                  <c:v>1460</c:v>
                </c:pt>
                <c:pt idx="277">
                  <c:v>1465</c:v>
                </c:pt>
                <c:pt idx="278">
                  <c:v>1470</c:v>
                </c:pt>
                <c:pt idx="279">
                  <c:v>1475</c:v>
                </c:pt>
                <c:pt idx="280">
                  <c:v>1480</c:v>
                </c:pt>
                <c:pt idx="281">
                  <c:v>1485</c:v>
                </c:pt>
                <c:pt idx="282">
                  <c:v>1490</c:v>
                </c:pt>
                <c:pt idx="283">
                  <c:v>1495</c:v>
                </c:pt>
                <c:pt idx="284">
                  <c:v>1500</c:v>
                </c:pt>
                <c:pt idx="285">
                  <c:v>1505</c:v>
                </c:pt>
                <c:pt idx="286">
                  <c:v>1510</c:v>
                </c:pt>
                <c:pt idx="287">
                  <c:v>1515</c:v>
                </c:pt>
                <c:pt idx="288">
                  <c:v>1520</c:v>
                </c:pt>
                <c:pt idx="289">
                  <c:v>1525</c:v>
                </c:pt>
                <c:pt idx="290">
                  <c:v>1530</c:v>
                </c:pt>
                <c:pt idx="291">
                  <c:v>1535</c:v>
                </c:pt>
                <c:pt idx="292">
                  <c:v>1540</c:v>
                </c:pt>
                <c:pt idx="293">
                  <c:v>1545</c:v>
                </c:pt>
                <c:pt idx="294">
                  <c:v>1550</c:v>
                </c:pt>
                <c:pt idx="295">
                  <c:v>1555</c:v>
                </c:pt>
                <c:pt idx="296">
                  <c:v>1560</c:v>
                </c:pt>
                <c:pt idx="297">
                  <c:v>1565</c:v>
                </c:pt>
                <c:pt idx="298">
                  <c:v>1570</c:v>
                </c:pt>
                <c:pt idx="299">
                  <c:v>1575</c:v>
                </c:pt>
                <c:pt idx="300">
                  <c:v>1580</c:v>
                </c:pt>
                <c:pt idx="301">
                  <c:v>1585</c:v>
                </c:pt>
                <c:pt idx="302">
                  <c:v>1590</c:v>
                </c:pt>
                <c:pt idx="303">
                  <c:v>1595</c:v>
                </c:pt>
                <c:pt idx="304">
                  <c:v>1600</c:v>
                </c:pt>
                <c:pt idx="305">
                  <c:v>1605</c:v>
                </c:pt>
                <c:pt idx="306">
                  <c:v>1610</c:v>
                </c:pt>
                <c:pt idx="307">
                  <c:v>1615</c:v>
                </c:pt>
                <c:pt idx="308">
                  <c:v>1620</c:v>
                </c:pt>
                <c:pt idx="309">
                  <c:v>1625</c:v>
                </c:pt>
                <c:pt idx="310">
                  <c:v>1630</c:v>
                </c:pt>
                <c:pt idx="311">
                  <c:v>1635</c:v>
                </c:pt>
                <c:pt idx="312">
                  <c:v>1640</c:v>
                </c:pt>
                <c:pt idx="313">
                  <c:v>1645</c:v>
                </c:pt>
                <c:pt idx="314">
                  <c:v>1650</c:v>
                </c:pt>
                <c:pt idx="315">
                  <c:v>1655</c:v>
                </c:pt>
                <c:pt idx="316">
                  <c:v>1660</c:v>
                </c:pt>
                <c:pt idx="317">
                  <c:v>1665</c:v>
                </c:pt>
                <c:pt idx="318">
                  <c:v>1670</c:v>
                </c:pt>
                <c:pt idx="319">
                  <c:v>1675</c:v>
                </c:pt>
                <c:pt idx="320">
                  <c:v>1680</c:v>
                </c:pt>
                <c:pt idx="321">
                  <c:v>1685</c:v>
                </c:pt>
                <c:pt idx="322">
                  <c:v>1690</c:v>
                </c:pt>
                <c:pt idx="323">
                  <c:v>1695</c:v>
                </c:pt>
                <c:pt idx="324">
                  <c:v>1700</c:v>
                </c:pt>
                <c:pt idx="325">
                  <c:v>1705</c:v>
                </c:pt>
                <c:pt idx="326">
                  <c:v>1710</c:v>
                </c:pt>
                <c:pt idx="327">
                  <c:v>1715</c:v>
                </c:pt>
                <c:pt idx="328">
                  <c:v>1720</c:v>
                </c:pt>
                <c:pt idx="329">
                  <c:v>1725</c:v>
                </c:pt>
                <c:pt idx="330">
                  <c:v>1730</c:v>
                </c:pt>
                <c:pt idx="331">
                  <c:v>1735</c:v>
                </c:pt>
                <c:pt idx="332">
                  <c:v>1740</c:v>
                </c:pt>
                <c:pt idx="333">
                  <c:v>1745</c:v>
                </c:pt>
                <c:pt idx="334">
                  <c:v>1750</c:v>
                </c:pt>
                <c:pt idx="335">
                  <c:v>1755</c:v>
                </c:pt>
                <c:pt idx="336">
                  <c:v>1760</c:v>
                </c:pt>
                <c:pt idx="337">
                  <c:v>1765</c:v>
                </c:pt>
                <c:pt idx="338">
                  <c:v>1770</c:v>
                </c:pt>
                <c:pt idx="339">
                  <c:v>1775</c:v>
                </c:pt>
                <c:pt idx="340">
                  <c:v>1780</c:v>
                </c:pt>
                <c:pt idx="341">
                  <c:v>1785</c:v>
                </c:pt>
                <c:pt idx="342">
                  <c:v>1790</c:v>
                </c:pt>
                <c:pt idx="343">
                  <c:v>1795</c:v>
                </c:pt>
                <c:pt idx="344">
                  <c:v>1800</c:v>
                </c:pt>
                <c:pt idx="345">
                  <c:v>1805</c:v>
                </c:pt>
                <c:pt idx="346">
                  <c:v>1810</c:v>
                </c:pt>
                <c:pt idx="347">
                  <c:v>1815</c:v>
                </c:pt>
                <c:pt idx="348">
                  <c:v>1820</c:v>
                </c:pt>
                <c:pt idx="349">
                  <c:v>1825</c:v>
                </c:pt>
                <c:pt idx="350">
                  <c:v>1830</c:v>
                </c:pt>
                <c:pt idx="351">
                  <c:v>1835</c:v>
                </c:pt>
                <c:pt idx="352">
                  <c:v>1840</c:v>
                </c:pt>
                <c:pt idx="353">
                  <c:v>1845</c:v>
                </c:pt>
                <c:pt idx="354">
                  <c:v>1850</c:v>
                </c:pt>
                <c:pt idx="355">
                  <c:v>1855</c:v>
                </c:pt>
                <c:pt idx="356">
                  <c:v>1860</c:v>
                </c:pt>
                <c:pt idx="357">
                  <c:v>1865</c:v>
                </c:pt>
                <c:pt idx="358">
                  <c:v>1870</c:v>
                </c:pt>
                <c:pt idx="359">
                  <c:v>1875</c:v>
                </c:pt>
                <c:pt idx="360">
                  <c:v>1880</c:v>
                </c:pt>
                <c:pt idx="361">
                  <c:v>1885</c:v>
                </c:pt>
                <c:pt idx="362">
                  <c:v>1890</c:v>
                </c:pt>
                <c:pt idx="363">
                  <c:v>1895</c:v>
                </c:pt>
                <c:pt idx="364">
                  <c:v>1900</c:v>
                </c:pt>
                <c:pt idx="365">
                  <c:v>1905</c:v>
                </c:pt>
                <c:pt idx="366">
                  <c:v>1910</c:v>
                </c:pt>
                <c:pt idx="367">
                  <c:v>1915</c:v>
                </c:pt>
                <c:pt idx="368">
                  <c:v>1920</c:v>
                </c:pt>
                <c:pt idx="369">
                  <c:v>1925</c:v>
                </c:pt>
                <c:pt idx="370">
                  <c:v>1930</c:v>
                </c:pt>
                <c:pt idx="371">
                  <c:v>1935</c:v>
                </c:pt>
                <c:pt idx="372">
                  <c:v>1940</c:v>
                </c:pt>
                <c:pt idx="373">
                  <c:v>1945</c:v>
                </c:pt>
                <c:pt idx="374">
                  <c:v>1950</c:v>
                </c:pt>
                <c:pt idx="375">
                  <c:v>1955</c:v>
                </c:pt>
                <c:pt idx="376">
                  <c:v>1960</c:v>
                </c:pt>
                <c:pt idx="377">
                  <c:v>1965</c:v>
                </c:pt>
                <c:pt idx="378">
                  <c:v>1970</c:v>
                </c:pt>
                <c:pt idx="379">
                  <c:v>1975</c:v>
                </c:pt>
                <c:pt idx="380">
                  <c:v>1980</c:v>
                </c:pt>
                <c:pt idx="381">
                  <c:v>1985</c:v>
                </c:pt>
                <c:pt idx="382">
                  <c:v>1990</c:v>
                </c:pt>
                <c:pt idx="383">
                  <c:v>1995</c:v>
                </c:pt>
                <c:pt idx="384">
                  <c:v>2000</c:v>
                </c:pt>
              </c:numCache>
            </c:numRef>
          </c:xVal>
          <c:yVal>
            <c:numRef>
              <c:f>'LOX Data'!$I$2:$I$386</c:f>
              <c:numCache>
                <c:formatCode>0.000</c:formatCode>
                <c:ptCount val="385"/>
                <c:pt idx="0">
                  <c:v>54.048999999999999</c:v>
                </c:pt>
                <c:pt idx="1">
                  <c:v>54.496000000000002</c:v>
                </c:pt>
                <c:pt idx="2">
                  <c:v>55.128</c:v>
                </c:pt>
                <c:pt idx="3">
                  <c:v>55.984000000000002</c:v>
                </c:pt>
                <c:pt idx="4">
                  <c:v>57.125999999999998</c:v>
                </c:pt>
                <c:pt idx="5">
                  <c:v>58.652000000000001</c:v>
                </c:pt>
                <c:pt idx="6">
                  <c:v>60.734999999999999</c:v>
                </c:pt>
                <c:pt idx="7">
                  <c:v>63.69</c:v>
                </c:pt>
                <c:pt idx="8">
                  <c:v>68.19</c:v>
                </c:pt>
                <c:pt idx="9">
                  <c:v>73.031999999999996</c:v>
                </c:pt>
                <c:pt idx="10">
                  <c:v>57.078000000000003</c:v>
                </c:pt>
                <c:pt idx="11">
                  <c:v>53.08</c:v>
                </c:pt>
                <c:pt idx="12">
                  <c:v>45.94</c:v>
                </c:pt>
                <c:pt idx="13">
                  <c:v>42.305999999999997</c:v>
                </c:pt>
                <c:pt idx="14">
                  <c:v>39.975000000000001</c:v>
                </c:pt>
                <c:pt idx="15">
                  <c:v>38.299999999999997</c:v>
                </c:pt>
                <c:pt idx="16">
                  <c:v>37.026000000000003</c:v>
                </c:pt>
                <c:pt idx="17">
                  <c:v>36.021000000000001</c:v>
                </c:pt>
                <c:pt idx="18">
                  <c:v>35.21</c:v>
                </c:pt>
                <c:pt idx="19">
                  <c:v>34.543999999999997</c:v>
                </c:pt>
                <c:pt idx="20">
                  <c:v>33.988999999999997</c:v>
                </c:pt>
                <c:pt idx="21">
                  <c:v>33.521000000000001</c:v>
                </c:pt>
                <c:pt idx="22">
                  <c:v>33.122999999999998</c:v>
                </c:pt>
                <c:pt idx="23">
                  <c:v>32.78</c:v>
                </c:pt>
                <c:pt idx="24">
                  <c:v>32.484000000000002</c:v>
                </c:pt>
                <c:pt idx="25">
                  <c:v>32.225999999999999</c:v>
                </c:pt>
                <c:pt idx="26">
                  <c:v>32</c:v>
                </c:pt>
                <c:pt idx="27">
                  <c:v>31.800999999999998</c:v>
                </c:pt>
                <c:pt idx="28">
                  <c:v>31.625</c:v>
                </c:pt>
                <c:pt idx="29">
                  <c:v>31.469000000000001</c:v>
                </c:pt>
                <c:pt idx="30">
                  <c:v>31.33</c:v>
                </c:pt>
                <c:pt idx="31">
                  <c:v>31.207000000000001</c:v>
                </c:pt>
                <c:pt idx="32">
                  <c:v>31.097000000000001</c:v>
                </c:pt>
                <c:pt idx="33">
                  <c:v>30.998000000000001</c:v>
                </c:pt>
                <c:pt idx="34">
                  <c:v>30.91</c:v>
                </c:pt>
                <c:pt idx="35">
                  <c:v>30.832000000000001</c:v>
                </c:pt>
                <c:pt idx="36">
                  <c:v>30.762</c:v>
                </c:pt>
                <c:pt idx="37">
                  <c:v>30.7</c:v>
                </c:pt>
                <c:pt idx="38">
                  <c:v>30.646000000000001</c:v>
                </c:pt>
                <c:pt idx="39">
                  <c:v>30.597000000000001</c:v>
                </c:pt>
                <c:pt idx="40">
                  <c:v>30.555</c:v>
                </c:pt>
                <c:pt idx="41">
                  <c:v>30.518000000000001</c:v>
                </c:pt>
                <c:pt idx="42">
                  <c:v>30.486999999999998</c:v>
                </c:pt>
                <c:pt idx="43">
                  <c:v>30.46</c:v>
                </c:pt>
                <c:pt idx="44">
                  <c:v>30.437999999999999</c:v>
                </c:pt>
                <c:pt idx="45">
                  <c:v>30.42</c:v>
                </c:pt>
                <c:pt idx="46">
                  <c:v>30.405999999999999</c:v>
                </c:pt>
                <c:pt idx="47">
                  <c:v>30.395</c:v>
                </c:pt>
                <c:pt idx="48">
                  <c:v>30.388000000000002</c:v>
                </c:pt>
                <c:pt idx="49">
                  <c:v>30.385000000000002</c:v>
                </c:pt>
                <c:pt idx="50">
                  <c:v>30.384</c:v>
                </c:pt>
                <c:pt idx="51">
                  <c:v>30.387</c:v>
                </c:pt>
                <c:pt idx="52">
                  <c:v>30.391999999999999</c:v>
                </c:pt>
                <c:pt idx="53">
                  <c:v>30.4</c:v>
                </c:pt>
                <c:pt idx="54">
                  <c:v>30.41</c:v>
                </c:pt>
                <c:pt idx="55">
                  <c:v>30.422999999999998</c:v>
                </c:pt>
                <c:pt idx="56">
                  <c:v>30.437999999999999</c:v>
                </c:pt>
                <c:pt idx="57">
                  <c:v>30.454999999999998</c:v>
                </c:pt>
                <c:pt idx="58">
                  <c:v>30.474</c:v>
                </c:pt>
                <c:pt idx="59">
                  <c:v>30.495000000000001</c:v>
                </c:pt>
                <c:pt idx="60">
                  <c:v>30.516999999999999</c:v>
                </c:pt>
                <c:pt idx="61">
                  <c:v>30.542000000000002</c:v>
                </c:pt>
                <c:pt idx="62">
                  <c:v>30.568000000000001</c:v>
                </c:pt>
                <c:pt idx="63">
                  <c:v>30.594999999999999</c:v>
                </c:pt>
                <c:pt idx="64">
                  <c:v>30.623999999999999</c:v>
                </c:pt>
                <c:pt idx="65">
                  <c:v>30.655000000000001</c:v>
                </c:pt>
                <c:pt idx="66">
                  <c:v>30.686</c:v>
                </c:pt>
                <c:pt idx="67">
                  <c:v>30.719000000000001</c:v>
                </c:pt>
                <c:pt idx="68">
                  <c:v>30.753</c:v>
                </c:pt>
                <c:pt idx="69">
                  <c:v>30.788</c:v>
                </c:pt>
                <c:pt idx="70">
                  <c:v>30.823</c:v>
                </c:pt>
                <c:pt idx="71">
                  <c:v>30.86</c:v>
                </c:pt>
                <c:pt idx="72">
                  <c:v>30.898</c:v>
                </c:pt>
                <c:pt idx="73">
                  <c:v>30.936</c:v>
                </c:pt>
                <c:pt idx="74">
                  <c:v>30.975000000000001</c:v>
                </c:pt>
                <c:pt idx="75">
                  <c:v>31.015000000000001</c:v>
                </c:pt>
                <c:pt idx="76">
                  <c:v>31.056000000000001</c:v>
                </c:pt>
                <c:pt idx="77">
                  <c:v>31.097000000000001</c:v>
                </c:pt>
                <c:pt idx="78">
                  <c:v>31.138000000000002</c:v>
                </c:pt>
                <c:pt idx="79">
                  <c:v>31.181000000000001</c:v>
                </c:pt>
                <c:pt idx="80">
                  <c:v>31.222999999999999</c:v>
                </c:pt>
                <c:pt idx="81">
                  <c:v>31.265999999999998</c:v>
                </c:pt>
                <c:pt idx="82">
                  <c:v>31.309000000000001</c:v>
                </c:pt>
                <c:pt idx="83">
                  <c:v>31.353000000000002</c:v>
                </c:pt>
                <c:pt idx="84">
                  <c:v>31.396999999999998</c:v>
                </c:pt>
                <c:pt idx="85">
                  <c:v>31.440999999999999</c:v>
                </c:pt>
                <c:pt idx="86">
                  <c:v>31.484999999999999</c:v>
                </c:pt>
                <c:pt idx="87">
                  <c:v>31.53</c:v>
                </c:pt>
                <c:pt idx="88">
                  <c:v>31.574000000000002</c:v>
                </c:pt>
                <c:pt idx="89">
                  <c:v>31.619</c:v>
                </c:pt>
                <c:pt idx="90">
                  <c:v>31.664000000000001</c:v>
                </c:pt>
                <c:pt idx="91">
                  <c:v>31.709</c:v>
                </c:pt>
                <c:pt idx="92">
                  <c:v>31.754000000000001</c:v>
                </c:pt>
                <c:pt idx="93">
                  <c:v>31.798999999999999</c:v>
                </c:pt>
                <c:pt idx="94">
                  <c:v>31.844000000000001</c:v>
                </c:pt>
                <c:pt idx="95">
                  <c:v>31.888999999999999</c:v>
                </c:pt>
                <c:pt idx="96">
                  <c:v>31.934000000000001</c:v>
                </c:pt>
                <c:pt idx="97">
                  <c:v>31.978999999999999</c:v>
                </c:pt>
                <c:pt idx="98">
                  <c:v>32.024000000000001</c:v>
                </c:pt>
                <c:pt idx="99">
                  <c:v>32.069000000000003</c:v>
                </c:pt>
                <c:pt idx="100">
                  <c:v>32.113</c:v>
                </c:pt>
                <c:pt idx="101">
                  <c:v>32.158000000000001</c:v>
                </c:pt>
                <c:pt idx="102">
                  <c:v>32.201999999999998</c:v>
                </c:pt>
                <c:pt idx="103">
                  <c:v>32.246000000000002</c:v>
                </c:pt>
                <c:pt idx="104">
                  <c:v>32.29</c:v>
                </c:pt>
                <c:pt idx="105">
                  <c:v>32.334000000000003</c:v>
                </c:pt>
                <c:pt idx="106">
                  <c:v>32.378</c:v>
                </c:pt>
                <c:pt idx="107">
                  <c:v>32.420999999999999</c:v>
                </c:pt>
                <c:pt idx="108">
                  <c:v>32.465000000000003</c:v>
                </c:pt>
                <c:pt idx="109">
                  <c:v>32.508000000000003</c:v>
                </c:pt>
                <c:pt idx="110">
                  <c:v>32.549999999999997</c:v>
                </c:pt>
                <c:pt idx="111">
                  <c:v>32.593000000000004</c:v>
                </c:pt>
                <c:pt idx="112">
                  <c:v>32.634999999999998</c:v>
                </c:pt>
                <c:pt idx="113">
                  <c:v>32.677</c:v>
                </c:pt>
                <c:pt idx="114">
                  <c:v>32.719000000000001</c:v>
                </c:pt>
                <c:pt idx="115">
                  <c:v>32.761000000000003</c:v>
                </c:pt>
                <c:pt idx="116">
                  <c:v>32.802</c:v>
                </c:pt>
                <c:pt idx="117">
                  <c:v>32.843000000000004</c:v>
                </c:pt>
                <c:pt idx="118">
                  <c:v>32.884</c:v>
                </c:pt>
                <c:pt idx="119">
                  <c:v>32.923999999999999</c:v>
                </c:pt>
                <c:pt idx="120">
                  <c:v>32.963999999999999</c:v>
                </c:pt>
                <c:pt idx="121">
                  <c:v>33.003999999999998</c:v>
                </c:pt>
                <c:pt idx="122">
                  <c:v>33.043999999999997</c:v>
                </c:pt>
                <c:pt idx="123">
                  <c:v>33.082999999999998</c:v>
                </c:pt>
                <c:pt idx="124">
                  <c:v>33.122</c:v>
                </c:pt>
                <c:pt idx="125">
                  <c:v>33.161000000000001</c:v>
                </c:pt>
                <c:pt idx="126">
                  <c:v>33.198999999999998</c:v>
                </c:pt>
                <c:pt idx="127">
                  <c:v>33.237000000000002</c:v>
                </c:pt>
                <c:pt idx="128">
                  <c:v>33.274999999999999</c:v>
                </c:pt>
                <c:pt idx="129">
                  <c:v>33.311999999999998</c:v>
                </c:pt>
                <c:pt idx="130">
                  <c:v>33.348999999999997</c:v>
                </c:pt>
                <c:pt idx="131">
                  <c:v>33.386000000000003</c:v>
                </c:pt>
                <c:pt idx="132">
                  <c:v>33.423000000000002</c:v>
                </c:pt>
                <c:pt idx="133">
                  <c:v>33.459000000000003</c:v>
                </c:pt>
                <c:pt idx="134">
                  <c:v>33.494999999999997</c:v>
                </c:pt>
                <c:pt idx="135">
                  <c:v>33.53</c:v>
                </c:pt>
                <c:pt idx="136">
                  <c:v>33.566000000000003</c:v>
                </c:pt>
                <c:pt idx="137">
                  <c:v>33.600999999999999</c:v>
                </c:pt>
                <c:pt idx="138">
                  <c:v>33.634999999999998</c:v>
                </c:pt>
                <c:pt idx="139">
                  <c:v>33.67</c:v>
                </c:pt>
                <c:pt idx="140">
                  <c:v>33.704000000000001</c:v>
                </c:pt>
                <c:pt idx="141">
                  <c:v>33.738</c:v>
                </c:pt>
                <c:pt idx="142">
                  <c:v>33.771000000000001</c:v>
                </c:pt>
                <c:pt idx="143">
                  <c:v>33.804000000000002</c:v>
                </c:pt>
                <c:pt idx="144">
                  <c:v>33.837000000000003</c:v>
                </c:pt>
                <c:pt idx="145">
                  <c:v>33.869999999999997</c:v>
                </c:pt>
                <c:pt idx="146">
                  <c:v>33.902000000000001</c:v>
                </c:pt>
                <c:pt idx="147">
                  <c:v>33.933999999999997</c:v>
                </c:pt>
                <c:pt idx="148">
                  <c:v>33.966000000000001</c:v>
                </c:pt>
                <c:pt idx="149">
                  <c:v>33.997</c:v>
                </c:pt>
                <c:pt idx="150">
                  <c:v>34.029000000000003</c:v>
                </c:pt>
                <c:pt idx="151">
                  <c:v>34.06</c:v>
                </c:pt>
                <c:pt idx="152">
                  <c:v>34.090000000000003</c:v>
                </c:pt>
                <c:pt idx="153">
                  <c:v>34.119999999999997</c:v>
                </c:pt>
                <c:pt idx="154">
                  <c:v>34.15</c:v>
                </c:pt>
                <c:pt idx="155">
                  <c:v>34.18</c:v>
                </c:pt>
                <c:pt idx="156">
                  <c:v>34.21</c:v>
                </c:pt>
                <c:pt idx="157">
                  <c:v>34.238999999999997</c:v>
                </c:pt>
                <c:pt idx="158">
                  <c:v>34.268000000000001</c:v>
                </c:pt>
                <c:pt idx="159">
                  <c:v>34.296999999999997</c:v>
                </c:pt>
                <c:pt idx="160">
                  <c:v>34.325000000000003</c:v>
                </c:pt>
                <c:pt idx="161">
                  <c:v>34.353000000000002</c:v>
                </c:pt>
                <c:pt idx="162">
                  <c:v>34.381</c:v>
                </c:pt>
                <c:pt idx="163">
                  <c:v>34.408999999999999</c:v>
                </c:pt>
                <c:pt idx="164">
                  <c:v>34.436</c:v>
                </c:pt>
                <c:pt idx="165">
                  <c:v>34.463000000000001</c:v>
                </c:pt>
                <c:pt idx="166">
                  <c:v>34.49</c:v>
                </c:pt>
                <c:pt idx="167">
                  <c:v>34.517000000000003</c:v>
                </c:pt>
                <c:pt idx="168">
                  <c:v>34.542999999999999</c:v>
                </c:pt>
                <c:pt idx="169">
                  <c:v>34.569000000000003</c:v>
                </c:pt>
                <c:pt idx="170">
                  <c:v>34.594999999999999</c:v>
                </c:pt>
                <c:pt idx="171">
                  <c:v>34.621000000000002</c:v>
                </c:pt>
                <c:pt idx="172">
                  <c:v>34.646999999999998</c:v>
                </c:pt>
                <c:pt idx="173">
                  <c:v>34.671999999999997</c:v>
                </c:pt>
                <c:pt idx="174">
                  <c:v>34.697000000000003</c:v>
                </c:pt>
                <c:pt idx="175">
                  <c:v>34.722000000000001</c:v>
                </c:pt>
                <c:pt idx="176">
                  <c:v>34.746000000000002</c:v>
                </c:pt>
                <c:pt idx="177">
                  <c:v>34.771000000000001</c:v>
                </c:pt>
                <c:pt idx="178">
                  <c:v>34.795000000000002</c:v>
                </c:pt>
                <c:pt idx="179">
                  <c:v>34.819000000000003</c:v>
                </c:pt>
                <c:pt idx="180">
                  <c:v>34.841999999999999</c:v>
                </c:pt>
                <c:pt idx="181">
                  <c:v>34.866</c:v>
                </c:pt>
                <c:pt idx="182">
                  <c:v>34.889000000000003</c:v>
                </c:pt>
                <c:pt idx="183">
                  <c:v>34.911999999999999</c:v>
                </c:pt>
                <c:pt idx="184">
                  <c:v>34.935000000000002</c:v>
                </c:pt>
                <c:pt idx="185">
                  <c:v>34.957999999999998</c:v>
                </c:pt>
                <c:pt idx="186">
                  <c:v>34.981000000000002</c:v>
                </c:pt>
                <c:pt idx="187">
                  <c:v>35.003</c:v>
                </c:pt>
                <c:pt idx="188">
                  <c:v>35.024999999999999</c:v>
                </c:pt>
                <c:pt idx="189">
                  <c:v>35.046999999999997</c:v>
                </c:pt>
                <c:pt idx="190">
                  <c:v>35.069000000000003</c:v>
                </c:pt>
                <c:pt idx="191">
                  <c:v>35.090000000000003</c:v>
                </c:pt>
                <c:pt idx="192">
                  <c:v>35.112000000000002</c:v>
                </c:pt>
                <c:pt idx="193">
                  <c:v>35.133000000000003</c:v>
                </c:pt>
                <c:pt idx="194">
                  <c:v>35.154000000000003</c:v>
                </c:pt>
                <c:pt idx="195">
                  <c:v>35.174999999999997</c:v>
                </c:pt>
                <c:pt idx="196">
                  <c:v>35.195999999999998</c:v>
                </c:pt>
                <c:pt idx="197">
                  <c:v>35.216000000000001</c:v>
                </c:pt>
                <c:pt idx="198">
                  <c:v>35.237000000000002</c:v>
                </c:pt>
                <c:pt idx="199">
                  <c:v>35.256999999999998</c:v>
                </c:pt>
                <c:pt idx="200">
                  <c:v>35.277000000000001</c:v>
                </c:pt>
                <c:pt idx="201">
                  <c:v>35.296999999999997</c:v>
                </c:pt>
                <c:pt idx="202">
                  <c:v>35.317</c:v>
                </c:pt>
                <c:pt idx="203">
                  <c:v>35.335999999999999</c:v>
                </c:pt>
                <c:pt idx="204">
                  <c:v>35.356000000000002</c:v>
                </c:pt>
                <c:pt idx="205">
                  <c:v>35.375</c:v>
                </c:pt>
                <c:pt idx="206">
                  <c:v>35.393999999999998</c:v>
                </c:pt>
                <c:pt idx="207">
                  <c:v>35.412999999999997</c:v>
                </c:pt>
                <c:pt idx="208">
                  <c:v>35.432000000000002</c:v>
                </c:pt>
                <c:pt idx="209">
                  <c:v>35.451000000000001</c:v>
                </c:pt>
                <c:pt idx="210">
                  <c:v>35.469000000000001</c:v>
                </c:pt>
                <c:pt idx="211">
                  <c:v>35.488</c:v>
                </c:pt>
                <c:pt idx="212">
                  <c:v>35.506</c:v>
                </c:pt>
                <c:pt idx="213">
                  <c:v>35.524000000000001</c:v>
                </c:pt>
                <c:pt idx="214">
                  <c:v>35.542000000000002</c:v>
                </c:pt>
                <c:pt idx="215">
                  <c:v>35.56</c:v>
                </c:pt>
                <c:pt idx="216">
                  <c:v>35.578000000000003</c:v>
                </c:pt>
                <c:pt idx="217">
                  <c:v>35.595999999999997</c:v>
                </c:pt>
                <c:pt idx="218">
                  <c:v>35.613999999999997</c:v>
                </c:pt>
                <c:pt idx="219">
                  <c:v>35.631</c:v>
                </c:pt>
                <c:pt idx="220">
                  <c:v>35.648000000000003</c:v>
                </c:pt>
                <c:pt idx="221">
                  <c:v>35.665999999999997</c:v>
                </c:pt>
                <c:pt idx="222">
                  <c:v>35.683</c:v>
                </c:pt>
                <c:pt idx="223">
                  <c:v>35.700000000000003</c:v>
                </c:pt>
                <c:pt idx="224">
                  <c:v>35.716999999999999</c:v>
                </c:pt>
                <c:pt idx="225">
                  <c:v>35.732999999999997</c:v>
                </c:pt>
                <c:pt idx="226">
                  <c:v>35.75</c:v>
                </c:pt>
                <c:pt idx="227">
                  <c:v>35.767000000000003</c:v>
                </c:pt>
                <c:pt idx="228">
                  <c:v>35.783000000000001</c:v>
                </c:pt>
                <c:pt idx="229">
                  <c:v>35.799999999999997</c:v>
                </c:pt>
                <c:pt idx="230">
                  <c:v>35.816000000000003</c:v>
                </c:pt>
                <c:pt idx="231">
                  <c:v>35.832000000000001</c:v>
                </c:pt>
                <c:pt idx="232">
                  <c:v>35.847999999999999</c:v>
                </c:pt>
                <c:pt idx="233">
                  <c:v>35.863999999999997</c:v>
                </c:pt>
                <c:pt idx="234">
                  <c:v>35.880000000000003</c:v>
                </c:pt>
                <c:pt idx="235">
                  <c:v>35.896000000000001</c:v>
                </c:pt>
                <c:pt idx="236">
                  <c:v>35.911999999999999</c:v>
                </c:pt>
                <c:pt idx="237">
                  <c:v>35.927</c:v>
                </c:pt>
                <c:pt idx="238">
                  <c:v>35.942999999999998</c:v>
                </c:pt>
                <c:pt idx="239">
                  <c:v>35.957999999999998</c:v>
                </c:pt>
                <c:pt idx="240">
                  <c:v>35.973999999999997</c:v>
                </c:pt>
                <c:pt idx="241">
                  <c:v>35.988999999999997</c:v>
                </c:pt>
                <c:pt idx="242">
                  <c:v>36.003999999999998</c:v>
                </c:pt>
                <c:pt idx="243">
                  <c:v>36.018999999999998</c:v>
                </c:pt>
                <c:pt idx="244">
                  <c:v>36.033999999999999</c:v>
                </c:pt>
                <c:pt idx="245">
                  <c:v>36.048999999999999</c:v>
                </c:pt>
                <c:pt idx="246">
                  <c:v>36.064</c:v>
                </c:pt>
                <c:pt idx="247">
                  <c:v>36.079000000000001</c:v>
                </c:pt>
                <c:pt idx="248">
                  <c:v>36.094000000000001</c:v>
                </c:pt>
                <c:pt idx="249">
                  <c:v>36.109000000000002</c:v>
                </c:pt>
                <c:pt idx="250">
                  <c:v>36.122999999999998</c:v>
                </c:pt>
                <c:pt idx="251">
                  <c:v>36.137999999999998</c:v>
                </c:pt>
                <c:pt idx="252">
                  <c:v>36.152000000000001</c:v>
                </c:pt>
                <c:pt idx="253">
                  <c:v>36.167000000000002</c:v>
                </c:pt>
                <c:pt idx="254">
                  <c:v>36.180999999999997</c:v>
                </c:pt>
                <c:pt idx="255">
                  <c:v>36.195</c:v>
                </c:pt>
                <c:pt idx="256">
                  <c:v>36.21</c:v>
                </c:pt>
                <c:pt idx="257">
                  <c:v>36.223999999999997</c:v>
                </c:pt>
                <c:pt idx="258">
                  <c:v>36.238</c:v>
                </c:pt>
                <c:pt idx="259">
                  <c:v>36.252000000000002</c:v>
                </c:pt>
                <c:pt idx="260">
                  <c:v>36.265999999999998</c:v>
                </c:pt>
                <c:pt idx="261">
                  <c:v>36.28</c:v>
                </c:pt>
                <c:pt idx="262">
                  <c:v>36.293999999999997</c:v>
                </c:pt>
                <c:pt idx="263">
                  <c:v>36.308</c:v>
                </c:pt>
                <c:pt idx="264">
                  <c:v>36.322000000000003</c:v>
                </c:pt>
                <c:pt idx="265">
                  <c:v>36.335000000000001</c:v>
                </c:pt>
                <c:pt idx="266">
                  <c:v>36.348999999999997</c:v>
                </c:pt>
                <c:pt idx="267">
                  <c:v>36.363</c:v>
                </c:pt>
                <c:pt idx="268">
                  <c:v>36.375999999999998</c:v>
                </c:pt>
                <c:pt idx="269">
                  <c:v>36.39</c:v>
                </c:pt>
                <c:pt idx="270">
                  <c:v>36.402999999999999</c:v>
                </c:pt>
                <c:pt idx="271">
                  <c:v>36.417000000000002</c:v>
                </c:pt>
                <c:pt idx="272">
                  <c:v>36.43</c:v>
                </c:pt>
                <c:pt idx="273">
                  <c:v>36.444000000000003</c:v>
                </c:pt>
                <c:pt idx="274">
                  <c:v>36.457000000000001</c:v>
                </c:pt>
                <c:pt idx="275">
                  <c:v>36.47</c:v>
                </c:pt>
                <c:pt idx="276">
                  <c:v>36.482999999999997</c:v>
                </c:pt>
                <c:pt idx="277">
                  <c:v>36.497</c:v>
                </c:pt>
                <c:pt idx="278">
                  <c:v>36.51</c:v>
                </c:pt>
                <c:pt idx="279">
                  <c:v>36.523000000000003</c:v>
                </c:pt>
                <c:pt idx="280">
                  <c:v>36.536000000000001</c:v>
                </c:pt>
                <c:pt idx="281">
                  <c:v>36.548999999999999</c:v>
                </c:pt>
                <c:pt idx="282">
                  <c:v>36.561999999999998</c:v>
                </c:pt>
                <c:pt idx="283">
                  <c:v>36.575000000000003</c:v>
                </c:pt>
                <c:pt idx="284">
                  <c:v>36.588000000000001</c:v>
                </c:pt>
                <c:pt idx="285">
                  <c:v>36.600999999999999</c:v>
                </c:pt>
                <c:pt idx="286">
                  <c:v>36.613999999999997</c:v>
                </c:pt>
                <c:pt idx="287">
                  <c:v>36.627000000000002</c:v>
                </c:pt>
                <c:pt idx="288">
                  <c:v>36.639000000000003</c:v>
                </c:pt>
                <c:pt idx="289">
                  <c:v>36.652000000000001</c:v>
                </c:pt>
                <c:pt idx="290">
                  <c:v>36.664999999999999</c:v>
                </c:pt>
                <c:pt idx="291">
                  <c:v>36.677999999999997</c:v>
                </c:pt>
                <c:pt idx="292">
                  <c:v>36.69</c:v>
                </c:pt>
                <c:pt idx="293">
                  <c:v>36.703000000000003</c:v>
                </c:pt>
                <c:pt idx="294">
                  <c:v>36.716000000000001</c:v>
                </c:pt>
                <c:pt idx="295">
                  <c:v>36.728000000000002</c:v>
                </c:pt>
                <c:pt idx="296">
                  <c:v>36.741</c:v>
                </c:pt>
                <c:pt idx="297">
                  <c:v>36.753</c:v>
                </c:pt>
                <c:pt idx="298">
                  <c:v>36.765999999999998</c:v>
                </c:pt>
                <c:pt idx="299">
                  <c:v>36.777999999999999</c:v>
                </c:pt>
                <c:pt idx="300">
                  <c:v>36.790999999999997</c:v>
                </c:pt>
                <c:pt idx="301">
                  <c:v>36.802999999999997</c:v>
                </c:pt>
                <c:pt idx="302">
                  <c:v>36.816000000000003</c:v>
                </c:pt>
                <c:pt idx="303">
                  <c:v>36.828000000000003</c:v>
                </c:pt>
                <c:pt idx="304">
                  <c:v>36.841000000000001</c:v>
                </c:pt>
                <c:pt idx="305">
                  <c:v>36.853000000000002</c:v>
                </c:pt>
                <c:pt idx="306">
                  <c:v>36.865000000000002</c:v>
                </c:pt>
                <c:pt idx="307">
                  <c:v>36.877000000000002</c:v>
                </c:pt>
                <c:pt idx="308">
                  <c:v>36.89</c:v>
                </c:pt>
                <c:pt idx="309">
                  <c:v>36.902000000000001</c:v>
                </c:pt>
                <c:pt idx="310">
                  <c:v>36.914000000000001</c:v>
                </c:pt>
                <c:pt idx="311">
                  <c:v>36.926000000000002</c:v>
                </c:pt>
                <c:pt idx="312">
                  <c:v>36.939</c:v>
                </c:pt>
                <c:pt idx="313">
                  <c:v>36.951000000000001</c:v>
                </c:pt>
                <c:pt idx="314">
                  <c:v>36.963000000000001</c:v>
                </c:pt>
                <c:pt idx="315">
                  <c:v>36.975000000000001</c:v>
                </c:pt>
                <c:pt idx="316">
                  <c:v>36.987000000000002</c:v>
                </c:pt>
                <c:pt idx="317">
                  <c:v>36.999000000000002</c:v>
                </c:pt>
                <c:pt idx="318">
                  <c:v>37.011000000000003</c:v>
                </c:pt>
                <c:pt idx="319">
                  <c:v>37.024000000000001</c:v>
                </c:pt>
                <c:pt idx="320">
                  <c:v>37.036000000000001</c:v>
                </c:pt>
                <c:pt idx="321">
                  <c:v>37.048000000000002</c:v>
                </c:pt>
                <c:pt idx="322">
                  <c:v>37.06</c:v>
                </c:pt>
                <c:pt idx="323">
                  <c:v>37.072000000000003</c:v>
                </c:pt>
                <c:pt idx="324">
                  <c:v>37.084000000000003</c:v>
                </c:pt>
                <c:pt idx="325">
                  <c:v>37.095999999999997</c:v>
                </c:pt>
                <c:pt idx="326">
                  <c:v>37.107999999999997</c:v>
                </c:pt>
                <c:pt idx="327">
                  <c:v>37.119999999999997</c:v>
                </c:pt>
                <c:pt idx="328">
                  <c:v>37.131</c:v>
                </c:pt>
                <c:pt idx="329">
                  <c:v>37.143000000000001</c:v>
                </c:pt>
                <c:pt idx="330">
                  <c:v>37.155000000000001</c:v>
                </c:pt>
                <c:pt idx="331">
                  <c:v>37.167000000000002</c:v>
                </c:pt>
                <c:pt idx="332">
                  <c:v>37.179000000000002</c:v>
                </c:pt>
                <c:pt idx="333">
                  <c:v>37.191000000000003</c:v>
                </c:pt>
                <c:pt idx="334">
                  <c:v>37.203000000000003</c:v>
                </c:pt>
                <c:pt idx="335">
                  <c:v>37.215000000000003</c:v>
                </c:pt>
                <c:pt idx="336">
                  <c:v>37.225999999999999</c:v>
                </c:pt>
                <c:pt idx="337">
                  <c:v>37.238</c:v>
                </c:pt>
                <c:pt idx="338">
                  <c:v>37.25</c:v>
                </c:pt>
                <c:pt idx="339">
                  <c:v>37.262</c:v>
                </c:pt>
                <c:pt idx="340">
                  <c:v>37.273000000000003</c:v>
                </c:pt>
                <c:pt idx="341">
                  <c:v>37.284999999999997</c:v>
                </c:pt>
                <c:pt idx="342">
                  <c:v>37.296999999999997</c:v>
                </c:pt>
                <c:pt idx="343">
                  <c:v>37.308999999999997</c:v>
                </c:pt>
                <c:pt idx="344">
                  <c:v>37.32</c:v>
                </c:pt>
                <c:pt idx="345">
                  <c:v>37.332000000000001</c:v>
                </c:pt>
                <c:pt idx="346">
                  <c:v>37.344000000000001</c:v>
                </c:pt>
                <c:pt idx="347">
                  <c:v>37.354999999999997</c:v>
                </c:pt>
                <c:pt idx="348">
                  <c:v>37.366999999999997</c:v>
                </c:pt>
                <c:pt idx="349">
                  <c:v>37.378999999999998</c:v>
                </c:pt>
                <c:pt idx="350">
                  <c:v>37.39</c:v>
                </c:pt>
                <c:pt idx="351">
                  <c:v>37.402000000000001</c:v>
                </c:pt>
                <c:pt idx="352">
                  <c:v>37.414000000000001</c:v>
                </c:pt>
                <c:pt idx="353">
                  <c:v>37.424999999999997</c:v>
                </c:pt>
                <c:pt idx="354">
                  <c:v>37.436999999999998</c:v>
                </c:pt>
                <c:pt idx="355">
                  <c:v>37.448999999999998</c:v>
                </c:pt>
                <c:pt idx="356">
                  <c:v>37.46</c:v>
                </c:pt>
                <c:pt idx="357">
                  <c:v>37.472000000000001</c:v>
                </c:pt>
                <c:pt idx="358">
                  <c:v>37.482999999999997</c:v>
                </c:pt>
                <c:pt idx="359">
                  <c:v>37.494999999999997</c:v>
                </c:pt>
                <c:pt idx="360">
                  <c:v>37.506</c:v>
                </c:pt>
                <c:pt idx="361">
                  <c:v>37.518000000000001</c:v>
                </c:pt>
                <c:pt idx="362">
                  <c:v>37.53</c:v>
                </c:pt>
                <c:pt idx="363">
                  <c:v>37.540999999999997</c:v>
                </c:pt>
                <c:pt idx="364">
                  <c:v>37.552999999999997</c:v>
                </c:pt>
                <c:pt idx="365">
                  <c:v>37.564</c:v>
                </c:pt>
                <c:pt idx="366">
                  <c:v>37.576000000000001</c:v>
                </c:pt>
                <c:pt idx="367">
                  <c:v>37.587000000000003</c:v>
                </c:pt>
                <c:pt idx="368">
                  <c:v>37.597999999999999</c:v>
                </c:pt>
                <c:pt idx="369">
                  <c:v>37.61</c:v>
                </c:pt>
                <c:pt idx="370">
                  <c:v>37.621000000000002</c:v>
                </c:pt>
                <c:pt idx="371">
                  <c:v>37.633000000000003</c:v>
                </c:pt>
                <c:pt idx="372">
                  <c:v>37.643999999999998</c:v>
                </c:pt>
                <c:pt idx="373">
                  <c:v>37.655999999999999</c:v>
                </c:pt>
                <c:pt idx="374">
                  <c:v>37.667000000000002</c:v>
                </c:pt>
                <c:pt idx="375">
                  <c:v>37.679000000000002</c:v>
                </c:pt>
                <c:pt idx="376">
                  <c:v>37.69</c:v>
                </c:pt>
                <c:pt idx="377">
                  <c:v>37.701000000000001</c:v>
                </c:pt>
                <c:pt idx="378">
                  <c:v>37.713000000000001</c:v>
                </c:pt>
                <c:pt idx="379">
                  <c:v>37.723999999999997</c:v>
                </c:pt>
                <c:pt idx="380">
                  <c:v>37.734999999999999</c:v>
                </c:pt>
                <c:pt idx="381">
                  <c:v>37.747</c:v>
                </c:pt>
                <c:pt idx="382">
                  <c:v>37.758000000000003</c:v>
                </c:pt>
                <c:pt idx="383">
                  <c:v>37.770000000000003</c:v>
                </c:pt>
                <c:pt idx="384">
                  <c:v>37.780999999999999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3CD-46FC-BEB9-4721A05B6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9178081"/>
        <c:axId val="322490210"/>
      </c:scatterChart>
      <c:valAx>
        <c:axId val="191917808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Temperature (K)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22490210"/>
        <c:crosses val="autoZero"/>
        <c:crossBetween val="midCat"/>
      </c:valAx>
      <c:valAx>
        <c:axId val="32249021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Cp (J/mol*K)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91917808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Temperature (K)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'N2 Data'!$B$1</c:f>
              <c:strCache>
                <c:ptCount val="1"/>
                <c:pt idx="0">
                  <c:v>Pressure (psia)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4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'N2 Data'!$A$2:$A$97</c:f>
              <c:numCache>
                <c:formatCode>0.000</c:formatCode>
                <c:ptCount val="96"/>
                <c:pt idx="0">
                  <c:v>77.356999999999999</c:v>
                </c:pt>
                <c:pt idx="1">
                  <c:v>79.930000000000007</c:v>
                </c:pt>
                <c:pt idx="2">
                  <c:v>82.046999999999997</c:v>
                </c:pt>
                <c:pt idx="3">
                  <c:v>83.863</c:v>
                </c:pt>
                <c:pt idx="4">
                  <c:v>85.462999999999994</c:v>
                </c:pt>
                <c:pt idx="5">
                  <c:v>86.9</c:v>
                </c:pt>
                <c:pt idx="6">
                  <c:v>88.207999999999998</c:v>
                </c:pt>
                <c:pt idx="7">
                  <c:v>89.412999999999997</c:v>
                </c:pt>
                <c:pt idx="8">
                  <c:v>90.531999999999996</c:v>
                </c:pt>
                <c:pt idx="9">
                  <c:v>91.578000000000003</c:v>
                </c:pt>
                <c:pt idx="10">
                  <c:v>92.561999999999998</c:v>
                </c:pt>
                <c:pt idx="11">
                  <c:v>93.492000000000004</c:v>
                </c:pt>
                <c:pt idx="12">
                  <c:v>94.375</c:v>
                </c:pt>
                <c:pt idx="13">
                  <c:v>95.215000000000003</c:v>
                </c:pt>
                <c:pt idx="14">
                  <c:v>96.019000000000005</c:v>
                </c:pt>
                <c:pt idx="15">
                  <c:v>96.789000000000001</c:v>
                </c:pt>
                <c:pt idx="16">
                  <c:v>97.528000000000006</c:v>
                </c:pt>
                <c:pt idx="17">
                  <c:v>98.24</c:v>
                </c:pt>
                <c:pt idx="18">
                  <c:v>98.926000000000002</c:v>
                </c:pt>
                <c:pt idx="19">
                  <c:v>99.59</c:v>
                </c:pt>
                <c:pt idx="20">
                  <c:v>100.23</c:v>
                </c:pt>
                <c:pt idx="21">
                  <c:v>100.85</c:v>
                </c:pt>
                <c:pt idx="22">
                  <c:v>101.46</c:v>
                </c:pt>
                <c:pt idx="23">
                  <c:v>102.04</c:v>
                </c:pt>
                <c:pt idx="24">
                  <c:v>102.61</c:v>
                </c:pt>
                <c:pt idx="25">
                  <c:v>103.17</c:v>
                </c:pt>
                <c:pt idx="26">
                  <c:v>103.71</c:v>
                </c:pt>
                <c:pt idx="27">
                  <c:v>104.24</c:v>
                </c:pt>
                <c:pt idx="28">
                  <c:v>104.75</c:v>
                </c:pt>
                <c:pt idx="29">
                  <c:v>105.26</c:v>
                </c:pt>
                <c:pt idx="30">
                  <c:v>105.75</c:v>
                </c:pt>
                <c:pt idx="31">
                  <c:v>106.23</c:v>
                </c:pt>
                <c:pt idx="32">
                  <c:v>106.71</c:v>
                </c:pt>
                <c:pt idx="33">
                  <c:v>107.17</c:v>
                </c:pt>
                <c:pt idx="34">
                  <c:v>107.62</c:v>
                </c:pt>
                <c:pt idx="35">
                  <c:v>108.07</c:v>
                </c:pt>
                <c:pt idx="36">
                  <c:v>108.5</c:v>
                </c:pt>
                <c:pt idx="37">
                  <c:v>108.93</c:v>
                </c:pt>
                <c:pt idx="38">
                  <c:v>109.35</c:v>
                </c:pt>
                <c:pt idx="39">
                  <c:v>109.76</c:v>
                </c:pt>
                <c:pt idx="40">
                  <c:v>110.17</c:v>
                </c:pt>
                <c:pt idx="41">
                  <c:v>110.57</c:v>
                </c:pt>
                <c:pt idx="42">
                  <c:v>110.96</c:v>
                </c:pt>
                <c:pt idx="43">
                  <c:v>111.35</c:v>
                </c:pt>
                <c:pt idx="44">
                  <c:v>111.73</c:v>
                </c:pt>
                <c:pt idx="45">
                  <c:v>112.1</c:v>
                </c:pt>
                <c:pt idx="46">
                  <c:v>112.47</c:v>
                </c:pt>
                <c:pt idx="47">
                  <c:v>112.84</c:v>
                </c:pt>
                <c:pt idx="48">
                  <c:v>113.2</c:v>
                </c:pt>
                <c:pt idx="49">
                  <c:v>113.55</c:v>
                </c:pt>
                <c:pt idx="50">
                  <c:v>113.9</c:v>
                </c:pt>
                <c:pt idx="51">
                  <c:v>114.24</c:v>
                </c:pt>
                <c:pt idx="52">
                  <c:v>114.58</c:v>
                </c:pt>
                <c:pt idx="53">
                  <c:v>114.92</c:v>
                </c:pt>
                <c:pt idx="54">
                  <c:v>115.25</c:v>
                </c:pt>
                <c:pt idx="55">
                  <c:v>115.57</c:v>
                </c:pt>
                <c:pt idx="56">
                  <c:v>115.9</c:v>
                </c:pt>
                <c:pt idx="57">
                  <c:v>116.21</c:v>
                </c:pt>
                <c:pt idx="58">
                  <c:v>116.53</c:v>
                </c:pt>
                <c:pt idx="59">
                  <c:v>116.84</c:v>
                </c:pt>
                <c:pt idx="60">
                  <c:v>117.15</c:v>
                </c:pt>
                <c:pt idx="61">
                  <c:v>117.45</c:v>
                </c:pt>
                <c:pt idx="62">
                  <c:v>117.75</c:v>
                </c:pt>
                <c:pt idx="63">
                  <c:v>118.05</c:v>
                </c:pt>
                <c:pt idx="64">
                  <c:v>118.34</c:v>
                </c:pt>
                <c:pt idx="65">
                  <c:v>118.63</c:v>
                </c:pt>
                <c:pt idx="66">
                  <c:v>118.92</c:v>
                </c:pt>
                <c:pt idx="67">
                  <c:v>119.2</c:v>
                </c:pt>
                <c:pt idx="68">
                  <c:v>119.48</c:v>
                </c:pt>
                <c:pt idx="69">
                  <c:v>119.76</c:v>
                </c:pt>
                <c:pt idx="70">
                  <c:v>120.03</c:v>
                </c:pt>
                <c:pt idx="71">
                  <c:v>120.3</c:v>
                </c:pt>
                <c:pt idx="72">
                  <c:v>120.57</c:v>
                </c:pt>
                <c:pt idx="73">
                  <c:v>120.84</c:v>
                </c:pt>
                <c:pt idx="74">
                  <c:v>121.1</c:v>
                </c:pt>
                <c:pt idx="75">
                  <c:v>121.36</c:v>
                </c:pt>
                <c:pt idx="76">
                  <c:v>121.62</c:v>
                </c:pt>
                <c:pt idx="77">
                  <c:v>121.88</c:v>
                </c:pt>
                <c:pt idx="78">
                  <c:v>122.13</c:v>
                </c:pt>
                <c:pt idx="79">
                  <c:v>122.38</c:v>
                </c:pt>
                <c:pt idx="80">
                  <c:v>122.63</c:v>
                </c:pt>
                <c:pt idx="81">
                  <c:v>122.87</c:v>
                </c:pt>
                <c:pt idx="82">
                  <c:v>123.12</c:v>
                </c:pt>
                <c:pt idx="83">
                  <c:v>123.36</c:v>
                </c:pt>
                <c:pt idx="84">
                  <c:v>123.6</c:v>
                </c:pt>
                <c:pt idx="85">
                  <c:v>123.83</c:v>
                </c:pt>
                <c:pt idx="86">
                  <c:v>124.07</c:v>
                </c:pt>
                <c:pt idx="87">
                  <c:v>124.3</c:v>
                </c:pt>
                <c:pt idx="88">
                  <c:v>124.53</c:v>
                </c:pt>
                <c:pt idx="89">
                  <c:v>124.76</c:v>
                </c:pt>
                <c:pt idx="90">
                  <c:v>124.98</c:v>
                </c:pt>
                <c:pt idx="91">
                  <c:v>125.2</c:v>
                </c:pt>
                <c:pt idx="92">
                  <c:v>125.43</c:v>
                </c:pt>
                <c:pt idx="93">
                  <c:v>125.64</c:v>
                </c:pt>
                <c:pt idx="94">
                  <c:v>125.86</c:v>
                </c:pt>
                <c:pt idx="95">
                  <c:v>126.07</c:v>
                </c:pt>
              </c:numCache>
            </c:numRef>
          </c:xVal>
          <c:yVal>
            <c:numRef>
              <c:f>'N2 Data'!$B$2:$B$97</c:f>
              <c:numCache>
                <c:formatCode>0.000</c:formatCode>
                <c:ptCount val="96"/>
                <c:pt idx="0">
                  <c:v>14.7</c:v>
                </c:pt>
                <c:pt idx="1">
                  <c:v>19.7</c:v>
                </c:pt>
                <c:pt idx="2">
                  <c:v>24.7</c:v>
                </c:pt>
                <c:pt idx="3">
                  <c:v>29.7</c:v>
                </c:pt>
                <c:pt idx="4">
                  <c:v>34.700000000000003</c:v>
                </c:pt>
                <c:pt idx="5">
                  <c:v>39.700000000000003</c:v>
                </c:pt>
                <c:pt idx="6">
                  <c:v>44.7</c:v>
                </c:pt>
                <c:pt idx="7">
                  <c:v>49.7</c:v>
                </c:pt>
                <c:pt idx="8">
                  <c:v>54.7</c:v>
                </c:pt>
                <c:pt idx="9">
                  <c:v>59.7</c:v>
                </c:pt>
                <c:pt idx="10">
                  <c:v>64.7</c:v>
                </c:pt>
                <c:pt idx="11">
                  <c:v>69.7</c:v>
                </c:pt>
                <c:pt idx="12">
                  <c:v>74.7</c:v>
                </c:pt>
                <c:pt idx="13">
                  <c:v>79.7</c:v>
                </c:pt>
                <c:pt idx="14">
                  <c:v>84.7</c:v>
                </c:pt>
                <c:pt idx="15">
                  <c:v>89.7</c:v>
                </c:pt>
                <c:pt idx="16">
                  <c:v>94.7</c:v>
                </c:pt>
                <c:pt idx="17">
                  <c:v>99.7</c:v>
                </c:pt>
                <c:pt idx="18">
                  <c:v>104.7</c:v>
                </c:pt>
                <c:pt idx="19">
                  <c:v>109.7</c:v>
                </c:pt>
                <c:pt idx="20">
                  <c:v>114.7</c:v>
                </c:pt>
                <c:pt idx="21">
                  <c:v>119.7</c:v>
                </c:pt>
                <c:pt idx="22">
                  <c:v>124.7</c:v>
                </c:pt>
                <c:pt idx="23">
                  <c:v>129.69999999999999</c:v>
                </c:pt>
                <c:pt idx="24">
                  <c:v>134.69999999999999</c:v>
                </c:pt>
                <c:pt idx="25">
                  <c:v>139.69999999999999</c:v>
                </c:pt>
                <c:pt idx="26">
                  <c:v>144.69999999999999</c:v>
                </c:pt>
                <c:pt idx="27">
                  <c:v>149.69999999999999</c:v>
                </c:pt>
                <c:pt idx="28">
                  <c:v>154.69999999999999</c:v>
                </c:pt>
                <c:pt idx="29">
                  <c:v>159.69999999999999</c:v>
                </c:pt>
                <c:pt idx="30">
                  <c:v>164.7</c:v>
                </c:pt>
                <c:pt idx="31">
                  <c:v>169.7</c:v>
                </c:pt>
                <c:pt idx="32">
                  <c:v>174.7</c:v>
                </c:pt>
                <c:pt idx="33">
                  <c:v>179.7</c:v>
                </c:pt>
                <c:pt idx="34">
                  <c:v>184.7</c:v>
                </c:pt>
                <c:pt idx="35">
                  <c:v>189.7</c:v>
                </c:pt>
                <c:pt idx="36">
                  <c:v>194.7</c:v>
                </c:pt>
                <c:pt idx="37">
                  <c:v>199.7</c:v>
                </c:pt>
                <c:pt idx="38">
                  <c:v>204.7</c:v>
                </c:pt>
                <c:pt idx="39">
                  <c:v>209.7</c:v>
                </c:pt>
                <c:pt idx="40">
                  <c:v>214.7</c:v>
                </c:pt>
                <c:pt idx="41">
                  <c:v>219.7</c:v>
                </c:pt>
                <c:pt idx="42">
                  <c:v>224.7</c:v>
                </c:pt>
                <c:pt idx="43">
                  <c:v>229.7</c:v>
                </c:pt>
                <c:pt idx="44">
                  <c:v>234.7</c:v>
                </c:pt>
                <c:pt idx="45">
                  <c:v>239.7</c:v>
                </c:pt>
                <c:pt idx="46">
                  <c:v>244.7</c:v>
                </c:pt>
                <c:pt idx="47">
                  <c:v>249.7</c:v>
                </c:pt>
                <c:pt idx="48">
                  <c:v>254.7</c:v>
                </c:pt>
                <c:pt idx="49">
                  <c:v>259.7</c:v>
                </c:pt>
                <c:pt idx="50">
                  <c:v>264.7</c:v>
                </c:pt>
                <c:pt idx="51">
                  <c:v>269.7</c:v>
                </c:pt>
                <c:pt idx="52">
                  <c:v>274.7</c:v>
                </c:pt>
                <c:pt idx="53">
                  <c:v>279.7</c:v>
                </c:pt>
                <c:pt idx="54">
                  <c:v>284.7</c:v>
                </c:pt>
                <c:pt idx="55">
                  <c:v>289.7</c:v>
                </c:pt>
                <c:pt idx="56">
                  <c:v>294.7</c:v>
                </c:pt>
                <c:pt idx="57">
                  <c:v>299.7</c:v>
                </c:pt>
                <c:pt idx="58">
                  <c:v>304.7</c:v>
                </c:pt>
                <c:pt idx="59">
                  <c:v>309.7</c:v>
                </c:pt>
                <c:pt idx="60">
                  <c:v>314.7</c:v>
                </c:pt>
                <c:pt idx="61">
                  <c:v>319.7</c:v>
                </c:pt>
                <c:pt idx="62">
                  <c:v>324.7</c:v>
                </c:pt>
                <c:pt idx="63">
                  <c:v>329.7</c:v>
                </c:pt>
                <c:pt idx="64">
                  <c:v>334.7</c:v>
                </c:pt>
                <c:pt idx="65">
                  <c:v>339.7</c:v>
                </c:pt>
                <c:pt idx="66">
                  <c:v>344.7</c:v>
                </c:pt>
                <c:pt idx="67">
                  <c:v>349.7</c:v>
                </c:pt>
                <c:pt idx="68">
                  <c:v>354.7</c:v>
                </c:pt>
                <c:pt idx="69">
                  <c:v>359.7</c:v>
                </c:pt>
                <c:pt idx="70">
                  <c:v>364.7</c:v>
                </c:pt>
                <c:pt idx="71">
                  <c:v>369.7</c:v>
                </c:pt>
                <c:pt idx="72">
                  <c:v>374.7</c:v>
                </c:pt>
                <c:pt idx="73">
                  <c:v>379.7</c:v>
                </c:pt>
                <c:pt idx="74">
                  <c:v>384.7</c:v>
                </c:pt>
                <c:pt idx="75">
                  <c:v>389.7</c:v>
                </c:pt>
                <c:pt idx="76">
                  <c:v>394.7</c:v>
                </c:pt>
                <c:pt idx="77">
                  <c:v>399.7</c:v>
                </c:pt>
                <c:pt idx="78">
                  <c:v>404.7</c:v>
                </c:pt>
                <c:pt idx="79">
                  <c:v>409.7</c:v>
                </c:pt>
                <c:pt idx="80">
                  <c:v>414.7</c:v>
                </c:pt>
                <c:pt idx="81">
                  <c:v>419.7</c:v>
                </c:pt>
                <c:pt idx="82">
                  <c:v>424.7</c:v>
                </c:pt>
                <c:pt idx="83">
                  <c:v>429.7</c:v>
                </c:pt>
                <c:pt idx="84">
                  <c:v>434.7</c:v>
                </c:pt>
                <c:pt idx="85">
                  <c:v>439.7</c:v>
                </c:pt>
                <c:pt idx="86">
                  <c:v>444.7</c:v>
                </c:pt>
                <c:pt idx="87">
                  <c:v>449.7</c:v>
                </c:pt>
                <c:pt idx="88">
                  <c:v>454.7</c:v>
                </c:pt>
                <c:pt idx="89">
                  <c:v>459.7</c:v>
                </c:pt>
                <c:pt idx="90">
                  <c:v>464.7</c:v>
                </c:pt>
                <c:pt idx="91">
                  <c:v>469.7</c:v>
                </c:pt>
                <c:pt idx="92">
                  <c:v>474.7</c:v>
                </c:pt>
                <c:pt idx="93">
                  <c:v>479.7</c:v>
                </c:pt>
                <c:pt idx="94">
                  <c:v>484.7</c:v>
                </c:pt>
                <c:pt idx="95">
                  <c:v>489.7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E2-4963-B956-921E6C502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737623"/>
        <c:axId val="1419477743"/>
      </c:scatterChart>
      <c:valAx>
        <c:axId val="18767376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Temperature (K)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19477743"/>
        <c:crosses val="autoZero"/>
        <c:crossBetween val="midCat"/>
      </c:valAx>
      <c:valAx>
        <c:axId val="1419477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Pressure (psia)</a:t>
                </a:r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7673762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06092520"/>
        <c:axId val="1492675804"/>
      </c:scatterChart>
      <c:valAx>
        <c:axId val="15060925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492675804"/>
        <c:crosses val="autoZero"/>
        <c:crossBetween val="midCat"/>
      </c:valAx>
      <c:valAx>
        <c:axId val="1492675804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50609252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4928850"/>
        <c:axId val="1248430819"/>
      </c:scatterChart>
      <c:valAx>
        <c:axId val="1749288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248430819"/>
        <c:crosses val="autoZero"/>
        <c:crossBetween val="midCat"/>
      </c:valAx>
      <c:valAx>
        <c:axId val="1248430819"/>
        <c:scaling>
          <c:orientation val="minMax"/>
        </c:scaling>
        <c:delete val="0"/>
        <c:axPos val="l"/>
        <c:majorTickMark val="cross"/>
        <c:minorTickMark val="cross"/>
        <c:tickLblPos val="nextTo"/>
        <c:spPr>
          <a:ln>
            <a:noFill/>
          </a:ln>
        </c:spPr>
        <c:crossAx val="174928850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'LOX Flow Testing'!$I$72:$I$77</c:f>
              <c:numCache>
                <c:formatCode>0.000</c:formatCode>
                <c:ptCount val="6"/>
                <c:pt idx="0">
                  <c:v>0.2243975903614458</c:v>
                </c:pt>
                <c:pt idx="1">
                  <c:v>0.23809523809523808</c:v>
                </c:pt>
                <c:pt idx="2">
                  <c:v>0.22245322245322249</c:v>
                </c:pt>
                <c:pt idx="3">
                  <c:v>0.2236559139784946</c:v>
                </c:pt>
                <c:pt idx="4">
                  <c:v>0.25427872860635697</c:v>
                </c:pt>
                <c:pt idx="5">
                  <c:v>0.26535626535626533</c:v>
                </c:pt>
              </c:numCache>
            </c:numRef>
          </c:xVal>
          <c:yVal>
            <c:numRef>
              <c:f>'LOX Flow Testing'!$H$72:$H$77</c:f>
              <c:numCache>
                <c:formatCode>General</c:formatCode>
                <c:ptCount val="6"/>
                <c:pt idx="0">
                  <c:v>75.841841973991421</c:v>
                </c:pt>
                <c:pt idx="1">
                  <c:v>75.559360022049646</c:v>
                </c:pt>
                <c:pt idx="2">
                  <c:v>59.440268239769239</c:v>
                </c:pt>
                <c:pt idx="3">
                  <c:v>58.539498110814144</c:v>
                </c:pt>
                <c:pt idx="4">
                  <c:v>77.380682393957301</c:v>
                </c:pt>
                <c:pt idx="5">
                  <c:v>92.824106636844263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FD-4B13-88CE-5F9F950513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96319"/>
        <c:axId val="1140056617"/>
      </c:scatterChart>
      <c:valAx>
        <c:axId val="116489631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40056617"/>
        <c:crosses val="autoZero"/>
        <c:crossBetween val="midCat"/>
      </c:valAx>
      <c:valAx>
        <c:axId val="1140056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6489631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xVal>
            <c:numRef>
              <c:f>'LOX Flow Testing'!$D$12:$D$77</c:f>
              <c:numCache>
                <c:formatCode>General</c:formatCode>
                <c:ptCount val="66"/>
                <c:pt idx="15">
                  <c:v>1.5883E-3</c:v>
                </c:pt>
                <c:pt idx="16">
                  <c:v>1.5883E-3</c:v>
                </c:pt>
                <c:pt idx="17">
                  <c:v>1.5883E-3</c:v>
                </c:pt>
                <c:pt idx="18">
                  <c:v>1.5883E-3</c:v>
                </c:pt>
                <c:pt idx="19">
                  <c:v>1.5883E-3</c:v>
                </c:pt>
                <c:pt idx="20">
                  <c:v>1.5883E-3</c:v>
                </c:pt>
                <c:pt idx="21">
                  <c:v>1.5883E-3</c:v>
                </c:pt>
                <c:pt idx="22">
                  <c:v>1.5883E-3</c:v>
                </c:pt>
                <c:pt idx="24">
                  <c:v>1.6473E-3</c:v>
                </c:pt>
                <c:pt idx="25">
                  <c:v>1.6473E-3</c:v>
                </c:pt>
                <c:pt idx="26">
                  <c:v>1.6473E-3</c:v>
                </c:pt>
                <c:pt idx="27">
                  <c:v>1.6473E-3</c:v>
                </c:pt>
                <c:pt idx="28">
                  <c:v>1.6473E-3</c:v>
                </c:pt>
                <c:pt idx="29">
                  <c:v>1.6473E-3</c:v>
                </c:pt>
                <c:pt idx="30">
                  <c:v>1.6473E-3</c:v>
                </c:pt>
                <c:pt idx="32">
                  <c:v>1.562E-3</c:v>
                </c:pt>
                <c:pt idx="33">
                  <c:v>1.562E-3</c:v>
                </c:pt>
                <c:pt idx="34">
                  <c:v>1.562E-3</c:v>
                </c:pt>
                <c:pt idx="44">
                  <c:v>1.5883E-3</c:v>
                </c:pt>
                <c:pt idx="45">
                  <c:v>1.5883E-3</c:v>
                </c:pt>
                <c:pt idx="46">
                  <c:v>1.5883E-3</c:v>
                </c:pt>
                <c:pt idx="47">
                  <c:v>1.5883E-3</c:v>
                </c:pt>
                <c:pt idx="48">
                  <c:v>1.5883E-3</c:v>
                </c:pt>
                <c:pt idx="49">
                  <c:v>1.5883E-3</c:v>
                </c:pt>
                <c:pt idx="50">
                  <c:v>1.5883E-3</c:v>
                </c:pt>
                <c:pt idx="51">
                  <c:v>1.5883E-3</c:v>
                </c:pt>
                <c:pt idx="52">
                  <c:v>1.5883E-3</c:v>
                </c:pt>
                <c:pt idx="53">
                  <c:v>1.5883E-3</c:v>
                </c:pt>
                <c:pt idx="54">
                  <c:v>1.5883E-3</c:v>
                </c:pt>
                <c:pt idx="55">
                  <c:v>1.5883E-3</c:v>
                </c:pt>
                <c:pt idx="56">
                  <c:v>1.5883E-3</c:v>
                </c:pt>
                <c:pt idx="57">
                  <c:v>1.5883E-3</c:v>
                </c:pt>
                <c:pt idx="58">
                  <c:v>1.5883E-3</c:v>
                </c:pt>
                <c:pt idx="60">
                  <c:v>1.5621000000000001E-3</c:v>
                </c:pt>
                <c:pt idx="61">
                  <c:v>1.5621000000000001E-3</c:v>
                </c:pt>
                <c:pt idx="62">
                  <c:v>1.5621000000000001E-3</c:v>
                </c:pt>
                <c:pt idx="63">
                  <c:v>1.5621000000000001E-3</c:v>
                </c:pt>
                <c:pt idx="64">
                  <c:v>1.5621000000000001E-3</c:v>
                </c:pt>
                <c:pt idx="65">
                  <c:v>1.5621000000000001E-3</c:v>
                </c:pt>
              </c:numCache>
            </c:numRef>
          </c:xVal>
          <c:yVal>
            <c:numRef>
              <c:f>'LOX Flow Testing'!$M$12:$M$77</c:f>
              <c:numCache>
                <c:formatCode>0.000</c:formatCode>
                <c:ptCount val="66"/>
                <c:pt idx="15">
                  <c:v>0.55753685115035367</c:v>
                </c:pt>
                <c:pt idx="16">
                  <c:v>0.67104109496876885</c:v>
                </c:pt>
                <c:pt idx="17">
                  <c:v>0.62077814905536033</c:v>
                </c:pt>
                <c:pt idx="18">
                  <c:v>0.58656686526464585</c:v>
                </c:pt>
                <c:pt idx="19">
                  <c:v>0.59480596425247467</c:v>
                </c:pt>
                <c:pt idx="20">
                  <c:v>0.59045794492269843</c:v>
                </c:pt>
                <c:pt idx="21">
                  <c:v>0.58839943754224944</c:v>
                </c:pt>
                <c:pt idx="22">
                  <c:v>0.58744116963100323</c:v>
                </c:pt>
                <c:pt idx="24">
                  <c:v>0.59291568467878553</c:v>
                </c:pt>
                <c:pt idx="25">
                  <c:v>0.56906476587822385</c:v>
                </c:pt>
                <c:pt idx="26">
                  <c:v>0.62235572749647572</c:v>
                </c:pt>
                <c:pt idx="27">
                  <c:v>0.57615433684869388</c:v>
                </c:pt>
                <c:pt idx="28">
                  <c:v>0.62499745920741534</c:v>
                </c:pt>
                <c:pt idx="29">
                  <c:v>0.52929945214606733</c:v>
                </c:pt>
                <c:pt idx="30">
                  <c:v>0.51280985618981545</c:v>
                </c:pt>
                <c:pt idx="32">
                  <c:v>0.79424915320672518</c:v>
                </c:pt>
                <c:pt idx="33">
                  <c:v>0.83947550852487285</c:v>
                </c:pt>
                <c:pt idx="34">
                  <c:v>0.68998682500822428</c:v>
                </c:pt>
                <c:pt idx="44">
                  <c:v>0.55753685115035367</c:v>
                </c:pt>
                <c:pt idx="45">
                  <c:v>0.67104109496876885</c:v>
                </c:pt>
                <c:pt idx="46">
                  <c:v>0.62077814905536033</c:v>
                </c:pt>
                <c:pt idx="47">
                  <c:v>0.58656686526464585</c:v>
                </c:pt>
                <c:pt idx="48">
                  <c:v>0.59480596425247467</c:v>
                </c:pt>
                <c:pt idx="49">
                  <c:v>0.59045794492269843</c:v>
                </c:pt>
                <c:pt idx="50">
                  <c:v>0.58839943754224944</c:v>
                </c:pt>
                <c:pt idx="51">
                  <c:v>0.58744116963100323</c:v>
                </c:pt>
                <c:pt idx="52">
                  <c:v>0.70504476923545778</c:v>
                </c:pt>
                <c:pt idx="53">
                  <c:v>0.73517838551205716</c:v>
                </c:pt>
                <c:pt idx="54">
                  <c:v>0.70631501094631033</c:v>
                </c:pt>
                <c:pt idx="55">
                  <c:v>0.51301473769149541</c:v>
                </c:pt>
                <c:pt idx="56">
                  <c:v>0.42612843350796326</c:v>
                </c:pt>
                <c:pt idx="57">
                  <c:v>0.43688600701400876</c:v>
                </c:pt>
                <c:pt idx="58">
                  <c:v>0.65132056438567887</c:v>
                </c:pt>
                <c:pt idx="60">
                  <c:v>0.45326200567894576</c:v>
                </c:pt>
                <c:pt idx="61">
                  <c:v>0.48182811460746988</c:v>
                </c:pt>
                <c:pt idx="62">
                  <c:v>0.50755590435148401</c:v>
                </c:pt>
                <c:pt idx="63">
                  <c:v>0.51421110595045039</c:v>
                </c:pt>
                <c:pt idx="64">
                  <c:v>0.50848637089045823</c:v>
                </c:pt>
                <c:pt idx="65">
                  <c:v>0.48448966856745346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2B-4557-94D4-347277619B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178084"/>
        <c:axId val="1626015790"/>
      </c:scatterChart>
      <c:valAx>
        <c:axId val="17471780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26015790"/>
        <c:crosses val="autoZero"/>
        <c:crossBetween val="midCat"/>
      </c:valAx>
      <c:valAx>
        <c:axId val="16260157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endParaRPr lang="en-US"/>
              </a:p>
            </c:rich>
          </c:tx>
          <c:overlay val="0"/>
        </c:title>
        <c:numFmt formatCode="0.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47178084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0.xml"/><Relationship Id="rId3" Type="http://schemas.openxmlformats.org/officeDocument/2006/relationships/chart" Target="../charts/chart45.xml"/><Relationship Id="rId7" Type="http://schemas.openxmlformats.org/officeDocument/2006/relationships/chart" Target="../charts/chart49.xml"/><Relationship Id="rId2" Type="http://schemas.openxmlformats.org/officeDocument/2006/relationships/chart" Target="../charts/chart44.xml"/><Relationship Id="rId1" Type="http://schemas.openxmlformats.org/officeDocument/2006/relationships/chart" Target="../charts/chart43.xml"/><Relationship Id="rId6" Type="http://schemas.openxmlformats.org/officeDocument/2006/relationships/chart" Target="../charts/chart48.xml"/><Relationship Id="rId5" Type="http://schemas.openxmlformats.org/officeDocument/2006/relationships/chart" Target="../charts/chart47.xml"/><Relationship Id="rId4" Type="http://schemas.openxmlformats.org/officeDocument/2006/relationships/chart" Target="../charts/chart46.xml"/><Relationship Id="rId9" Type="http://schemas.openxmlformats.org/officeDocument/2006/relationships/chart" Target="../charts/chart51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19050</xdr:colOff>
      <xdr:row>13</xdr:row>
      <xdr:rowOff>123825</xdr:rowOff>
    </xdr:from>
    <xdr:ext cx="2857500" cy="1781175"/>
    <xdr:graphicFrame macro="">
      <xdr:nvGraphicFramePr>
        <xdr:cNvPr id="2" name="Chart 9" title="Chart">
          <a:extLst>
            <a:ext uri="{FF2B5EF4-FFF2-40B4-BE49-F238E27FC236}">
              <a16:creationId xmlns:a16="http://schemas.microsoft.com/office/drawing/2014/main" id="{4E141B54-4887-4B46-8B24-0A7352DB96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28575</xdr:colOff>
      <xdr:row>43</xdr:row>
      <xdr:rowOff>200025</xdr:rowOff>
    </xdr:from>
    <xdr:ext cx="5715000" cy="3533775"/>
    <xdr:graphicFrame macro="">
      <xdr:nvGraphicFramePr>
        <xdr:cNvPr id="3" name="Chart 10" title="Chart">
          <a:extLst>
            <a:ext uri="{FF2B5EF4-FFF2-40B4-BE49-F238E27FC236}">
              <a16:creationId xmlns:a16="http://schemas.microsoft.com/office/drawing/2014/main" id="{C8D9CE95-859C-4DD9-9A47-997A4D36F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9525</xdr:colOff>
      <xdr:row>24</xdr:row>
      <xdr:rowOff>57150</xdr:rowOff>
    </xdr:from>
    <xdr:ext cx="5715000" cy="3533775"/>
    <xdr:graphicFrame macro="">
      <xdr:nvGraphicFramePr>
        <xdr:cNvPr id="4" name="Chart 11" title="Chart">
          <a:extLst>
            <a:ext uri="{FF2B5EF4-FFF2-40B4-BE49-F238E27FC236}">
              <a16:creationId xmlns:a16="http://schemas.microsoft.com/office/drawing/2014/main" id="{B3F039C1-8AA1-4000-9ADB-0D9726CE09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20</xdr:col>
      <xdr:colOff>180975</xdr:colOff>
      <xdr:row>24</xdr:row>
      <xdr:rowOff>57150</xdr:rowOff>
    </xdr:from>
    <xdr:ext cx="5715000" cy="3533775"/>
    <xdr:graphicFrame macro="">
      <xdr:nvGraphicFramePr>
        <xdr:cNvPr id="5" name="Chart 12" title="Chart">
          <a:extLst>
            <a:ext uri="{FF2B5EF4-FFF2-40B4-BE49-F238E27FC236}">
              <a16:creationId xmlns:a16="http://schemas.microsoft.com/office/drawing/2014/main" id="{1B970C26-52A3-40DA-9B83-E15A3C4CD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17</xdr:col>
      <xdr:colOff>228600</xdr:colOff>
      <xdr:row>57</xdr:row>
      <xdr:rowOff>85725</xdr:rowOff>
    </xdr:from>
    <xdr:ext cx="4800600" cy="2962275"/>
    <xdr:graphicFrame macro="">
      <xdr:nvGraphicFramePr>
        <xdr:cNvPr id="6" name="Chart 13" title="Chart">
          <a:extLst>
            <a:ext uri="{FF2B5EF4-FFF2-40B4-BE49-F238E27FC236}">
              <a16:creationId xmlns:a16="http://schemas.microsoft.com/office/drawing/2014/main" id="{AB23E758-F3FF-4585-A231-D26E04CF6C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13</xdr:col>
      <xdr:colOff>2133600</xdr:colOff>
      <xdr:row>67</xdr:row>
      <xdr:rowOff>85725</xdr:rowOff>
    </xdr:from>
    <xdr:ext cx="5715000" cy="3533775"/>
    <xdr:graphicFrame macro="">
      <xdr:nvGraphicFramePr>
        <xdr:cNvPr id="7" name="Chart 14" title="Chart">
          <a:extLst>
            <a:ext uri="{FF2B5EF4-FFF2-40B4-BE49-F238E27FC236}">
              <a16:creationId xmlns:a16="http://schemas.microsoft.com/office/drawing/2014/main" id="{14E9D9D6-0C9E-4C29-86BC-E90824C6A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19</xdr:col>
      <xdr:colOff>771525</xdr:colOff>
      <xdr:row>69</xdr:row>
      <xdr:rowOff>219075</xdr:rowOff>
    </xdr:from>
    <xdr:ext cx="5715000" cy="3533775"/>
    <xdr:graphicFrame macro="">
      <xdr:nvGraphicFramePr>
        <xdr:cNvPr id="8" name="Chart 15" title="Chart">
          <a:extLst>
            <a:ext uri="{FF2B5EF4-FFF2-40B4-BE49-F238E27FC236}">
              <a16:creationId xmlns:a16="http://schemas.microsoft.com/office/drawing/2014/main" id="{8520F0D7-3BE0-4B86-B167-B38DAF031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19</xdr:col>
      <xdr:colOff>495300</xdr:colOff>
      <xdr:row>78</xdr:row>
      <xdr:rowOff>171450</xdr:rowOff>
    </xdr:from>
    <xdr:ext cx="5715000" cy="3533775"/>
    <xdr:graphicFrame macro="">
      <xdr:nvGraphicFramePr>
        <xdr:cNvPr id="9" name="Chart 16" title="Chart">
          <a:extLst>
            <a:ext uri="{FF2B5EF4-FFF2-40B4-BE49-F238E27FC236}">
              <a16:creationId xmlns:a16="http://schemas.microsoft.com/office/drawing/2014/main" id="{97EE88D3-ED61-400D-B6BE-FEF29CDBB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</xdr:col>
      <xdr:colOff>333375</xdr:colOff>
      <xdr:row>80</xdr:row>
      <xdr:rowOff>0</xdr:rowOff>
    </xdr:from>
    <xdr:ext cx="5715000" cy="3533775"/>
    <xdr:graphicFrame macro="">
      <xdr:nvGraphicFramePr>
        <xdr:cNvPr id="10" name="Chart 17" title="Chart">
          <a:extLst>
            <a:ext uri="{FF2B5EF4-FFF2-40B4-BE49-F238E27FC236}">
              <a16:creationId xmlns:a16="http://schemas.microsoft.com/office/drawing/2014/main" id="{BDB6C7C5-4ED1-49DF-9D38-D4AF6425BA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0</xdr:colOff>
      <xdr:row>22</xdr:row>
      <xdr:rowOff>0</xdr:rowOff>
    </xdr:from>
    <xdr:ext cx="2286000" cy="3048000"/>
    <xdr:pic>
      <xdr:nvPicPr>
        <xdr:cNvPr id="2" name="image7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533400</xdr:colOff>
      <xdr:row>31</xdr:row>
      <xdr:rowOff>57150</xdr:rowOff>
    </xdr:from>
    <xdr:ext cx="3876675" cy="2686050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533400</xdr:colOff>
      <xdr:row>14</xdr:row>
      <xdr:rowOff>133350</xdr:rowOff>
    </xdr:from>
    <xdr:ext cx="6724650" cy="14478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219075</xdr:colOff>
      <xdr:row>12</xdr:row>
      <xdr:rowOff>76200</xdr:rowOff>
    </xdr:from>
    <xdr:ext cx="6143625" cy="132397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161925</xdr:colOff>
      <xdr:row>18</xdr:row>
      <xdr:rowOff>66675</xdr:rowOff>
    </xdr:from>
    <xdr:ext cx="6048375" cy="1676400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857250</xdr:colOff>
      <xdr:row>2</xdr:row>
      <xdr:rowOff>76200</xdr:rowOff>
    </xdr:from>
    <xdr:ext cx="6915150" cy="4276725"/>
    <xdr:graphicFrame macro="">
      <xdr:nvGraphicFramePr>
        <xdr:cNvPr id="43" name="Chart 43" title="Chart">
          <a:extLst>
            <a:ext uri="{FF2B5EF4-FFF2-40B4-BE49-F238E27FC236}">
              <a16:creationId xmlns:a16="http://schemas.microsoft.com/office/drawing/2014/main" id="{00000000-0008-0000-0F00-00002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9001125" cy="8448675"/>
    <xdr:pic>
      <xdr:nvPicPr>
        <xdr:cNvPr id="2" name="image6.png" title="Image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276225</xdr:colOff>
      <xdr:row>2</xdr:row>
      <xdr:rowOff>0</xdr:rowOff>
    </xdr:from>
    <xdr:ext cx="6410325" cy="3962400"/>
    <xdr:graphicFrame macro="">
      <xdr:nvGraphicFramePr>
        <xdr:cNvPr id="44" name="Chart 44" title="Chart">
          <a:extLst>
            <a:ext uri="{FF2B5EF4-FFF2-40B4-BE49-F238E27FC236}">
              <a16:creationId xmlns:a16="http://schemas.microsoft.com/office/drawing/2014/main" id="{00000000-0008-0000-1400-00002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342900</xdr:colOff>
      <xdr:row>44</xdr:row>
      <xdr:rowOff>76200</xdr:rowOff>
    </xdr:from>
    <xdr:ext cx="2438400" cy="17049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914400</xdr:colOff>
      <xdr:row>14</xdr:row>
      <xdr:rowOff>123825</xdr:rowOff>
    </xdr:from>
    <xdr:ext cx="5876925" cy="179070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114300</xdr:colOff>
      <xdr:row>24</xdr:row>
      <xdr:rowOff>161925</xdr:rowOff>
    </xdr:from>
    <xdr:ext cx="5067300" cy="329565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561975</xdr:colOff>
      <xdr:row>54</xdr:row>
      <xdr:rowOff>85725</xdr:rowOff>
    </xdr:from>
    <xdr:ext cx="4305300" cy="300037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390525</xdr:colOff>
      <xdr:row>17</xdr:row>
      <xdr:rowOff>85725</xdr:rowOff>
    </xdr:from>
    <xdr:ext cx="6181725" cy="1466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819150</xdr:colOff>
      <xdr:row>0</xdr:row>
      <xdr:rowOff>5810250</xdr:rowOff>
    </xdr:from>
    <xdr:ext cx="5172075" cy="3390900"/>
    <xdr:pic>
      <xdr:nvPicPr>
        <xdr:cNvPr id="4" name="image3.png" title="Image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19050</xdr:colOff>
      <xdr:row>41</xdr:row>
      <xdr:rowOff>123825</xdr:rowOff>
    </xdr:from>
    <xdr:ext cx="2857500" cy="17811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28575</xdr:colOff>
      <xdr:row>71</xdr:row>
      <xdr:rowOff>200025</xdr:rowOff>
    </xdr:from>
    <xdr:ext cx="5715000" cy="35337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9525</xdr:colOff>
      <xdr:row>52</xdr:row>
      <xdr:rowOff>57150</xdr:rowOff>
    </xdr:from>
    <xdr:ext cx="5715000" cy="3533775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20</xdr:col>
      <xdr:colOff>180975</xdr:colOff>
      <xdr:row>52</xdr:row>
      <xdr:rowOff>57150</xdr:rowOff>
    </xdr:from>
    <xdr:ext cx="5715000" cy="35337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17</xdr:col>
      <xdr:colOff>228600</xdr:colOff>
      <xdr:row>93</xdr:row>
      <xdr:rowOff>85725</xdr:rowOff>
    </xdr:from>
    <xdr:ext cx="4800600" cy="2962275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13</xdr:col>
      <xdr:colOff>2133600</xdr:colOff>
      <xdr:row>145</xdr:row>
      <xdr:rowOff>85725</xdr:rowOff>
    </xdr:from>
    <xdr:ext cx="5715000" cy="3533775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19</xdr:col>
      <xdr:colOff>771525</xdr:colOff>
      <xdr:row>165</xdr:row>
      <xdr:rowOff>219075</xdr:rowOff>
    </xdr:from>
    <xdr:ext cx="5715000" cy="3533775"/>
    <xdr:graphicFrame macro="">
      <xdr:nvGraphicFramePr>
        <xdr:cNvPr id="8" name="Chart 7" title="Char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19</xdr:col>
      <xdr:colOff>495300</xdr:colOff>
      <xdr:row>183</xdr:row>
      <xdr:rowOff>171450</xdr:rowOff>
    </xdr:from>
    <xdr:ext cx="5715000" cy="3533775"/>
    <xdr:graphicFrame macro="">
      <xdr:nvGraphicFramePr>
        <xdr:cNvPr id="9" name="Chart 8" title="Chart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19050</xdr:colOff>
      <xdr:row>13</xdr:row>
      <xdr:rowOff>123825</xdr:rowOff>
    </xdr:from>
    <xdr:ext cx="2857500" cy="1781175"/>
    <xdr:graphicFrame macro="">
      <xdr:nvGraphicFramePr>
        <xdr:cNvPr id="9" name="Chart 9" title="Chart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28575</xdr:colOff>
      <xdr:row>43</xdr:row>
      <xdr:rowOff>200025</xdr:rowOff>
    </xdr:from>
    <xdr:ext cx="5715000" cy="3533775"/>
    <xdr:graphicFrame macro="">
      <xdr:nvGraphicFramePr>
        <xdr:cNvPr id="10" name="Chart 10" title="Chart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9525</xdr:colOff>
      <xdr:row>24</xdr:row>
      <xdr:rowOff>57150</xdr:rowOff>
    </xdr:from>
    <xdr:ext cx="5715000" cy="3533775"/>
    <xdr:graphicFrame macro="">
      <xdr:nvGraphicFramePr>
        <xdr:cNvPr id="11" name="Chart 11" title="Chart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20</xdr:col>
      <xdr:colOff>180975</xdr:colOff>
      <xdr:row>24</xdr:row>
      <xdr:rowOff>57150</xdr:rowOff>
    </xdr:from>
    <xdr:ext cx="5715000" cy="3533775"/>
    <xdr:graphicFrame macro="">
      <xdr:nvGraphicFramePr>
        <xdr:cNvPr id="12" name="Chart 12" title="Chart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17</xdr:col>
      <xdr:colOff>228600</xdr:colOff>
      <xdr:row>57</xdr:row>
      <xdr:rowOff>85725</xdr:rowOff>
    </xdr:from>
    <xdr:ext cx="4800600" cy="2962275"/>
    <xdr:graphicFrame macro="">
      <xdr:nvGraphicFramePr>
        <xdr:cNvPr id="13" name="Chart 13" title="Chart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13</xdr:col>
      <xdr:colOff>2133600</xdr:colOff>
      <xdr:row>67</xdr:row>
      <xdr:rowOff>85725</xdr:rowOff>
    </xdr:from>
    <xdr:ext cx="5715000" cy="3533775"/>
    <xdr:graphicFrame macro="">
      <xdr:nvGraphicFramePr>
        <xdr:cNvPr id="14" name="Chart 14" title="Chart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19</xdr:col>
      <xdr:colOff>771525</xdr:colOff>
      <xdr:row>69</xdr:row>
      <xdr:rowOff>219075</xdr:rowOff>
    </xdr:from>
    <xdr:ext cx="5715000" cy="3533775"/>
    <xdr:graphicFrame macro="">
      <xdr:nvGraphicFramePr>
        <xdr:cNvPr id="15" name="Chart 15" title="Chart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19</xdr:col>
      <xdr:colOff>495300</xdr:colOff>
      <xdr:row>78</xdr:row>
      <xdr:rowOff>171450</xdr:rowOff>
    </xdr:from>
    <xdr:ext cx="5715000" cy="3533775"/>
    <xdr:graphicFrame macro="">
      <xdr:nvGraphicFramePr>
        <xdr:cNvPr id="16" name="Chart 16" title="Chart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1</xdr:col>
      <xdr:colOff>333375</xdr:colOff>
      <xdr:row>80</xdr:row>
      <xdr:rowOff>0</xdr:rowOff>
    </xdr:from>
    <xdr:ext cx="5715000" cy="3533775"/>
    <xdr:graphicFrame macro="">
      <xdr:nvGraphicFramePr>
        <xdr:cNvPr id="17" name="Chart 17" title="Chart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19050</xdr:colOff>
      <xdr:row>22</xdr:row>
      <xdr:rowOff>123825</xdr:rowOff>
    </xdr:from>
    <xdr:ext cx="2857500" cy="1781175"/>
    <xdr:graphicFrame macro="">
      <xdr:nvGraphicFramePr>
        <xdr:cNvPr id="18" name="Chart 18" title="Chart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28575</xdr:colOff>
      <xdr:row>33</xdr:row>
      <xdr:rowOff>200025</xdr:rowOff>
    </xdr:from>
    <xdr:ext cx="5715000" cy="3533775"/>
    <xdr:graphicFrame macro="">
      <xdr:nvGraphicFramePr>
        <xdr:cNvPr id="19" name="Chart 19" title="Chart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9525</xdr:colOff>
      <xdr:row>24</xdr:row>
      <xdr:rowOff>57150</xdr:rowOff>
    </xdr:from>
    <xdr:ext cx="5715000" cy="3533775"/>
    <xdr:graphicFrame macro="">
      <xdr:nvGraphicFramePr>
        <xdr:cNvPr id="20" name="Chart 20" title="Chart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20</xdr:col>
      <xdr:colOff>180975</xdr:colOff>
      <xdr:row>24</xdr:row>
      <xdr:rowOff>57150</xdr:rowOff>
    </xdr:from>
    <xdr:ext cx="5715000" cy="3533775"/>
    <xdr:graphicFrame macro="">
      <xdr:nvGraphicFramePr>
        <xdr:cNvPr id="21" name="Chart 21" title="Chart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17</xdr:col>
      <xdr:colOff>228600</xdr:colOff>
      <xdr:row>44</xdr:row>
      <xdr:rowOff>85725</xdr:rowOff>
    </xdr:from>
    <xdr:ext cx="4800600" cy="2962275"/>
    <xdr:graphicFrame macro="">
      <xdr:nvGraphicFramePr>
        <xdr:cNvPr id="22" name="Chart 22" title="Chart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13</xdr:col>
      <xdr:colOff>2133600</xdr:colOff>
      <xdr:row>50</xdr:row>
      <xdr:rowOff>85725</xdr:rowOff>
    </xdr:from>
    <xdr:ext cx="5715000" cy="3533775"/>
    <xdr:graphicFrame macro="">
      <xdr:nvGraphicFramePr>
        <xdr:cNvPr id="23" name="Chart 23" title="Chart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19</xdr:col>
      <xdr:colOff>771525</xdr:colOff>
      <xdr:row>52</xdr:row>
      <xdr:rowOff>219075</xdr:rowOff>
    </xdr:from>
    <xdr:ext cx="5715000" cy="3533775"/>
    <xdr:graphicFrame macro="">
      <xdr:nvGraphicFramePr>
        <xdr:cNvPr id="24" name="Chart 24" title="Chart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19</xdr:col>
      <xdr:colOff>495300</xdr:colOff>
      <xdr:row>60</xdr:row>
      <xdr:rowOff>171450</xdr:rowOff>
    </xdr:from>
    <xdr:ext cx="5715000" cy="3533775"/>
    <xdr:graphicFrame macro="">
      <xdr:nvGraphicFramePr>
        <xdr:cNvPr id="25" name="Chart 25" title="Chart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19050</xdr:colOff>
      <xdr:row>22</xdr:row>
      <xdr:rowOff>123825</xdr:rowOff>
    </xdr:from>
    <xdr:ext cx="2857500" cy="1781175"/>
    <xdr:graphicFrame macro="">
      <xdr:nvGraphicFramePr>
        <xdr:cNvPr id="26" name="Chart 26" title="Chart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28575</xdr:colOff>
      <xdr:row>33</xdr:row>
      <xdr:rowOff>200025</xdr:rowOff>
    </xdr:from>
    <xdr:ext cx="5715000" cy="3533775"/>
    <xdr:graphicFrame macro="">
      <xdr:nvGraphicFramePr>
        <xdr:cNvPr id="27" name="Chart 27" title="Chart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9525</xdr:colOff>
      <xdr:row>24</xdr:row>
      <xdr:rowOff>57150</xdr:rowOff>
    </xdr:from>
    <xdr:ext cx="5715000" cy="3533775"/>
    <xdr:graphicFrame macro="">
      <xdr:nvGraphicFramePr>
        <xdr:cNvPr id="28" name="Chart 28" title="Chart"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20</xdr:col>
      <xdr:colOff>180975</xdr:colOff>
      <xdr:row>24</xdr:row>
      <xdr:rowOff>57150</xdr:rowOff>
    </xdr:from>
    <xdr:ext cx="5715000" cy="3533775"/>
    <xdr:graphicFrame macro="">
      <xdr:nvGraphicFramePr>
        <xdr:cNvPr id="29" name="Chart 29" title="Chart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17</xdr:col>
      <xdr:colOff>228600</xdr:colOff>
      <xdr:row>37</xdr:row>
      <xdr:rowOff>85725</xdr:rowOff>
    </xdr:from>
    <xdr:ext cx="4800600" cy="2962275"/>
    <xdr:graphicFrame macro="">
      <xdr:nvGraphicFramePr>
        <xdr:cNvPr id="30" name="Chart 30" title="Chart"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13</xdr:col>
      <xdr:colOff>2133600</xdr:colOff>
      <xdr:row>43</xdr:row>
      <xdr:rowOff>85725</xdr:rowOff>
    </xdr:from>
    <xdr:ext cx="5715000" cy="3533775"/>
    <xdr:graphicFrame macro="">
      <xdr:nvGraphicFramePr>
        <xdr:cNvPr id="31" name="Chart 31" title="Chart"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19</xdr:col>
      <xdr:colOff>771525</xdr:colOff>
      <xdr:row>45</xdr:row>
      <xdr:rowOff>219075</xdr:rowOff>
    </xdr:from>
    <xdr:ext cx="5715000" cy="3533775"/>
    <xdr:graphicFrame macro="">
      <xdr:nvGraphicFramePr>
        <xdr:cNvPr id="32" name="Chart 32" title="Chart"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19</xdr:col>
      <xdr:colOff>495300</xdr:colOff>
      <xdr:row>53</xdr:row>
      <xdr:rowOff>171450</xdr:rowOff>
    </xdr:from>
    <xdr:ext cx="5715000" cy="3533775"/>
    <xdr:graphicFrame macro="">
      <xdr:nvGraphicFramePr>
        <xdr:cNvPr id="33" name="Chart 33" title="Chart"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19050</xdr:colOff>
      <xdr:row>22</xdr:row>
      <xdr:rowOff>123825</xdr:rowOff>
    </xdr:from>
    <xdr:ext cx="2857500" cy="1781175"/>
    <xdr:graphicFrame macro="">
      <xdr:nvGraphicFramePr>
        <xdr:cNvPr id="34" name="Chart 34" title="Chart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17</xdr:col>
      <xdr:colOff>28575</xdr:colOff>
      <xdr:row>33</xdr:row>
      <xdr:rowOff>200025</xdr:rowOff>
    </xdr:from>
    <xdr:ext cx="5715000" cy="3533775"/>
    <xdr:graphicFrame macro="">
      <xdr:nvGraphicFramePr>
        <xdr:cNvPr id="35" name="Chart 35" title="Chart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14</xdr:col>
      <xdr:colOff>9525</xdr:colOff>
      <xdr:row>24</xdr:row>
      <xdr:rowOff>57150</xdr:rowOff>
    </xdr:from>
    <xdr:ext cx="5715000" cy="3533775"/>
    <xdr:graphicFrame macro="">
      <xdr:nvGraphicFramePr>
        <xdr:cNvPr id="36" name="Chart 36" title="Chart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20</xdr:col>
      <xdr:colOff>180975</xdr:colOff>
      <xdr:row>24</xdr:row>
      <xdr:rowOff>57150</xdr:rowOff>
    </xdr:from>
    <xdr:ext cx="5715000" cy="3533775"/>
    <xdr:graphicFrame macro="">
      <xdr:nvGraphicFramePr>
        <xdr:cNvPr id="37" name="Chart 37" title="Chart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17</xdr:col>
      <xdr:colOff>228600</xdr:colOff>
      <xdr:row>37</xdr:row>
      <xdr:rowOff>85725</xdr:rowOff>
    </xdr:from>
    <xdr:ext cx="4800600" cy="2962275"/>
    <xdr:graphicFrame macro="">
      <xdr:nvGraphicFramePr>
        <xdr:cNvPr id="38" name="Chart 38" title="Chart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13</xdr:col>
      <xdr:colOff>2133600</xdr:colOff>
      <xdr:row>43</xdr:row>
      <xdr:rowOff>85725</xdr:rowOff>
    </xdr:from>
    <xdr:ext cx="5715000" cy="3533775"/>
    <xdr:graphicFrame macro="">
      <xdr:nvGraphicFramePr>
        <xdr:cNvPr id="39" name="Chart 39" title="Chart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19</xdr:col>
      <xdr:colOff>771525</xdr:colOff>
      <xdr:row>45</xdr:row>
      <xdr:rowOff>219075</xdr:rowOff>
    </xdr:from>
    <xdr:ext cx="5715000" cy="3533775"/>
    <xdr:graphicFrame macro="">
      <xdr:nvGraphicFramePr>
        <xdr:cNvPr id="40" name="Chart 40" title="Chart">
          <a:extLst>
            <a:ext uri="{FF2B5EF4-FFF2-40B4-BE49-F238E27FC236}">
              <a16:creationId xmlns:a16="http://schemas.microsoft.com/office/drawing/2014/main" id="{00000000-0008-0000-0600-00002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19</xdr:col>
      <xdr:colOff>495300</xdr:colOff>
      <xdr:row>53</xdr:row>
      <xdr:rowOff>171450</xdr:rowOff>
    </xdr:from>
    <xdr:ext cx="5715000" cy="3533775"/>
    <xdr:graphicFrame macro="">
      <xdr:nvGraphicFramePr>
        <xdr:cNvPr id="41" name="Chart 41" title="Chart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4</xdr:col>
      <xdr:colOff>895350</xdr:colOff>
      <xdr:row>39</xdr:row>
      <xdr:rowOff>57150</xdr:rowOff>
    </xdr:from>
    <xdr:ext cx="5715000" cy="3533775"/>
    <xdr:graphicFrame macro="">
      <xdr:nvGraphicFramePr>
        <xdr:cNvPr id="42" name="Chart 42" title="Chart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904875</xdr:colOff>
      <xdr:row>15</xdr:row>
      <xdr:rowOff>190500</xdr:rowOff>
    </xdr:from>
    <xdr:ext cx="5172075" cy="3695700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thanol%20tube%20themal%20calc8ui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thanol tube themal calc8ui"/>
    </sheetNames>
    <definedNames>
      <definedName name="A1R"/>
    </defined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4671EDC-9F3F-442F-B728-EFF696632AC8}" name="Table_27" displayName="Table_27" ref="A1:AD876" headerRowCount="0">
  <tableColumns count="30">
    <tableColumn id="1" xr3:uid="{633BA633-6136-4812-9AF0-F2013AA215DF}" name="Column1"/>
    <tableColumn id="2" xr3:uid="{EA122670-9EE6-4BC2-B03C-50E9FB93BC38}" name="Column2"/>
    <tableColumn id="3" xr3:uid="{1B844E84-A757-4E37-BD29-0A9F2D92FB8D}" name="Column3"/>
    <tableColumn id="4" xr3:uid="{A8DB8CF0-858B-46A5-BD3E-E5AA906F539A}" name="Column4"/>
    <tableColumn id="5" xr3:uid="{600F1674-1C3D-414F-A49E-DF8F1D4288BF}" name="Column5"/>
    <tableColumn id="6" xr3:uid="{F5A42B28-EBE8-47F7-AC99-6613068CEB3E}" name="Column6"/>
    <tableColumn id="7" xr3:uid="{DDCE2002-DB6B-4A4D-8CC5-49F7F6C318F1}" name="Column7"/>
    <tableColumn id="8" xr3:uid="{90B193EF-4DAC-48B7-8069-BEF116EAE141}" name="Column8"/>
    <tableColumn id="9" xr3:uid="{BC6B1731-D5D3-4918-83F9-A1DFC958F7EA}" name="Column9"/>
    <tableColumn id="10" xr3:uid="{0E21BBC3-2DE8-484D-9ADA-C33492F86DBB}" name="Column10"/>
    <tableColumn id="11" xr3:uid="{0EEE3723-1C76-46AF-91D1-AE716174F24C}" name="Column11"/>
    <tableColumn id="12" xr3:uid="{A2CF749B-D382-496F-BF61-925ADE91B084}" name="Column12"/>
    <tableColumn id="13" xr3:uid="{F9821732-5F16-44B0-BBD0-1E4C7ADC1BD7}" name="Column13"/>
    <tableColumn id="14" xr3:uid="{D65F1573-7CF9-46F0-87E9-43E24DC681CE}" name="Column14"/>
    <tableColumn id="15" xr3:uid="{1C73BD9A-B234-42BF-BA7C-44325578954A}" name="Column15"/>
    <tableColumn id="16" xr3:uid="{9BBBD340-F6E8-4E8C-A947-B743B0A9EE71}" name="Column16"/>
    <tableColumn id="17" xr3:uid="{32EEE42F-03F0-4A99-9587-92C980ED65F8}" name="Column17"/>
    <tableColumn id="18" xr3:uid="{A1C3209F-C3B1-4702-9B68-DC1C8D58A64A}" name="Column18"/>
    <tableColumn id="19" xr3:uid="{F556211D-83E1-48D0-8855-49C061C4329E}" name="Column19"/>
    <tableColumn id="20" xr3:uid="{CACA254D-67E8-4054-9DAC-0AF96772F92B}" name="Column20"/>
    <tableColumn id="21" xr3:uid="{04F597E7-0D17-4528-9169-CB7D7F5561DC}" name="Column21"/>
    <tableColumn id="22" xr3:uid="{6A64FC62-B87C-466C-BF85-28516431A9A5}" name="Column22"/>
    <tableColumn id="23" xr3:uid="{5E726DC2-5976-45C9-91D2-4A8DE1220483}" name="Column23"/>
    <tableColumn id="24" xr3:uid="{6812F9C8-CCFC-4B67-90F0-CA82134E48DD}" name="Column24"/>
    <tableColumn id="25" xr3:uid="{26CF07CD-11D1-4192-9E39-21AA00C19B1C}" name="Column25"/>
    <tableColumn id="26" xr3:uid="{DE594EC8-31B4-44EA-B695-2A0559166B54}" name="Column26"/>
    <tableColumn id="27" xr3:uid="{11E5C4AF-FF07-452D-AD95-6694A2EF85B8}" name="Column27"/>
    <tableColumn id="28" xr3:uid="{8E555275-6783-41E3-BE24-A8536357F66C}" name="Column28"/>
    <tableColumn id="29" xr3:uid="{10EE231D-7DA8-46F1-91E6-683FD18F80E7}" name="Column29"/>
    <tableColumn id="30" xr3:uid="{4DFF8E82-A164-4A31-A858-3882FC5B606D}" name="Column30"/>
  </tableColumns>
  <tableStyleInfo name="Copy of Flow Testing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AD994" headerRowCount="0">
  <tableColumns count="30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  <tableColumn id="25" xr3:uid="{00000000-0010-0000-0000-000019000000}" name="Column25"/>
    <tableColumn id="26" xr3:uid="{00000000-0010-0000-0000-00001A000000}" name="Column26"/>
    <tableColumn id="27" xr3:uid="{00000000-0010-0000-0000-00001B000000}" name="Column27"/>
    <tableColumn id="28" xr3:uid="{00000000-0010-0000-0000-00001C000000}" name="Column28"/>
    <tableColumn id="29" xr3:uid="{00000000-0010-0000-0000-00001D000000}" name="Column29"/>
    <tableColumn id="30" xr3:uid="{00000000-0010-0000-0000-00001E000000}" name="Column30"/>
  </tableColumns>
  <tableStyleInfo name="Flow Testing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D876" headerRowCount="0">
  <tableColumns count="30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  <tableColumn id="22" xr3:uid="{00000000-0010-0000-0100-000016000000}" name="Column22"/>
    <tableColumn id="23" xr3:uid="{00000000-0010-0000-0100-000017000000}" name="Column23"/>
    <tableColumn id="24" xr3:uid="{00000000-0010-0000-0100-000018000000}" name="Column24"/>
    <tableColumn id="25" xr3:uid="{00000000-0010-0000-0100-000019000000}" name="Column25"/>
    <tableColumn id="26" xr3:uid="{00000000-0010-0000-0100-00001A000000}" name="Column26"/>
    <tableColumn id="27" xr3:uid="{00000000-0010-0000-0100-00001B000000}" name="Column27"/>
    <tableColumn id="28" xr3:uid="{00000000-0010-0000-0100-00001C000000}" name="Column28"/>
    <tableColumn id="29" xr3:uid="{00000000-0010-0000-0100-00001D000000}" name="Column29"/>
    <tableColumn id="30" xr3:uid="{00000000-0010-0000-0100-00001E000000}" name="Column30"/>
  </tableColumns>
  <tableStyleInfo name="Copy of Flow Testing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:AD853" headerRowCount="0">
  <tableColumns count="30">
    <tableColumn id="1" xr3:uid="{00000000-0010-0000-0200-000001000000}" name="Column1"/>
    <tableColumn id="2" xr3:uid="{00000000-0010-0000-0200-000002000000}" name="Column2"/>
    <tableColumn id="3" xr3:uid="{00000000-0010-0000-0200-000003000000}" name="Column3"/>
    <tableColumn id="4" xr3:uid="{00000000-0010-0000-0200-000004000000}" name="Column4"/>
    <tableColumn id="5" xr3:uid="{00000000-0010-0000-0200-000005000000}" name="Column5"/>
    <tableColumn id="6" xr3:uid="{00000000-0010-0000-0200-000006000000}" name="Column6"/>
    <tableColumn id="7" xr3:uid="{00000000-0010-0000-0200-000007000000}" name="Column7"/>
    <tableColumn id="8" xr3:uid="{00000000-0010-0000-0200-000008000000}" name="Column8"/>
    <tableColumn id="9" xr3:uid="{00000000-0010-0000-0200-000009000000}" name="Column9"/>
    <tableColumn id="10" xr3:uid="{00000000-0010-0000-0200-00000A000000}" name="Column10"/>
    <tableColumn id="11" xr3:uid="{00000000-0010-0000-0200-00000B000000}" name="Column11"/>
    <tableColumn id="12" xr3:uid="{00000000-0010-0000-0200-00000C000000}" name="Column12"/>
    <tableColumn id="13" xr3:uid="{00000000-0010-0000-0200-00000D000000}" name="Column13"/>
    <tableColumn id="14" xr3:uid="{00000000-0010-0000-0200-00000E000000}" name="Column14"/>
    <tableColumn id="15" xr3:uid="{00000000-0010-0000-0200-00000F000000}" name="Column15"/>
    <tableColumn id="16" xr3:uid="{00000000-0010-0000-0200-000010000000}" name="Column16"/>
    <tableColumn id="17" xr3:uid="{00000000-0010-0000-0200-000011000000}" name="Column17"/>
    <tableColumn id="18" xr3:uid="{00000000-0010-0000-0200-000012000000}" name="Column18"/>
    <tableColumn id="19" xr3:uid="{00000000-0010-0000-0200-000013000000}" name="Column19"/>
    <tableColumn id="20" xr3:uid="{00000000-0010-0000-0200-000014000000}" name="Column20"/>
    <tableColumn id="21" xr3:uid="{00000000-0010-0000-0200-000015000000}" name="Column21"/>
    <tableColumn id="22" xr3:uid="{00000000-0010-0000-0200-000016000000}" name="Column22"/>
    <tableColumn id="23" xr3:uid="{00000000-0010-0000-0200-000017000000}" name="Column23"/>
    <tableColumn id="24" xr3:uid="{00000000-0010-0000-0200-000018000000}" name="Column24"/>
    <tableColumn id="25" xr3:uid="{00000000-0010-0000-0200-000019000000}" name="Column25"/>
    <tableColumn id="26" xr3:uid="{00000000-0010-0000-0200-00001A000000}" name="Column26"/>
    <tableColumn id="27" xr3:uid="{00000000-0010-0000-0200-00001B000000}" name="Column27"/>
    <tableColumn id="28" xr3:uid="{00000000-0010-0000-0200-00001C000000}" name="Column28"/>
    <tableColumn id="29" xr3:uid="{00000000-0010-0000-0200-00001D000000}" name="Column29"/>
    <tableColumn id="30" xr3:uid="{00000000-0010-0000-0200-00001E000000}" name="Column30"/>
  </tableColumns>
  <tableStyleInfo name="Cd to Orifice Diameter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1:AD846" headerRowCount="0">
  <tableColumns count="30">
    <tableColumn id="1" xr3:uid="{00000000-0010-0000-0300-000001000000}" name="Column1"/>
    <tableColumn id="2" xr3:uid="{00000000-0010-0000-0300-000002000000}" name="Column2"/>
    <tableColumn id="3" xr3:uid="{00000000-0010-0000-0300-000003000000}" name="Column3"/>
    <tableColumn id="4" xr3:uid="{00000000-0010-0000-0300-000004000000}" name="Column4"/>
    <tableColumn id="5" xr3:uid="{00000000-0010-0000-0300-000005000000}" name="Column5"/>
    <tableColumn id="6" xr3:uid="{00000000-0010-0000-0300-000006000000}" name="Column6"/>
    <tableColumn id="7" xr3:uid="{00000000-0010-0000-0300-000007000000}" name="Column7"/>
    <tableColumn id="8" xr3:uid="{00000000-0010-0000-0300-000008000000}" name="Column8"/>
    <tableColumn id="9" xr3:uid="{00000000-0010-0000-0300-000009000000}" name="Column9"/>
    <tableColumn id="10" xr3:uid="{00000000-0010-0000-0300-00000A000000}" name="Column10"/>
    <tableColumn id="11" xr3:uid="{00000000-0010-0000-0300-00000B000000}" name="Column11"/>
    <tableColumn id="12" xr3:uid="{00000000-0010-0000-0300-00000C000000}" name="Column12"/>
    <tableColumn id="13" xr3:uid="{00000000-0010-0000-0300-00000D000000}" name="Column13"/>
    <tableColumn id="14" xr3:uid="{00000000-0010-0000-0300-00000E000000}" name="Column14"/>
    <tableColumn id="15" xr3:uid="{00000000-0010-0000-0300-00000F000000}" name="Column15"/>
    <tableColumn id="16" xr3:uid="{00000000-0010-0000-0300-000010000000}" name="Column16"/>
    <tableColumn id="17" xr3:uid="{00000000-0010-0000-0300-000011000000}" name="Column17"/>
    <tableColumn id="18" xr3:uid="{00000000-0010-0000-0300-000012000000}" name="Column18"/>
    <tableColumn id="19" xr3:uid="{00000000-0010-0000-0300-000013000000}" name="Column19"/>
    <tableColumn id="20" xr3:uid="{00000000-0010-0000-0300-000014000000}" name="Column20"/>
    <tableColumn id="21" xr3:uid="{00000000-0010-0000-0300-000015000000}" name="Column21"/>
    <tableColumn id="22" xr3:uid="{00000000-0010-0000-0300-000016000000}" name="Column22"/>
    <tableColumn id="23" xr3:uid="{00000000-0010-0000-0300-000017000000}" name="Column23"/>
    <tableColumn id="24" xr3:uid="{00000000-0010-0000-0300-000018000000}" name="Column24"/>
    <tableColumn id="25" xr3:uid="{00000000-0010-0000-0300-000019000000}" name="Column25"/>
    <tableColumn id="26" xr3:uid="{00000000-0010-0000-0300-00001A000000}" name="Column26"/>
    <tableColumn id="27" xr3:uid="{00000000-0010-0000-0300-00001B000000}" name="Column27"/>
    <tableColumn id="28" xr3:uid="{00000000-0010-0000-0300-00001C000000}" name="Column28"/>
    <tableColumn id="29" xr3:uid="{00000000-0010-0000-0300-00001D000000}" name="Column29"/>
    <tableColumn id="30" xr3:uid="{00000000-0010-0000-0300-00001E000000}" name="Column30"/>
  </tableColumns>
  <tableStyleInfo name="Copy of Cd to Orifice Diameter 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1:AD846" headerRowCount="0">
  <tableColumns count="30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  <tableColumn id="19" xr3:uid="{00000000-0010-0000-0400-000013000000}" name="Column19"/>
    <tableColumn id="20" xr3:uid="{00000000-0010-0000-0400-000014000000}" name="Column20"/>
    <tableColumn id="21" xr3:uid="{00000000-0010-0000-0400-000015000000}" name="Column21"/>
    <tableColumn id="22" xr3:uid="{00000000-0010-0000-0400-000016000000}" name="Column22"/>
    <tableColumn id="23" xr3:uid="{00000000-0010-0000-0400-000017000000}" name="Column23"/>
    <tableColumn id="24" xr3:uid="{00000000-0010-0000-0400-000018000000}" name="Column24"/>
    <tableColumn id="25" xr3:uid="{00000000-0010-0000-0400-000019000000}" name="Column25"/>
    <tableColumn id="26" xr3:uid="{00000000-0010-0000-0400-00001A000000}" name="Column26"/>
    <tableColumn id="27" xr3:uid="{00000000-0010-0000-0400-00001B000000}" name="Column27"/>
    <tableColumn id="28" xr3:uid="{00000000-0010-0000-0400-00001C000000}" name="Column28"/>
    <tableColumn id="29" xr3:uid="{00000000-0010-0000-0400-00001D000000}" name="Column29"/>
    <tableColumn id="30" xr3:uid="{00000000-0010-0000-0400-00001E000000}" name="Column30"/>
  </tableColumns>
  <tableStyleInfo name="Copy of Cd to Orifice Diameter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hyperlink" Target="https://colab.research.google.com/drive/1d3EGiKFkaR-bIwpDXa9SRXHIeLDSqC9J?usp=sharin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peacesoftware.de/einigewerte/stickstoff_e.html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1C019-E5FA-4390-8A22-BD643AB3EB17}">
  <sheetPr>
    <outlinePr summaryBelow="0" summaryRight="0"/>
    <pageSetUpPr fitToPage="1"/>
  </sheetPr>
  <dimension ref="A1:AD876"/>
  <sheetViews>
    <sheetView tabSelected="1" workbookViewId="0">
      <pane ySplit="2" topLeftCell="A51" activePane="bottomLeft" state="frozen"/>
      <selection pane="bottomLeft" activeCell="C65" sqref="C65"/>
    </sheetView>
  </sheetViews>
  <sheetFormatPr defaultColWidth="12.609375" defaultRowHeight="15.75" customHeight="1"/>
  <cols>
    <col min="1" max="2" width="15.21875" customWidth="1"/>
    <col min="3" max="3" width="12.109375" customWidth="1"/>
    <col min="4" max="4" width="15.609375" customWidth="1"/>
    <col min="5" max="5" width="12.71875" customWidth="1"/>
    <col min="6" max="6" width="12.21875" customWidth="1"/>
    <col min="7" max="7" width="7.88671875" customWidth="1"/>
    <col min="8" max="8" width="18" customWidth="1"/>
    <col min="9" max="9" width="10.88671875" customWidth="1"/>
    <col min="10" max="10" width="10.21875" customWidth="1"/>
    <col min="11" max="11" width="13.71875" customWidth="1"/>
    <col min="12" max="12" width="18" customWidth="1"/>
    <col min="14" max="14" width="19" customWidth="1"/>
  </cols>
  <sheetData>
    <row r="1" spans="1:30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>
      <c r="A2" s="2" t="s">
        <v>172</v>
      </c>
      <c r="B2" s="2" t="s">
        <v>173</v>
      </c>
      <c r="C2" s="2" t="s">
        <v>174</v>
      </c>
      <c r="D2" s="46" t="s">
        <v>175</v>
      </c>
      <c r="E2" s="46" t="s">
        <v>176</v>
      </c>
      <c r="F2" s="46" t="s">
        <v>177</v>
      </c>
      <c r="G2" s="46" t="s">
        <v>178</v>
      </c>
      <c r="H2" s="46" t="s">
        <v>179</v>
      </c>
      <c r="I2" s="47" t="s">
        <v>180</v>
      </c>
      <c r="J2" s="2" t="s">
        <v>181</v>
      </c>
      <c r="K2" s="2" t="s">
        <v>182</v>
      </c>
      <c r="L2" s="2" t="s">
        <v>183</v>
      </c>
      <c r="M2" s="2" t="s">
        <v>184</v>
      </c>
      <c r="N2" s="6" t="s">
        <v>185</v>
      </c>
      <c r="O2" s="2" t="s">
        <v>186</v>
      </c>
      <c r="P2" s="2"/>
      <c r="Q2" s="2" t="s">
        <v>187</v>
      </c>
      <c r="R2" s="2" t="s">
        <v>188</v>
      </c>
      <c r="S2" s="2" t="s">
        <v>189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.75" customHeight="1">
      <c r="A3" s="48"/>
      <c r="B3" s="48" t="s">
        <v>190</v>
      </c>
      <c r="C3" s="48" t="s">
        <v>191</v>
      </c>
      <c r="D3" s="48">
        <v>1.549E-3</v>
      </c>
      <c r="E3" s="48">
        <v>997</v>
      </c>
      <c r="F3" s="48">
        <v>300</v>
      </c>
      <c r="G3" s="48">
        <v>1</v>
      </c>
      <c r="H3" s="48">
        <v>90</v>
      </c>
      <c r="I3" s="48">
        <f>(F3*0.001)/G3</f>
        <v>0.3</v>
      </c>
      <c r="J3" s="49">
        <f>E3*D3*(I3/(K3*E3))/(0.001002)</f>
        <v>30763.451234914421</v>
      </c>
      <c r="K3" s="48">
        <f>((D3/2)^2)*3.1415*8</f>
        <v>1.5075436483000001E-5</v>
      </c>
      <c r="L3" s="50">
        <f>I3/(SQRT(2*E3*(H3*6895)))</f>
        <v>8.5284535368570472E-6</v>
      </c>
      <c r="M3" s="51">
        <f>I3/(K3*SQRT(2*E3*(H3*6895)))</f>
        <v>0.56571851478225932</v>
      </c>
      <c r="N3" s="6">
        <f t="shared" ref="N3:N83" si="0">1/(2*L3^2)</f>
        <v>6874315000.000001</v>
      </c>
      <c r="O3" s="2">
        <f>N3*I3^2/E3/6895</f>
        <v>90.000000000000014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5.75" customHeight="1">
      <c r="A4" s="9"/>
      <c r="B4" s="9"/>
      <c r="C4" s="59"/>
      <c r="D4" s="10"/>
      <c r="E4" s="10"/>
      <c r="F4" s="9"/>
      <c r="G4" s="9"/>
      <c r="H4" s="9"/>
      <c r="I4" s="60"/>
      <c r="J4" s="61"/>
      <c r="K4" s="62"/>
      <c r="L4" s="50"/>
      <c r="M4" s="60"/>
      <c r="N4" s="6" t="e">
        <f t="shared" si="0"/>
        <v>#DIV/0!</v>
      </c>
      <c r="O4" s="11"/>
      <c r="P4" s="11"/>
      <c r="Q4" s="1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5.75" customHeight="1">
      <c r="A5" s="9"/>
      <c r="B5" s="9"/>
      <c r="C5" s="59"/>
      <c r="D5" s="10"/>
      <c r="E5" s="10"/>
      <c r="F5" s="9"/>
      <c r="G5" s="9"/>
      <c r="H5" s="9"/>
      <c r="I5" s="60"/>
      <c r="J5" s="61"/>
      <c r="K5" s="62"/>
      <c r="L5" s="50"/>
      <c r="M5" s="60"/>
      <c r="N5" s="6" t="e">
        <f t="shared" si="0"/>
        <v>#DIV/0!</v>
      </c>
      <c r="O5" s="11"/>
      <c r="P5" s="11"/>
      <c r="Q5" s="11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5.75" customHeight="1">
      <c r="A6" s="9"/>
      <c r="B6" s="9"/>
      <c r="C6" s="59"/>
      <c r="D6" s="10"/>
      <c r="E6" s="10"/>
      <c r="F6" s="9"/>
      <c r="G6" s="9"/>
      <c r="H6" s="9"/>
      <c r="I6" s="60"/>
      <c r="J6" s="61"/>
      <c r="K6" s="62"/>
      <c r="L6" s="50"/>
      <c r="M6" s="60"/>
      <c r="N6" s="6" t="e">
        <f t="shared" si="0"/>
        <v>#DIV/0!</v>
      </c>
      <c r="O6" s="11"/>
      <c r="P6" s="11"/>
      <c r="Q6" s="11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.75" customHeight="1">
      <c r="A7" s="9"/>
      <c r="B7" s="9"/>
      <c r="C7" s="59"/>
      <c r="D7" s="10"/>
      <c r="E7" s="10"/>
      <c r="F7" s="9"/>
      <c r="G7" s="9"/>
      <c r="H7" s="9"/>
      <c r="I7" s="60"/>
      <c r="J7" s="61"/>
      <c r="K7" s="62"/>
      <c r="L7" s="50"/>
      <c r="M7" s="60"/>
      <c r="N7" s="6" t="e">
        <f t="shared" si="0"/>
        <v>#DIV/0!</v>
      </c>
      <c r="O7" s="11"/>
      <c r="P7" s="11"/>
      <c r="Q7" s="1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 customHeight="1">
      <c r="A8" s="9"/>
      <c r="B8" s="9"/>
      <c r="C8" s="59"/>
      <c r="D8" s="10"/>
      <c r="E8" s="10"/>
      <c r="F8" s="9"/>
      <c r="G8" s="9"/>
      <c r="H8" s="9"/>
      <c r="I8" s="60"/>
      <c r="J8" s="61"/>
      <c r="K8" s="62"/>
      <c r="L8" s="50"/>
      <c r="M8" s="60"/>
      <c r="N8" s="6" t="e">
        <f t="shared" si="0"/>
        <v>#DIV/0!</v>
      </c>
      <c r="O8" s="11"/>
      <c r="P8" s="11"/>
      <c r="Q8" s="1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 customHeight="1">
      <c r="A9" s="9"/>
      <c r="B9" s="9"/>
      <c r="C9" s="59"/>
      <c r="D9" s="10"/>
      <c r="E9" s="10"/>
      <c r="F9" s="9"/>
      <c r="G9" s="9"/>
      <c r="H9" s="9"/>
      <c r="I9" s="60"/>
      <c r="J9" s="61"/>
      <c r="K9" s="62"/>
      <c r="L9" s="50"/>
      <c r="M9" s="60"/>
      <c r="N9" s="6" t="e">
        <f t="shared" si="0"/>
        <v>#DIV/0!</v>
      </c>
      <c r="O9" s="11"/>
      <c r="P9" s="11"/>
      <c r="Q9" s="1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 customHeight="1">
      <c r="A10" s="9"/>
      <c r="B10" s="9"/>
      <c r="C10" s="59"/>
      <c r="D10" s="10"/>
      <c r="E10" s="10"/>
      <c r="F10" s="9"/>
      <c r="G10" s="9"/>
      <c r="H10" s="9"/>
      <c r="I10" s="60"/>
      <c r="J10" s="61"/>
      <c r="K10" s="62"/>
      <c r="L10" s="50"/>
      <c r="M10" s="60"/>
      <c r="N10" s="6" t="e">
        <f t="shared" si="0"/>
        <v>#DIV/0!</v>
      </c>
      <c r="O10" s="11"/>
      <c r="P10" s="11"/>
      <c r="Q10" s="1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 customHeight="1">
      <c r="A11" s="9"/>
      <c r="B11" s="9"/>
      <c r="C11" s="59"/>
      <c r="D11" s="10"/>
      <c r="E11" s="10"/>
      <c r="F11" s="9"/>
      <c r="G11" s="9"/>
      <c r="H11" s="9"/>
      <c r="I11" s="60"/>
      <c r="J11" s="61"/>
      <c r="K11" s="62"/>
      <c r="L11" s="50"/>
      <c r="M11" s="60"/>
      <c r="N11" s="6" t="e">
        <f t="shared" si="0"/>
        <v>#DIV/0!</v>
      </c>
      <c r="O11" s="11"/>
      <c r="P11" s="11"/>
      <c r="Q11" s="1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 customHeight="1">
      <c r="A12" s="2"/>
      <c r="B12" s="2"/>
      <c r="C12" s="58"/>
      <c r="D12" s="2"/>
      <c r="E12" s="2"/>
      <c r="F12" s="2"/>
      <c r="G12" s="2"/>
      <c r="H12" s="2"/>
      <c r="I12" s="60"/>
      <c r="J12" s="61"/>
      <c r="K12" s="62"/>
      <c r="L12" s="50"/>
      <c r="M12" s="60"/>
      <c r="N12" s="6"/>
      <c r="O12" s="11"/>
      <c r="P12" s="11"/>
      <c r="Q12" s="1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.75" customHeight="1">
      <c r="A13" s="2"/>
      <c r="B13" s="2"/>
      <c r="C13" s="58"/>
      <c r="D13" s="2"/>
      <c r="E13" s="2"/>
      <c r="F13" s="2"/>
      <c r="G13" s="2"/>
      <c r="H13" s="2"/>
      <c r="I13" s="60"/>
      <c r="J13" s="61"/>
      <c r="K13" s="62"/>
      <c r="L13" s="50"/>
      <c r="M13" s="60"/>
      <c r="N13" s="6"/>
      <c r="O13" s="11"/>
      <c r="P13" s="11"/>
      <c r="Q13" s="1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 customHeight="1">
      <c r="A14" s="2"/>
      <c r="B14" s="2"/>
      <c r="C14" s="58"/>
      <c r="D14" s="2"/>
      <c r="E14" s="2"/>
      <c r="F14" s="2"/>
      <c r="G14" s="2"/>
      <c r="H14" s="2"/>
      <c r="I14" s="60"/>
      <c r="J14" s="61"/>
      <c r="K14" s="62"/>
      <c r="L14" s="50"/>
      <c r="M14" s="60"/>
      <c r="N14" s="6"/>
      <c r="O14" s="11"/>
      <c r="P14" s="11"/>
      <c r="Q14" s="1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>
      <c r="A15" s="2"/>
      <c r="B15" s="2"/>
      <c r="C15" s="58"/>
      <c r="D15" s="2"/>
      <c r="E15" s="2"/>
      <c r="F15" s="2"/>
      <c r="G15" s="2"/>
      <c r="H15" s="2"/>
      <c r="I15" s="60"/>
      <c r="J15" s="61"/>
      <c r="K15" s="62"/>
      <c r="L15" s="50"/>
      <c r="M15" s="60"/>
      <c r="N15" s="6"/>
      <c r="O15" s="11"/>
      <c r="P15" s="11"/>
      <c r="Q15" s="1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 customHeight="1">
      <c r="A16" s="2"/>
      <c r="B16" s="2"/>
      <c r="C16" s="58"/>
      <c r="D16" s="2"/>
      <c r="E16" s="2"/>
      <c r="F16" s="2"/>
      <c r="G16" s="2"/>
      <c r="H16" s="2"/>
      <c r="I16" s="60"/>
      <c r="J16" s="61"/>
      <c r="K16" s="62"/>
      <c r="L16" s="50"/>
      <c r="M16" s="60"/>
      <c r="N16" s="6"/>
      <c r="O16" s="11"/>
      <c r="P16" s="11"/>
      <c r="Q16" s="1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>
      <c r="A17" s="2"/>
      <c r="B17" s="2"/>
      <c r="C17" s="2"/>
      <c r="D17" s="2"/>
      <c r="E17" s="2"/>
      <c r="F17" s="2"/>
      <c r="G17" s="2"/>
      <c r="H17" s="2"/>
      <c r="I17" s="60"/>
      <c r="J17" s="61"/>
      <c r="K17" s="62"/>
      <c r="L17" s="50"/>
      <c r="M17" s="60"/>
      <c r="N17" s="6"/>
      <c r="O17" s="11"/>
      <c r="P17" s="11"/>
      <c r="Q17" s="1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>
      <c r="A18" s="2"/>
      <c r="B18" s="2"/>
      <c r="C18" s="58"/>
      <c r="D18" s="2"/>
      <c r="E18" s="2"/>
      <c r="F18" s="2"/>
      <c r="G18" s="2"/>
      <c r="H18" s="2"/>
      <c r="I18" s="60"/>
      <c r="J18" s="61"/>
      <c r="K18" s="62"/>
      <c r="L18" s="50"/>
      <c r="M18" s="60"/>
      <c r="N18" s="6"/>
      <c r="O18" s="11"/>
      <c r="P18" s="11"/>
      <c r="Q18" s="1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>
      <c r="A19" s="2"/>
      <c r="B19" s="2"/>
      <c r="C19" s="58"/>
      <c r="D19" s="2"/>
      <c r="E19" s="2"/>
      <c r="F19" s="2"/>
      <c r="G19" s="2"/>
      <c r="H19" s="2"/>
      <c r="I19" s="60"/>
      <c r="J19" s="61"/>
      <c r="K19" s="62"/>
      <c r="L19" s="50"/>
      <c r="M19" s="60"/>
      <c r="N19" s="6"/>
      <c r="O19" s="11"/>
      <c r="P19" s="11"/>
      <c r="Q19" s="1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 customHeight="1">
      <c r="A20" s="2"/>
      <c r="B20" s="2"/>
      <c r="C20" s="58"/>
      <c r="D20" s="2"/>
      <c r="E20" s="2"/>
      <c r="F20" s="2"/>
      <c r="G20" s="2"/>
      <c r="H20" s="2"/>
      <c r="I20" s="60"/>
      <c r="J20" s="61"/>
      <c r="K20" s="62"/>
      <c r="L20" s="50"/>
      <c r="M20" s="60"/>
      <c r="N20" s="6"/>
      <c r="O20" s="11"/>
      <c r="P20" s="11"/>
      <c r="Q20" s="1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>
      <c r="A21" s="2"/>
      <c r="B21" s="2"/>
      <c r="C21" s="2"/>
      <c r="D21" s="2"/>
      <c r="E21" s="2"/>
      <c r="F21" s="2"/>
      <c r="G21" s="2"/>
      <c r="H21" s="2"/>
      <c r="I21" s="60"/>
      <c r="J21" s="61"/>
      <c r="K21" s="62"/>
      <c r="L21" s="50"/>
      <c r="M21" s="60"/>
      <c r="N21" s="6"/>
      <c r="O21" s="11"/>
      <c r="P21" s="11"/>
      <c r="Q21" s="1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75" customHeight="1">
      <c r="A22" s="2"/>
      <c r="B22" s="2"/>
      <c r="C22" s="58"/>
      <c r="D22" s="2"/>
      <c r="E22" s="2"/>
      <c r="F22" s="2"/>
      <c r="G22" s="2"/>
      <c r="H22" s="2"/>
      <c r="I22" s="60"/>
      <c r="J22" s="61"/>
      <c r="K22" s="62"/>
      <c r="L22" s="50"/>
      <c r="M22" s="60"/>
      <c r="N22" s="6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 customHeight="1">
      <c r="A23" s="2"/>
      <c r="B23" s="2"/>
      <c r="C23" s="2"/>
      <c r="D23" s="2"/>
      <c r="E23" s="2"/>
      <c r="F23" s="2"/>
      <c r="G23" s="2"/>
      <c r="H23" s="2"/>
      <c r="I23" s="60"/>
      <c r="J23" s="61"/>
      <c r="K23" s="62"/>
      <c r="L23" s="63"/>
      <c r="M23" s="60"/>
      <c r="N23" s="6" t="e">
        <f t="shared" si="0"/>
        <v>#DIV/0!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>
      <c r="A24" s="2"/>
      <c r="B24" s="2"/>
      <c r="C24" s="2"/>
      <c r="D24" s="10"/>
      <c r="E24" s="10"/>
      <c r="F24" s="9"/>
      <c r="G24" s="9"/>
      <c r="H24" s="9"/>
      <c r="I24" s="60"/>
      <c r="J24" s="61"/>
      <c r="K24" s="62"/>
      <c r="L24" s="63"/>
      <c r="M24" s="60"/>
      <c r="N24" s="6" t="e">
        <f t="shared" si="0"/>
        <v>#DIV/0!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>
      <c r="A25" s="2"/>
      <c r="B25" s="2"/>
      <c r="C25" s="2"/>
      <c r="D25" s="10"/>
      <c r="E25" s="10"/>
      <c r="F25" s="9"/>
      <c r="G25" s="9"/>
      <c r="H25" s="9"/>
      <c r="I25" s="60"/>
      <c r="J25" s="61"/>
      <c r="K25" s="62"/>
      <c r="L25" s="63"/>
      <c r="M25" s="60"/>
      <c r="N25" s="6" t="e">
        <f t="shared" si="0"/>
        <v>#DIV/0!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 customHeight="1">
      <c r="A26" s="2"/>
      <c r="B26" s="2"/>
      <c r="C26" s="58"/>
      <c r="D26" s="10"/>
      <c r="E26" s="10"/>
      <c r="F26" s="9"/>
      <c r="G26" s="9"/>
      <c r="H26" s="9"/>
      <c r="I26" s="60"/>
      <c r="J26" s="61"/>
      <c r="K26" s="62"/>
      <c r="L26" s="63"/>
      <c r="M26" s="60"/>
      <c r="N26" s="6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.75" customHeight="1">
      <c r="A27" s="2" t="s">
        <v>202</v>
      </c>
      <c r="B27" s="2" t="s">
        <v>203</v>
      </c>
      <c r="C27" s="58">
        <v>44968</v>
      </c>
      <c r="D27" s="2">
        <v>1.5883E-3</v>
      </c>
      <c r="E27" s="10">
        <v>997</v>
      </c>
      <c r="F27" s="9">
        <v>2181</v>
      </c>
      <c r="G27" s="9">
        <v>5.75</v>
      </c>
      <c r="H27" s="9">
        <v>134</v>
      </c>
      <c r="I27" s="60">
        <f t="shared" ref="I26:I43" si="1">(F27*0.001)/G27</f>
        <v>0.37930434782608696</v>
      </c>
      <c r="J27" s="61">
        <f t="shared" ref="J26:J43" si="2">E27*D27*(I27/(K27*E27))/(0.001002)</f>
        <v>37933.289346843943</v>
      </c>
      <c r="K27" s="62">
        <f t="shared" ref="K27:K43" si="3">D27^2/4*3.1415*8</f>
        <v>1.5850104559870001E-5</v>
      </c>
      <c r="L27" s="63">
        <f t="shared" ref="L27:L43" si="4">10^6*I27/(SQRT(2*E27*(H27*6895)))</f>
        <v>8.837017386713784</v>
      </c>
      <c r="M27" s="60">
        <f t="shared" ref="M27:M43" si="5">I27/(K27*SQRT(2*E27*(H27*6895)))</f>
        <v>0.55753685115035367</v>
      </c>
      <c r="N27" s="6">
        <f t="shared" si="0"/>
        <v>6.4026326565755553E-3</v>
      </c>
      <c r="O27" s="2"/>
      <c r="P27" s="2"/>
      <c r="Q27" s="2">
        <v>0.67500000000000004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6.5">
      <c r="A28" s="2" t="s">
        <v>202</v>
      </c>
      <c r="B28" s="2" t="s">
        <v>203</v>
      </c>
      <c r="C28" s="58">
        <v>44968</v>
      </c>
      <c r="D28" s="2">
        <v>1.5883E-3</v>
      </c>
      <c r="E28" s="10">
        <v>997</v>
      </c>
      <c r="F28" s="9">
        <v>3218</v>
      </c>
      <c r="G28" s="9">
        <v>7.48</v>
      </c>
      <c r="H28" s="9">
        <v>119</v>
      </c>
      <c r="I28" s="60">
        <f t="shared" si="1"/>
        <v>0.43021390374331547</v>
      </c>
      <c r="J28" s="61">
        <f t="shared" si="2"/>
        <v>43024.62807310871</v>
      </c>
      <c r="K28" s="62">
        <f t="shared" si="3"/>
        <v>1.5850104559870001E-5</v>
      </c>
      <c r="L28" s="63">
        <f t="shared" si="4"/>
        <v>10.636071519224641</v>
      </c>
      <c r="M28" s="60">
        <f t="shared" si="5"/>
        <v>0.67104109496876885</v>
      </c>
      <c r="N28" s="6">
        <f t="shared" si="0"/>
        <v>4.4198497539230273E-3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6.5">
      <c r="A29" s="2" t="s">
        <v>202</v>
      </c>
      <c r="B29" s="2" t="s">
        <v>203</v>
      </c>
      <c r="C29" s="58">
        <v>44968</v>
      </c>
      <c r="D29" s="2">
        <v>1.5883E-3</v>
      </c>
      <c r="E29" s="2">
        <v>997</v>
      </c>
      <c r="F29" s="2">
        <v>3083</v>
      </c>
      <c r="G29" s="2">
        <v>7.3</v>
      </c>
      <c r="H29" s="2">
        <v>134</v>
      </c>
      <c r="I29" s="60">
        <f t="shared" si="1"/>
        <v>0.42232876712328771</v>
      </c>
      <c r="J29" s="61">
        <f t="shared" si="2"/>
        <v>42236.055069236769</v>
      </c>
      <c r="K29" s="62">
        <f t="shared" si="3"/>
        <v>1.5850104559870001E-5</v>
      </c>
      <c r="L29" s="63">
        <f t="shared" si="4"/>
        <v>9.839398571010026</v>
      </c>
      <c r="M29" s="60">
        <f t="shared" si="5"/>
        <v>0.62077814905536033</v>
      </c>
      <c r="N29" s="6">
        <f t="shared" si="0"/>
        <v>5.1645548949493247E-3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6.5">
      <c r="A30" s="2" t="s">
        <v>202</v>
      </c>
      <c r="B30" s="2" t="s">
        <v>203</v>
      </c>
      <c r="C30" s="58">
        <v>44968</v>
      </c>
      <c r="D30" s="2">
        <v>1.5883E-3</v>
      </c>
      <c r="E30" s="2">
        <v>997</v>
      </c>
      <c r="F30" s="2">
        <v>2833</v>
      </c>
      <c r="G30" s="2">
        <v>7.38</v>
      </c>
      <c r="H30" s="2">
        <v>124</v>
      </c>
      <c r="I30" s="60">
        <f t="shared" si="1"/>
        <v>0.38387533875338758</v>
      </c>
      <c r="J30" s="61">
        <f t="shared" si="2"/>
        <v>38390.422839884195</v>
      </c>
      <c r="K30" s="62">
        <f t="shared" si="3"/>
        <v>1.5850104559870001E-5</v>
      </c>
      <c r="L30" s="63">
        <f t="shared" si="4"/>
        <v>9.2971461457998164</v>
      </c>
      <c r="M30" s="60">
        <f t="shared" si="5"/>
        <v>0.58656686526464585</v>
      </c>
      <c r="N30" s="6">
        <f t="shared" si="0"/>
        <v>5.7845647745519528E-3</v>
      </c>
      <c r="O30" s="2"/>
      <c r="P30" s="2"/>
      <c r="Q30" s="2"/>
      <c r="R30" s="2"/>
      <c r="S30" s="2"/>
      <c r="T30" s="2"/>
      <c r="U30" s="62">
        <f>D33^2/4*3.1415*8</f>
        <v>1.5850104559870001E-5</v>
      </c>
      <c r="V30" s="2"/>
      <c r="W30" s="2"/>
      <c r="X30" s="2"/>
      <c r="Y30" s="2"/>
      <c r="Z30" s="2"/>
      <c r="AA30" s="2"/>
      <c r="AB30" s="2"/>
      <c r="AC30" s="2"/>
      <c r="AD30" s="2"/>
    </row>
    <row r="31" spans="1:30" ht="16.5">
      <c r="A31" s="2" t="s">
        <v>202</v>
      </c>
      <c r="B31" s="2" t="s">
        <v>203</v>
      </c>
      <c r="C31" s="58">
        <v>44968</v>
      </c>
      <c r="D31" s="2">
        <v>1.5883E-3</v>
      </c>
      <c r="E31" s="2">
        <v>997</v>
      </c>
      <c r="F31" s="2">
        <v>2971</v>
      </c>
      <c r="G31" s="2">
        <v>7.96</v>
      </c>
      <c r="H31" s="2">
        <v>114</v>
      </c>
      <c r="I31" s="60">
        <f t="shared" si="1"/>
        <v>0.37324120603015076</v>
      </c>
      <c r="J31" s="61">
        <f t="shared" si="2"/>
        <v>37326.929537328542</v>
      </c>
      <c r="K31" s="62">
        <f t="shared" si="3"/>
        <v>1.5850104559870001E-5</v>
      </c>
      <c r="L31" s="63">
        <f t="shared" si="4"/>
        <v>9.4277367262360219</v>
      </c>
      <c r="M31" s="60">
        <f t="shared" si="5"/>
        <v>0.59480596425247467</v>
      </c>
      <c r="N31" s="6">
        <f t="shared" si="0"/>
        <v>5.625422061262461E-3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6.5">
      <c r="A32" s="2" t="s">
        <v>202</v>
      </c>
      <c r="B32" s="2" t="s">
        <v>203</v>
      </c>
      <c r="C32" s="58">
        <v>44968</v>
      </c>
      <c r="D32" s="2">
        <v>1.5883E-3</v>
      </c>
      <c r="E32" s="2">
        <v>997</v>
      </c>
      <c r="F32" s="2">
        <v>2890</v>
      </c>
      <c r="G32" s="2">
        <v>7.8</v>
      </c>
      <c r="H32" s="2">
        <v>114</v>
      </c>
      <c r="I32" s="60">
        <f t="shared" si="1"/>
        <v>0.37051282051282053</v>
      </c>
      <c r="J32" s="61">
        <f t="shared" si="2"/>
        <v>37054.070452343622</v>
      </c>
      <c r="K32" s="62">
        <f t="shared" si="3"/>
        <v>1.5850104559870001E-5</v>
      </c>
      <c r="L32" s="63">
        <f t="shared" si="4"/>
        <v>9.3588201652307319</v>
      </c>
      <c r="M32" s="60">
        <f t="shared" si="5"/>
        <v>0.59045794492269843</v>
      </c>
      <c r="N32" s="6">
        <f t="shared" si="0"/>
        <v>5.7085761669999164E-3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6.5">
      <c r="A33" s="2" t="s">
        <v>202</v>
      </c>
      <c r="B33" s="2" t="s">
        <v>203</v>
      </c>
      <c r="C33" s="58">
        <v>44968</v>
      </c>
      <c r="D33" s="2">
        <v>1.5883E-3</v>
      </c>
      <c r="E33" s="2">
        <v>997</v>
      </c>
      <c r="F33" s="2">
        <v>2939</v>
      </c>
      <c r="G33" s="2">
        <v>7.96</v>
      </c>
      <c r="H33" s="2">
        <v>114</v>
      </c>
      <c r="I33" s="60">
        <f t="shared" si="1"/>
        <v>0.3692211055276382</v>
      </c>
      <c r="J33" s="61">
        <f t="shared" si="2"/>
        <v>36924.889232651825</v>
      </c>
      <c r="K33" s="62">
        <f t="shared" si="3"/>
        <v>1.5850104559870001E-5</v>
      </c>
      <c r="L33" s="63">
        <f t="shared" si="4"/>
        <v>9.3261926080133524</v>
      </c>
      <c r="M33" s="60">
        <f t="shared" si="5"/>
        <v>0.58839943754224944</v>
      </c>
      <c r="N33" s="6">
        <f t="shared" si="0"/>
        <v>5.7485887877897412E-3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6.5">
      <c r="A34" s="2" t="s">
        <v>202</v>
      </c>
      <c r="B34" s="2" t="s">
        <v>203</v>
      </c>
      <c r="C34" s="58">
        <v>44968</v>
      </c>
      <c r="D34" s="2">
        <v>1.5883E-3</v>
      </c>
      <c r="E34" s="2">
        <v>997</v>
      </c>
      <c r="F34" s="2">
        <v>2831</v>
      </c>
      <c r="G34" s="2">
        <v>7.68</v>
      </c>
      <c r="H34" s="2">
        <v>114</v>
      </c>
      <c r="I34" s="64">
        <f t="shared" si="1"/>
        <v>0.3686197916666667</v>
      </c>
      <c r="J34" s="61">
        <f t="shared" si="2"/>
        <v>36864.753321193835</v>
      </c>
      <c r="K34" s="62">
        <f t="shared" si="3"/>
        <v>1.5850104559870001E-5</v>
      </c>
      <c r="L34" s="63">
        <f t="shared" si="4"/>
        <v>9.3110039614237312</v>
      </c>
      <c r="M34" s="60">
        <f t="shared" si="5"/>
        <v>0.58744116963100323</v>
      </c>
      <c r="N34" s="6">
        <f t="shared" si="0"/>
        <v>5.7673589438503236E-3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6.5">
      <c r="A35" s="2"/>
      <c r="B35" s="2"/>
      <c r="C35" s="58"/>
      <c r="D35" s="2"/>
      <c r="E35" s="2"/>
      <c r="F35" s="2"/>
      <c r="G35" s="2"/>
      <c r="H35" s="2"/>
      <c r="I35" s="60"/>
      <c r="J35" s="61"/>
      <c r="K35" s="62"/>
      <c r="L35" s="63"/>
      <c r="M35" s="60"/>
      <c r="N35" s="6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5.75" customHeight="1">
      <c r="A36" s="2"/>
      <c r="B36" s="2" t="s">
        <v>195</v>
      </c>
      <c r="C36" s="52">
        <v>44851</v>
      </c>
      <c r="D36" s="2">
        <v>1.6473E-3</v>
      </c>
      <c r="E36" s="2">
        <v>997</v>
      </c>
      <c r="F36" s="2">
        <v>792</v>
      </c>
      <c r="G36" s="2">
        <v>4.51</v>
      </c>
      <c r="H36" s="2">
        <v>22</v>
      </c>
      <c r="I36" s="11">
        <f t="shared" ref="I36:I46" si="6">(F36*0.001)/G36</f>
        <v>0.17560975609756099</v>
      </c>
      <c r="J36" s="53">
        <f t="shared" ref="J36:J46" si="7">E36*D36*(I36/(K36*E36))/(0.001002)</f>
        <v>16952.703589855653</v>
      </c>
      <c r="K36" s="2">
        <v>1.7030000000000001E-5</v>
      </c>
      <c r="L36" s="50">
        <f t="shared" ref="L36:L46" si="8">I36/(SQRT(2*E36*(H36*6895)))</f>
        <v>1.0097354110079719E-5</v>
      </c>
      <c r="M36" s="11">
        <f t="shared" ref="M36:M46" si="9">I36/(K36*SQRT(2*E36*(H36*6895)))</f>
        <v>0.59291568467878553</v>
      </c>
      <c r="N36" s="6">
        <f t="shared" ref="N36:N46" si="10">1/(2*L36^2)</f>
        <v>4904049331.2114182</v>
      </c>
      <c r="O36" s="11"/>
      <c r="P36" s="11"/>
      <c r="Q36" s="1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5.75" customHeight="1">
      <c r="A37" s="2"/>
      <c r="B37" s="2" t="s">
        <v>195</v>
      </c>
      <c r="C37" s="52">
        <v>44851</v>
      </c>
      <c r="D37" s="2">
        <v>1.6473E-3</v>
      </c>
      <c r="E37" s="2">
        <v>997</v>
      </c>
      <c r="F37" s="2">
        <v>1199</v>
      </c>
      <c r="G37" s="2">
        <v>5.64</v>
      </c>
      <c r="H37" s="2">
        <v>35</v>
      </c>
      <c r="I37" s="11">
        <f t="shared" si="6"/>
        <v>0.21258865248226952</v>
      </c>
      <c r="J37" s="53">
        <f t="shared" si="7"/>
        <v>20522.506791117856</v>
      </c>
      <c r="K37" s="2">
        <v>1.7030000000000001E-5</v>
      </c>
      <c r="L37" s="50">
        <f t="shared" si="8"/>
        <v>9.6911729629061529E-6</v>
      </c>
      <c r="M37" s="11">
        <f t="shared" si="9"/>
        <v>0.56906476587822385</v>
      </c>
      <c r="N37" s="6">
        <f t="shared" si="10"/>
        <v>5323745854.9625359</v>
      </c>
      <c r="O37" s="11"/>
      <c r="P37" s="11"/>
      <c r="Q37" s="1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5.75" customHeight="1">
      <c r="A38" s="2"/>
      <c r="B38" s="2" t="s">
        <v>195</v>
      </c>
      <c r="C38" s="52">
        <v>44851</v>
      </c>
      <c r="D38" s="2">
        <v>1.6473E-3</v>
      </c>
      <c r="E38" s="2">
        <v>997</v>
      </c>
      <c r="F38" s="2">
        <v>1741</v>
      </c>
      <c r="G38" s="2">
        <v>5.92</v>
      </c>
      <c r="H38" s="2">
        <v>56</v>
      </c>
      <c r="I38" s="11">
        <f t="shared" si="6"/>
        <v>0.29408783783783787</v>
      </c>
      <c r="J38" s="53">
        <f t="shared" si="7"/>
        <v>28390.130793625332</v>
      </c>
      <c r="K38" s="2">
        <v>1.7030000000000001E-5</v>
      </c>
      <c r="L38" s="50">
        <f t="shared" si="8"/>
        <v>1.0598718039264981E-5</v>
      </c>
      <c r="M38" s="11">
        <f t="shared" si="9"/>
        <v>0.62235572749647572</v>
      </c>
      <c r="N38" s="6">
        <f t="shared" si="10"/>
        <v>4451058754.3176832</v>
      </c>
      <c r="O38" s="11"/>
      <c r="P38" s="11"/>
      <c r="Q38" s="1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5.75" customHeight="1">
      <c r="A39" s="2"/>
      <c r="B39" s="2" t="s">
        <v>196</v>
      </c>
      <c r="C39" s="52">
        <v>44851</v>
      </c>
      <c r="D39" s="2">
        <v>1.6473E-3</v>
      </c>
      <c r="E39" s="2">
        <v>997</v>
      </c>
      <c r="F39" s="2">
        <v>1489</v>
      </c>
      <c r="G39" s="2">
        <v>6.17</v>
      </c>
      <c r="H39" s="2">
        <v>44</v>
      </c>
      <c r="I39" s="11">
        <f t="shared" si="6"/>
        <v>0.24132901134521881</v>
      </c>
      <c r="J39" s="53">
        <f t="shared" si="7"/>
        <v>23296.992649403423</v>
      </c>
      <c r="K39" s="2">
        <v>1.7030000000000001E-5</v>
      </c>
      <c r="L39" s="50">
        <f t="shared" si="8"/>
        <v>9.8119083565332575E-6</v>
      </c>
      <c r="M39" s="11">
        <f t="shared" si="9"/>
        <v>0.57615433684869388</v>
      </c>
      <c r="N39" s="6">
        <f t="shared" si="10"/>
        <v>5193534702.5958433</v>
      </c>
      <c r="O39" s="11"/>
      <c r="P39" s="11"/>
      <c r="Q39" s="1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5.75" customHeight="1">
      <c r="A40" s="2"/>
      <c r="B40" s="2" t="s">
        <v>195</v>
      </c>
      <c r="C40" s="52">
        <v>44851</v>
      </c>
      <c r="D40" s="2">
        <v>1.6473E-3</v>
      </c>
      <c r="E40" s="2">
        <v>997</v>
      </c>
      <c r="F40" s="2">
        <v>1478</v>
      </c>
      <c r="G40" s="2">
        <v>5.35</v>
      </c>
      <c r="H40" s="2">
        <v>49</v>
      </c>
      <c r="I40" s="11">
        <f t="shared" si="6"/>
        <v>0.27626168224299069</v>
      </c>
      <c r="J40" s="53">
        <f t="shared" si="7"/>
        <v>26669.260958932315</v>
      </c>
      <c r="K40" s="2">
        <v>1.7030000000000001E-5</v>
      </c>
      <c r="L40" s="50">
        <f t="shared" si="8"/>
        <v>1.0643706730302286E-5</v>
      </c>
      <c r="M40" s="11">
        <f t="shared" si="9"/>
        <v>0.62499745920741534</v>
      </c>
      <c r="N40" s="6">
        <f t="shared" si="10"/>
        <v>4413510913.0062275</v>
      </c>
      <c r="O40" s="11"/>
      <c r="P40" s="11"/>
      <c r="Q40" s="1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5.75" customHeight="1">
      <c r="A41" s="2"/>
      <c r="B41" s="2" t="s">
        <v>195</v>
      </c>
      <c r="C41" s="52">
        <v>44851</v>
      </c>
      <c r="D41" s="2">
        <v>1.6473E-3</v>
      </c>
      <c r="E41" s="2">
        <v>997</v>
      </c>
      <c r="F41" s="2">
        <v>1057</v>
      </c>
      <c r="G41" s="2">
        <v>5.68</v>
      </c>
      <c r="H41" s="2">
        <v>31</v>
      </c>
      <c r="I41" s="11">
        <f t="shared" si="6"/>
        <v>0.18609154929577465</v>
      </c>
      <c r="J41" s="53">
        <f t="shared" si="7"/>
        <v>17964.576376016586</v>
      </c>
      <c r="K41" s="2">
        <v>1.7030000000000001E-5</v>
      </c>
      <c r="L41" s="50">
        <f t="shared" si="8"/>
        <v>9.0139696700475278E-6</v>
      </c>
      <c r="M41" s="11">
        <f t="shared" si="9"/>
        <v>0.52929945214606733</v>
      </c>
      <c r="N41" s="6">
        <f t="shared" si="10"/>
        <v>6153721245.6095285</v>
      </c>
      <c r="O41" s="11"/>
      <c r="P41" s="11"/>
      <c r="Q41" s="1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5.75" customHeight="1">
      <c r="A42" s="2"/>
      <c r="B42" s="2" t="s">
        <v>195</v>
      </c>
      <c r="C42" s="52">
        <v>44851</v>
      </c>
      <c r="D42" s="2">
        <v>1.6473E-3</v>
      </c>
      <c r="E42" s="2">
        <v>997</v>
      </c>
      <c r="F42" s="2">
        <v>1187</v>
      </c>
      <c r="G42" s="2">
        <v>6.48</v>
      </c>
      <c r="H42" s="2">
        <v>32</v>
      </c>
      <c r="I42" s="11">
        <f t="shared" si="6"/>
        <v>0.18317901234567902</v>
      </c>
      <c r="J42" s="53">
        <f t="shared" si="7"/>
        <v>17683.41104268486</v>
      </c>
      <c r="K42" s="2">
        <v>1.7030000000000001E-5</v>
      </c>
      <c r="L42" s="50">
        <f t="shared" si="8"/>
        <v>8.7331518509125587E-6</v>
      </c>
      <c r="M42" s="11">
        <f t="shared" si="9"/>
        <v>0.51280985618981545</v>
      </c>
      <c r="N42" s="6">
        <f t="shared" si="10"/>
        <v>6555834493.4714661</v>
      </c>
      <c r="O42" s="11"/>
      <c r="P42" s="11"/>
      <c r="Q42" s="1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6.5">
      <c r="A43" s="54"/>
      <c r="B43" s="54" t="s">
        <v>197</v>
      </c>
      <c r="C43" s="54"/>
      <c r="D43" s="54"/>
      <c r="E43" s="54"/>
      <c r="F43" s="54"/>
      <c r="G43" s="54"/>
      <c r="H43" s="54"/>
      <c r="I43" s="55"/>
      <c r="J43" s="56"/>
      <c r="K43" s="54"/>
      <c r="L43" s="57"/>
      <c r="M43" s="55"/>
      <c r="N43" s="6" t="e">
        <f t="shared" si="10"/>
        <v>#DIV/0!</v>
      </c>
      <c r="O43" s="11"/>
      <c r="P43" s="11"/>
      <c r="Q43" s="1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6.5">
      <c r="A44" s="2"/>
      <c r="B44" s="2" t="s">
        <v>198</v>
      </c>
      <c r="C44" s="58">
        <v>44867</v>
      </c>
      <c r="D44" s="2">
        <v>1.562E-3</v>
      </c>
      <c r="E44" s="2">
        <v>997</v>
      </c>
      <c r="F44" s="2">
        <f>1426-950</f>
        <v>476</v>
      </c>
      <c r="G44" s="2">
        <v>3.85</v>
      </c>
      <c r="H44" s="2">
        <v>7.5</v>
      </c>
      <c r="I44" s="11">
        <f t="shared" ref="I44:I46" si="11">(F44*0.001)/G44</f>
        <v>0.12363636363636364</v>
      </c>
      <c r="J44" s="53">
        <f t="shared" ref="J44:J46" si="12">E44*D44*(I44/(K44*E44))/(0.001002)</f>
        <v>12572.75383337604</v>
      </c>
      <c r="K44" s="8">
        <f t="shared" ref="K44:K46" si="13">D44^2/4*3.1415*8</f>
        <v>1.5329539851999999E-5</v>
      </c>
      <c r="L44" s="50">
        <f t="shared" ref="L44:L46" si="14">I44/(SQRT(2*E44*(H44*6895)))</f>
        <v>1.2175474046499747E-5</v>
      </c>
      <c r="M44" s="11">
        <f t="shared" ref="M44:M46" si="15">I44/(K44*SQRT(2*E44*(H44*6895)))</f>
        <v>0.79424915320672518</v>
      </c>
      <c r="N44" s="6">
        <f t="shared" si="10"/>
        <v>3372859462.8568335</v>
      </c>
      <c r="O44" s="11"/>
      <c r="P44" s="11"/>
      <c r="Q44" s="1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6.5">
      <c r="A45" s="9"/>
      <c r="B45" s="9" t="s">
        <v>198</v>
      </c>
      <c r="C45" s="59">
        <v>44867</v>
      </c>
      <c r="D45" s="10">
        <v>1.562E-3</v>
      </c>
      <c r="E45" s="10">
        <v>997</v>
      </c>
      <c r="F45" s="9">
        <v>1028</v>
      </c>
      <c r="G45" s="9">
        <v>5.15</v>
      </c>
      <c r="H45" s="9">
        <v>17.5</v>
      </c>
      <c r="I45" s="60">
        <f t="shared" si="11"/>
        <v>0.19961165048543689</v>
      </c>
      <c r="J45" s="61">
        <f t="shared" si="12"/>
        <v>20298.78645742665</v>
      </c>
      <c r="K45" s="62">
        <f t="shared" si="13"/>
        <v>1.5329539851999999E-5</v>
      </c>
      <c r="L45" s="50">
        <f t="shared" si="14"/>
        <v>1.2868773262710003E-5</v>
      </c>
      <c r="M45" s="60">
        <f t="shared" si="15"/>
        <v>0.83947550852487285</v>
      </c>
      <c r="N45" s="6">
        <f t="shared" si="10"/>
        <v>3019226580.6269312</v>
      </c>
      <c r="O45" s="11"/>
      <c r="P45" s="11"/>
      <c r="Q45" s="1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6.5">
      <c r="A46" s="9"/>
      <c r="B46" s="9" t="s">
        <v>198</v>
      </c>
      <c r="C46" s="59">
        <v>44867</v>
      </c>
      <c r="D46" s="10">
        <v>1.562E-3</v>
      </c>
      <c r="E46" s="10">
        <v>997</v>
      </c>
      <c r="F46" s="9">
        <v>1429</v>
      </c>
      <c r="G46" s="9">
        <v>5.95</v>
      </c>
      <c r="H46" s="9">
        <v>37.5</v>
      </c>
      <c r="I46" s="60">
        <f t="shared" si="11"/>
        <v>0.24016806722689077</v>
      </c>
      <c r="J46" s="61">
        <f t="shared" si="12"/>
        <v>24423.024901981953</v>
      </c>
      <c r="K46" s="62">
        <f t="shared" si="13"/>
        <v>1.5329539851999999E-5</v>
      </c>
      <c r="L46" s="50">
        <f t="shared" si="14"/>
        <v>1.0577180531318522E-5</v>
      </c>
      <c r="M46" s="60">
        <f t="shared" si="15"/>
        <v>0.68998682500822428</v>
      </c>
      <c r="N46" s="6">
        <f t="shared" si="10"/>
        <v>4469203913.8936243</v>
      </c>
      <c r="O46" s="11"/>
      <c r="P46" s="11"/>
      <c r="Q46" s="1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6.5">
      <c r="A47" s="2"/>
      <c r="B47" s="2"/>
      <c r="C47" s="58"/>
      <c r="D47" s="2"/>
      <c r="E47" s="9"/>
      <c r="F47" s="2"/>
      <c r="G47" s="2"/>
      <c r="H47" s="2"/>
      <c r="I47" s="60"/>
      <c r="J47" s="61"/>
      <c r="K47" s="62"/>
      <c r="L47" s="63"/>
      <c r="M47" s="60"/>
      <c r="N47" s="6" t="e">
        <f t="shared" si="0"/>
        <v>#DIV/0!</v>
      </c>
      <c r="O47" s="9"/>
      <c r="P47" s="9"/>
      <c r="Q47" s="9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6.5">
      <c r="A48" s="9"/>
      <c r="B48" s="2"/>
      <c r="C48" s="58"/>
      <c r="D48" s="9"/>
      <c r="E48" s="9"/>
      <c r="F48" s="2"/>
      <c r="G48" s="2"/>
      <c r="H48" s="2"/>
      <c r="I48" s="60"/>
      <c r="J48" s="61"/>
      <c r="K48" s="62"/>
      <c r="L48" s="63"/>
      <c r="M48" s="60"/>
      <c r="N48" s="6"/>
      <c r="O48" s="9"/>
      <c r="P48" s="9"/>
      <c r="Q48" s="9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6.5">
      <c r="A49" s="9"/>
      <c r="B49" s="2"/>
      <c r="C49" s="58"/>
      <c r="D49" s="9"/>
      <c r="E49" s="9"/>
      <c r="F49" s="2"/>
      <c r="G49" s="2"/>
      <c r="H49" s="2"/>
      <c r="I49" s="60"/>
      <c r="J49" s="61"/>
      <c r="K49" s="62"/>
      <c r="L49" s="63"/>
      <c r="M49" s="60"/>
      <c r="N49" s="6"/>
      <c r="O49" s="9"/>
      <c r="P49" s="9"/>
      <c r="Q49" s="65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6.5">
      <c r="A50" s="9"/>
      <c r="B50" s="2"/>
      <c r="C50" s="58"/>
      <c r="D50" s="9"/>
      <c r="E50" s="9"/>
      <c r="F50" s="2"/>
      <c r="G50" s="2"/>
      <c r="H50" s="2"/>
      <c r="I50" s="60"/>
      <c r="J50" s="61"/>
      <c r="K50" s="62"/>
      <c r="L50" s="63"/>
      <c r="M50" s="60"/>
      <c r="N50" s="6"/>
      <c r="O50" s="9"/>
      <c r="P50" s="9"/>
      <c r="Q50" s="9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6.5">
      <c r="A51" s="9"/>
      <c r="B51" s="2"/>
      <c r="C51" s="58"/>
      <c r="D51" s="9"/>
      <c r="E51" s="9"/>
      <c r="F51" s="2"/>
      <c r="G51" s="2"/>
      <c r="H51" s="2"/>
      <c r="I51" s="60"/>
      <c r="J51" s="61"/>
      <c r="K51" s="62"/>
      <c r="L51" s="63"/>
      <c r="M51" s="60"/>
      <c r="N51" s="6"/>
      <c r="O51" s="9"/>
      <c r="P51" s="9"/>
      <c r="Q51" s="9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6.5">
      <c r="A52" s="9"/>
      <c r="B52" s="2"/>
      <c r="C52" s="58"/>
      <c r="D52" s="9"/>
      <c r="E52" s="9"/>
      <c r="F52" s="2"/>
      <c r="G52" s="2"/>
      <c r="H52" s="2"/>
      <c r="I52" s="60"/>
      <c r="J52" s="61"/>
      <c r="K52" s="62"/>
      <c r="L52" s="63"/>
      <c r="M52" s="60"/>
      <c r="N52" s="6"/>
      <c r="O52" s="9"/>
      <c r="P52" s="9"/>
      <c r="Q52" s="9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6.5">
      <c r="A53" s="9"/>
      <c r="B53" s="2"/>
      <c r="C53" s="58"/>
      <c r="D53" s="9"/>
      <c r="E53" s="9"/>
      <c r="F53" s="2"/>
      <c r="G53" s="2"/>
      <c r="H53" s="2"/>
      <c r="I53" s="60"/>
      <c r="J53" s="61"/>
      <c r="K53" s="62"/>
      <c r="L53" s="63"/>
      <c r="M53" s="60"/>
      <c r="N53" s="6"/>
      <c r="O53" s="9"/>
      <c r="P53" s="9"/>
      <c r="Q53" s="9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6.5">
      <c r="A54" s="9"/>
      <c r="B54" s="2"/>
      <c r="C54" s="58"/>
      <c r="D54" s="9"/>
      <c r="E54" s="9"/>
      <c r="F54" s="2"/>
      <c r="G54" s="2"/>
      <c r="H54" s="2"/>
      <c r="I54" s="60"/>
      <c r="J54" s="61"/>
      <c r="K54" s="62"/>
      <c r="L54" s="63"/>
      <c r="M54" s="60"/>
      <c r="N54" s="6"/>
      <c r="O54" s="9"/>
      <c r="P54" s="9"/>
      <c r="Q54" s="9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6.5">
      <c r="A55" s="9"/>
      <c r="B55" s="2"/>
      <c r="C55" s="58"/>
      <c r="D55" s="9"/>
      <c r="E55" s="9"/>
      <c r="F55" s="2"/>
      <c r="G55" s="2"/>
      <c r="H55" s="2"/>
      <c r="I55" s="60"/>
      <c r="J55" s="61"/>
      <c r="K55" s="62"/>
      <c r="L55" s="63"/>
      <c r="M55" s="60"/>
      <c r="N55" s="6"/>
      <c r="O55" s="9"/>
      <c r="P55" s="9"/>
      <c r="Q55" s="9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6.5">
      <c r="A56" s="2" t="s">
        <v>202</v>
      </c>
      <c r="B56" s="2" t="s">
        <v>203</v>
      </c>
      <c r="C56" s="58">
        <v>44968</v>
      </c>
      <c r="D56" s="2">
        <v>1.5883E-3</v>
      </c>
      <c r="E56" s="10">
        <v>997</v>
      </c>
      <c r="F56" s="9">
        <v>2181</v>
      </c>
      <c r="G56" s="9">
        <v>5.75</v>
      </c>
      <c r="H56" s="9">
        <v>134</v>
      </c>
      <c r="I56" s="60">
        <f t="shared" ref="I56:I70" si="16">(F56*0.001)/G56</f>
        <v>0.37930434782608696</v>
      </c>
      <c r="J56" s="61">
        <f t="shared" ref="J56:J70" si="17">E56*D56*(I56/(K56*E56))/(0.001002)</f>
        <v>37933.289346843943</v>
      </c>
      <c r="K56" s="62">
        <f t="shared" ref="K56:K70" si="18">D56^2/4*3.1415*8</f>
        <v>1.5850104559870001E-5</v>
      </c>
      <c r="L56" s="63">
        <f t="shared" ref="L56:L70" si="19">10^6*I56/(SQRT(2*E56*(H56*6895)))</f>
        <v>8.837017386713784</v>
      </c>
      <c r="M56" s="60">
        <f t="shared" ref="M56:M70" si="20">I56/(K56*SQRT(2*E56*(H56*6895)))</f>
        <v>0.55753685115035367</v>
      </c>
      <c r="N56" s="6">
        <f t="shared" ref="N56:N70" si="21">1/(2*L56^2)</f>
        <v>6.4026326565755553E-3</v>
      </c>
      <c r="O56" s="2"/>
      <c r="P56" s="2"/>
      <c r="Q56" s="2">
        <v>0.67500000000000004</v>
      </c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6.5">
      <c r="A57" s="2" t="s">
        <v>202</v>
      </c>
      <c r="B57" s="2" t="s">
        <v>203</v>
      </c>
      <c r="C57" s="58">
        <v>44968</v>
      </c>
      <c r="D57" s="2">
        <v>1.5883E-3</v>
      </c>
      <c r="E57" s="10">
        <v>997</v>
      </c>
      <c r="F57" s="9">
        <v>3218</v>
      </c>
      <c r="G57" s="9">
        <v>7.48</v>
      </c>
      <c r="H57" s="9">
        <v>119</v>
      </c>
      <c r="I57" s="60">
        <f t="shared" si="16"/>
        <v>0.43021390374331547</v>
      </c>
      <c r="J57" s="61">
        <f t="shared" si="17"/>
        <v>43024.62807310871</v>
      </c>
      <c r="K57" s="62">
        <f t="shared" si="18"/>
        <v>1.5850104559870001E-5</v>
      </c>
      <c r="L57" s="63">
        <f t="shared" si="19"/>
        <v>10.636071519224641</v>
      </c>
      <c r="M57" s="60">
        <f t="shared" si="20"/>
        <v>0.67104109496876885</v>
      </c>
      <c r="N57" s="6">
        <f t="shared" si="21"/>
        <v>4.4198497539230273E-3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6.5">
      <c r="A58" s="2" t="s">
        <v>202</v>
      </c>
      <c r="B58" s="2" t="s">
        <v>203</v>
      </c>
      <c r="C58" s="58">
        <v>44968</v>
      </c>
      <c r="D58" s="2">
        <v>1.5883E-3</v>
      </c>
      <c r="E58" s="2">
        <v>997</v>
      </c>
      <c r="F58" s="2">
        <v>3083</v>
      </c>
      <c r="G58" s="2">
        <v>7.3</v>
      </c>
      <c r="H58" s="2">
        <v>134</v>
      </c>
      <c r="I58" s="60">
        <f t="shared" si="16"/>
        <v>0.42232876712328771</v>
      </c>
      <c r="J58" s="61">
        <f t="shared" si="17"/>
        <v>42236.055069236769</v>
      </c>
      <c r="K58" s="62">
        <f t="shared" si="18"/>
        <v>1.5850104559870001E-5</v>
      </c>
      <c r="L58" s="63">
        <f t="shared" si="19"/>
        <v>9.839398571010026</v>
      </c>
      <c r="M58" s="60">
        <f t="shared" si="20"/>
        <v>0.62077814905536033</v>
      </c>
      <c r="N58" s="6">
        <f t="shared" si="21"/>
        <v>5.1645548949493247E-3</v>
      </c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6.5">
      <c r="A59" s="2" t="s">
        <v>202</v>
      </c>
      <c r="B59" s="2" t="s">
        <v>203</v>
      </c>
      <c r="C59" s="58">
        <v>44968</v>
      </c>
      <c r="D59" s="2">
        <v>1.5883E-3</v>
      </c>
      <c r="E59" s="2">
        <v>997</v>
      </c>
      <c r="F59" s="2">
        <v>2833</v>
      </c>
      <c r="G59" s="2">
        <v>7.38</v>
      </c>
      <c r="H59" s="2">
        <v>124</v>
      </c>
      <c r="I59" s="60">
        <f t="shared" si="16"/>
        <v>0.38387533875338758</v>
      </c>
      <c r="J59" s="61">
        <f t="shared" si="17"/>
        <v>38390.422839884195</v>
      </c>
      <c r="K59" s="62">
        <f t="shared" si="18"/>
        <v>1.5850104559870001E-5</v>
      </c>
      <c r="L59" s="63">
        <f t="shared" si="19"/>
        <v>9.2971461457998164</v>
      </c>
      <c r="M59" s="60">
        <f t="shared" si="20"/>
        <v>0.58656686526464585</v>
      </c>
      <c r="N59" s="6">
        <f t="shared" si="21"/>
        <v>5.7845647745519528E-3</v>
      </c>
      <c r="O59" s="2"/>
      <c r="P59" s="2"/>
      <c r="Q59" s="2"/>
      <c r="R59" s="2"/>
      <c r="S59" s="2"/>
      <c r="T59" s="2"/>
      <c r="U59" s="62">
        <f>D62^2/4*3.1415*8</f>
        <v>1.5850104559870001E-5</v>
      </c>
      <c r="V59" s="2"/>
      <c r="W59" s="2"/>
      <c r="X59" s="2"/>
      <c r="Y59" s="2"/>
      <c r="Z59" s="2"/>
      <c r="AA59" s="2"/>
      <c r="AB59" s="2"/>
      <c r="AC59" s="2"/>
      <c r="AD59" s="2"/>
    </row>
    <row r="60" spans="1:30" ht="16.5">
      <c r="A60" s="2" t="s">
        <v>202</v>
      </c>
      <c r="B60" s="2" t="s">
        <v>203</v>
      </c>
      <c r="C60" s="58">
        <v>44968</v>
      </c>
      <c r="D60" s="2">
        <v>1.5883E-3</v>
      </c>
      <c r="E60" s="2">
        <v>997</v>
      </c>
      <c r="F60" s="2">
        <v>2971</v>
      </c>
      <c r="G60" s="2">
        <v>7.96</v>
      </c>
      <c r="H60" s="2">
        <v>114</v>
      </c>
      <c r="I60" s="60">
        <f t="shared" si="16"/>
        <v>0.37324120603015076</v>
      </c>
      <c r="J60" s="61">
        <f t="shared" si="17"/>
        <v>37326.929537328542</v>
      </c>
      <c r="K60" s="62">
        <f t="shared" si="18"/>
        <v>1.5850104559870001E-5</v>
      </c>
      <c r="L60" s="63">
        <f t="shared" si="19"/>
        <v>9.4277367262360219</v>
      </c>
      <c r="M60" s="60">
        <f t="shared" si="20"/>
        <v>0.59480596425247467</v>
      </c>
      <c r="N60" s="6">
        <f t="shared" si="21"/>
        <v>5.625422061262461E-3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6.5">
      <c r="A61" s="2" t="s">
        <v>202</v>
      </c>
      <c r="B61" s="2" t="s">
        <v>203</v>
      </c>
      <c r="C61" s="58">
        <v>44968</v>
      </c>
      <c r="D61" s="2">
        <v>1.5883E-3</v>
      </c>
      <c r="E61" s="2">
        <v>997</v>
      </c>
      <c r="F61" s="2">
        <v>2890</v>
      </c>
      <c r="G61" s="2">
        <v>7.8</v>
      </c>
      <c r="H61" s="2">
        <v>114</v>
      </c>
      <c r="I61" s="60">
        <f t="shared" si="16"/>
        <v>0.37051282051282053</v>
      </c>
      <c r="J61" s="61">
        <f t="shared" si="17"/>
        <v>37054.070452343622</v>
      </c>
      <c r="K61" s="62">
        <f t="shared" si="18"/>
        <v>1.5850104559870001E-5</v>
      </c>
      <c r="L61" s="63">
        <f t="shared" si="19"/>
        <v>9.3588201652307319</v>
      </c>
      <c r="M61" s="60">
        <f t="shared" si="20"/>
        <v>0.59045794492269843</v>
      </c>
      <c r="N61" s="6">
        <f t="shared" si="21"/>
        <v>5.7085761669999164E-3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6.5">
      <c r="A62" s="2" t="s">
        <v>202</v>
      </c>
      <c r="B62" s="2" t="s">
        <v>203</v>
      </c>
      <c r="C62" s="58">
        <v>44968</v>
      </c>
      <c r="D62" s="2">
        <v>1.5883E-3</v>
      </c>
      <c r="E62" s="2">
        <v>997</v>
      </c>
      <c r="F62" s="2">
        <v>2939</v>
      </c>
      <c r="G62" s="2">
        <v>7.96</v>
      </c>
      <c r="H62" s="2">
        <v>114</v>
      </c>
      <c r="I62" s="60">
        <f t="shared" si="16"/>
        <v>0.3692211055276382</v>
      </c>
      <c r="J62" s="61">
        <f t="shared" si="17"/>
        <v>36924.889232651825</v>
      </c>
      <c r="K62" s="62">
        <f t="shared" si="18"/>
        <v>1.5850104559870001E-5</v>
      </c>
      <c r="L62" s="63">
        <f t="shared" si="19"/>
        <v>9.3261926080133524</v>
      </c>
      <c r="M62" s="60">
        <f t="shared" si="20"/>
        <v>0.58839943754224944</v>
      </c>
      <c r="N62" s="6">
        <f t="shared" si="21"/>
        <v>5.7485887877897412E-3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6.5">
      <c r="A63" s="2" t="s">
        <v>202</v>
      </c>
      <c r="B63" s="2" t="s">
        <v>203</v>
      </c>
      <c r="C63" s="58">
        <v>44968</v>
      </c>
      <c r="D63" s="2">
        <v>1.5883E-3</v>
      </c>
      <c r="E63" s="2">
        <v>997</v>
      </c>
      <c r="F63" s="2">
        <v>2831</v>
      </c>
      <c r="G63" s="2">
        <v>7.68</v>
      </c>
      <c r="H63" s="2">
        <v>114</v>
      </c>
      <c r="I63" s="64">
        <f t="shared" si="16"/>
        <v>0.3686197916666667</v>
      </c>
      <c r="J63" s="61">
        <f t="shared" si="17"/>
        <v>36864.753321193835</v>
      </c>
      <c r="K63" s="62">
        <f t="shared" si="18"/>
        <v>1.5850104559870001E-5</v>
      </c>
      <c r="L63" s="63">
        <f t="shared" si="19"/>
        <v>9.3110039614237312</v>
      </c>
      <c r="M63" s="60">
        <f t="shared" si="20"/>
        <v>0.58744116963100323</v>
      </c>
      <c r="N63" s="6">
        <f t="shared" si="21"/>
        <v>5.7673589438503236E-3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6.5">
      <c r="A64" s="9" t="s">
        <v>205</v>
      </c>
      <c r="B64" s="9" t="s">
        <v>203</v>
      </c>
      <c r="C64" s="66">
        <v>44975</v>
      </c>
      <c r="D64" s="2">
        <v>1.5883E-3</v>
      </c>
      <c r="E64" s="9">
        <v>997</v>
      </c>
      <c r="F64" s="9">
        <v>1520</v>
      </c>
      <c r="G64" s="9">
        <v>5.75</v>
      </c>
      <c r="H64" s="9">
        <v>40.700000000000003</v>
      </c>
      <c r="I64" s="60">
        <f t="shared" si="16"/>
        <v>0.26434782608695651</v>
      </c>
      <c r="J64" s="61">
        <f t="shared" si="17"/>
        <v>26436.772034480873</v>
      </c>
      <c r="K64" s="62">
        <f t="shared" si="18"/>
        <v>1.5850104559870001E-5</v>
      </c>
      <c r="L64" s="63">
        <f t="shared" si="19"/>
        <v>11.17503331177142</v>
      </c>
      <c r="M64" s="60">
        <f t="shared" si="20"/>
        <v>0.70504476923545778</v>
      </c>
      <c r="N64" s="6">
        <f t="shared" si="21"/>
        <v>4.0037997815448633E-3</v>
      </c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6.5">
      <c r="A65" s="9" t="s">
        <v>205</v>
      </c>
      <c r="B65" s="9" t="s">
        <v>203</v>
      </c>
      <c r="C65" s="66">
        <v>44975</v>
      </c>
      <c r="D65" s="2">
        <v>1.5883E-3</v>
      </c>
      <c r="E65" s="9">
        <v>997</v>
      </c>
      <c r="F65" s="9">
        <v>1205</v>
      </c>
      <c r="G65" s="9">
        <v>4.13</v>
      </c>
      <c r="H65" s="9">
        <v>45.6</v>
      </c>
      <c r="I65" s="60">
        <f t="shared" si="16"/>
        <v>0.29176755447941893</v>
      </c>
      <c r="J65" s="61">
        <f t="shared" si="17"/>
        <v>29178.951228799127</v>
      </c>
      <c r="K65" s="62">
        <f t="shared" si="18"/>
        <v>1.5850104559870001E-5</v>
      </c>
      <c r="L65" s="63">
        <f t="shared" si="19"/>
        <v>11.652654280522521</v>
      </c>
      <c r="M65" s="60">
        <f t="shared" si="20"/>
        <v>0.73517838551205716</v>
      </c>
      <c r="N65" s="6">
        <f t="shared" si="21"/>
        <v>3.6823094372835179E-3</v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6.5">
      <c r="A66" s="9" t="s">
        <v>205</v>
      </c>
      <c r="B66" s="9" t="s">
        <v>203</v>
      </c>
      <c r="C66" s="66">
        <v>44975</v>
      </c>
      <c r="D66" s="2">
        <v>1.5883E-3</v>
      </c>
      <c r="E66" s="9">
        <v>997</v>
      </c>
      <c r="F66" s="9">
        <v>1390</v>
      </c>
      <c r="G66" s="9">
        <v>4.9000000000000004</v>
      </c>
      <c r="H66" s="9">
        <v>46.7</v>
      </c>
      <c r="I66" s="60">
        <f t="shared" si="16"/>
        <v>0.28367346938775512</v>
      </c>
      <c r="J66" s="61">
        <f t="shared" si="17"/>
        <v>28369.481805261603</v>
      </c>
      <c r="K66" s="62">
        <f t="shared" si="18"/>
        <v>1.5850104559870001E-5</v>
      </c>
      <c r="L66" s="63">
        <f t="shared" si="19"/>
        <v>11.19516677570474</v>
      </c>
      <c r="M66" s="60">
        <f t="shared" si="20"/>
        <v>0.70631501094631033</v>
      </c>
      <c r="N66" s="6">
        <f t="shared" si="21"/>
        <v>3.9894118094845003E-3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6.5">
      <c r="A67" s="9" t="s">
        <v>205</v>
      </c>
      <c r="B67" s="9" t="s">
        <v>203</v>
      </c>
      <c r="C67" s="66">
        <v>44975</v>
      </c>
      <c r="D67" s="2">
        <v>1.5883E-3</v>
      </c>
      <c r="E67" s="9">
        <v>997</v>
      </c>
      <c r="F67" s="2">
        <v>1115</v>
      </c>
      <c r="G67" s="2">
        <v>8.07</v>
      </c>
      <c r="H67" s="2">
        <v>21</v>
      </c>
      <c r="I67" s="60">
        <f t="shared" si="16"/>
        <v>0.13816604708798016</v>
      </c>
      <c r="J67" s="61">
        <f t="shared" si="17"/>
        <v>13817.644517223107</v>
      </c>
      <c r="K67" s="62">
        <f t="shared" si="18"/>
        <v>1.5850104559870001E-5</v>
      </c>
      <c r="L67" s="63">
        <f t="shared" si="19"/>
        <v>8.1313372331644853</v>
      </c>
      <c r="M67" s="60">
        <f t="shared" si="20"/>
        <v>0.51301473769149541</v>
      </c>
      <c r="N67" s="6">
        <f t="shared" si="21"/>
        <v>7.5621634183784111E-3</v>
      </c>
      <c r="O67" s="9"/>
      <c r="P67" s="9"/>
      <c r="Q67" s="9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6.5">
      <c r="A68" s="9" t="s">
        <v>205</v>
      </c>
      <c r="B68" s="9" t="s">
        <v>203</v>
      </c>
      <c r="C68" s="66">
        <v>44975</v>
      </c>
      <c r="D68" s="2">
        <v>1.5883E-3</v>
      </c>
      <c r="E68" s="9">
        <v>997</v>
      </c>
      <c r="F68" s="2">
        <v>935</v>
      </c>
      <c r="G68" s="2">
        <v>7.28</v>
      </c>
      <c r="H68" s="2">
        <v>26.3</v>
      </c>
      <c r="I68" s="60">
        <f t="shared" si="16"/>
        <v>0.12843406593406595</v>
      </c>
      <c r="J68" s="61">
        <f t="shared" si="17"/>
        <v>12844.373161001466</v>
      </c>
      <c r="K68" s="62">
        <f t="shared" si="18"/>
        <v>1.5850104559870001E-5</v>
      </c>
      <c r="L68" s="63">
        <f t="shared" si="19"/>
        <v>6.754180227034829</v>
      </c>
      <c r="M68" s="60">
        <f t="shared" si="20"/>
        <v>0.42612843350796326</v>
      </c>
      <c r="N68" s="6">
        <f t="shared" si="21"/>
        <v>1.0960357353455685E-2</v>
      </c>
      <c r="O68" s="9"/>
      <c r="P68" s="9"/>
      <c r="Q68" s="9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6.5">
      <c r="A69" s="9" t="s">
        <v>205</v>
      </c>
      <c r="B69" s="9" t="s">
        <v>203</v>
      </c>
      <c r="C69" s="66">
        <v>44975</v>
      </c>
      <c r="D69" s="2">
        <v>1.5883E-3</v>
      </c>
      <c r="E69" s="9">
        <v>997</v>
      </c>
      <c r="F69" s="2">
        <v>967</v>
      </c>
      <c r="G69" s="2">
        <v>5.73</v>
      </c>
      <c r="H69" s="2">
        <v>43.2</v>
      </c>
      <c r="I69" s="60">
        <f t="shared" si="16"/>
        <v>0.16876090750436298</v>
      </c>
      <c r="J69" s="61">
        <f t="shared" si="17"/>
        <v>16877.360809304937</v>
      </c>
      <c r="K69" s="62">
        <f t="shared" si="18"/>
        <v>1.5850104559870001E-5</v>
      </c>
      <c r="L69" s="63">
        <f t="shared" si="19"/>
        <v>6.924688891916138</v>
      </c>
      <c r="M69" s="60">
        <f t="shared" si="20"/>
        <v>0.43688600701400876</v>
      </c>
      <c r="N69" s="6">
        <f t="shared" si="21"/>
        <v>1.0427242443043605E-2</v>
      </c>
      <c r="O69" s="9"/>
      <c r="P69" s="9"/>
      <c r="Q69" s="9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6.5">
      <c r="A70" s="9" t="s">
        <v>205</v>
      </c>
      <c r="B70" s="9" t="s">
        <v>203</v>
      </c>
      <c r="C70" s="66">
        <v>44975</v>
      </c>
      <c r="D70" s="2">
        <v>1.5883E-3</v>
      </c>
      <c r="E70" s="9">
        <v>997</v>
      </c>
      <c r="F70" s="2">
        <v>1100</v>
      </c>
      <c r="G70" s="2">
        <v>5.51</v>
      </c>
      <c r="H70" s="2">
        <v>27.2</v>
      </c>
      <c r="I70" s="60">
        <f t="shared" si="16"/>
        <v>0.19963702359346644</v>
      </c>
      <c r="J70" s="61">
        <f t="shared" si="17"/>
        <v>19965.204785329493</v>
      </c>
      <c r="K70" s="62">
        <f t="shared" si="18"/>
        <v>1.5850104559870001E-5</v>
      </c>
      <c r="L70" s="63">
        <f t="shared" si="19"/>
        <v>10.323499047506552</v>
      </c>
      <c r="M70" s="60">
        <f t="shared" si="20"/>
        <v>0.65132056438567887</v>
      </c>
      <c r="N70" s="6">
        <f t="shared" si="21"/>
        <v>4.6915479591874368E-3</v>
      </c>
      <c r="O70" s="9"/>
      <c r="P70" s="9"/>
      <c r="Q70" s="9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6.5">
      <c r="A71" s="2"/>
      <c r="B71" s="2"/>
      <c r="C71" s="70"/>
      <c r="D71" s="9"/>
      <c r="E71" s="2"/>
      <c r="F71" s="2"/>
      <c r="G71" s="2"/>
      <c r="H71" s="2"/>
      <c r="I71" s="60"/>
      <c r="J71" s="2"/>
      <c r="K71" s="62"/>
      <c r="L71" s="63"/>
      <c r="M71" s="60"/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6.5">
      <c r="A72" s="9"/>
      <c r="B72" s="9" t="s">
        <v>218</v>
      </c>
      <c r="C72" s="68">
        <v>45339</v>
      </c>
      <c r="D72" s="2">
        <v>1.5621000000000001E-3</v>
      </c>
      <c r="E72" s="9">
        <v>997</v>
      </c>
      <c r="F72" s="2">
        <f>1545-800</f>
        <v>745</v>
      </c>
      <c r="G72" s="2">
        <v>3.32</v>
      </c>
      <c r="H72" s="2">
        <f t="shared" ref="H71:H77" si="22">(R72-S72)/(LN(R72/S72))</f>
        <v>75.841841973991421</v>
      </c>
      <c r="I72" s="60">
        <f t="shared" ref="I68:I77" si="23">(F72*0.001)/G72</f>
        <v>0.2243975903614458</v>
      </c>
      <c r="J72" s="61">
        <f t="shared" ref="J72:J77" si="24">E72*D72*(I72/(K72*E72))/(0.001002)</f>
        <v>22817.842358710444</v>
      </c>
      <c r="K72" s="62">
        <f t="shared" ref="K68:K77" si="25">D72^2/4*3.1415*8</f>
        <v>1.5331502724030003E-5</v>
      </c>
      <c r="L72" s="63">
        <f t="shared" ref="L68:L77" si="26">I72/(SQRT(2*E72*(H72*6895)))</f>
        <v>6.9491876747660603E-6</v>
      </c>
      <c r="M72" s="60">
        <f t="shared" ref="M68:M77" si="27">I72/(K72*SQRT(2*E72*(H72*6895)))</f>
        <v>0.45326200567894576</v>
      </c>
      <c r="N72" s="6">
        <f t="shared" si="0"/>
        <v>10353851287.690821</v>
      </c>
      <c r="O72" s="2"/>
      <c r="P72" s="2"/>
      <c r="Q72" s="2"/>
      <c r="R72" s="2">
        <v>82</v>
      </c>
      <c r="S72" s="2">
        <v>70</v>
      </c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6.5">
      <c r="A73" s="9"/>
      <c r="B73" s="72" t="s">
        <v>218</v>
      </c>
      <c r="C73" s="68">
        <v>45339</v>
      </c>
      <c r="D73" s="2">
        <v>1.5621000000000001E-3</v>
      </c>
      <c r="E73" s="9">
        <v>997</v>
      </c>
      <c r="F73" s="2">
        <f>2035-785</f>
        <v>1250</v>
      </c>
      <c r="G73" s="2">
        <v>5.25</v>
      </c>
      <c r="H73" s="2">
        <f t="shared" si="22"/>
        <v>75.559360022049646</v>
      </c>
      <c r="I73" s="60">
        <f t="shared" si="23"/>
        <v>0.23809523809523808</v>
      </c>
      <c r="J73" s="61">
        <f t="shared" si="24"/>
        <v>24210.686043757963</v>
      </c>
      <c r="K73" s="62">
        <f t="shared" si="25"/>
        <v>1.5331502724030003E-5</v>
      </c>
      <c r="L73" s="63">
        <f t="shared" si="26"/>
        <v>7.3871490516186645E-6</v>
      </c>
      <c r="M73" s="60">
        <f t="shared" si="27"/>
        <v>0.48182811460746988</v>
      </c>
      <c r="N73" s="6">
        <f t="shared" si="0"/>
        <v>9162548372.7031822</v>
      </c>
      <c r="O73" s="2"/>
      <c r="P73" s="2"/>
      <c r="Q73" s="2"/>
      <c r="R73" s="2">
        <v>86</v>
      </c>
      <c r="S73" s="2">
        <v>66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6.5">
      <c r="A74" s="9"/>
      <c r="B74" s="72" t="s">
        <v>218</v>
      </c>
      <c r="C74" s="68">
        <v>45339</v>
      </c>
      <c r="D74" s="2">
        <v>1.5621000000000001E-3</v>
      </c>
      <c r="E74" s="9">
        <v>997</v>
      </c>
      <c r="F74" s="2">
        <f>1870-800</f>
        <v>1070</v>
      </c>
      <c r="G74" s="2">
        <v>4.8099999999999996</v>
      </c>
      <c r="H74" s="2">
        <f t="shared" si="22"/>
        <v>59.440268239769239</v>
      </c>
      <c r="I74" s="60">
        <f t="shared" si="23"/>
        <v>0.22245322245322249</v>
      </c>
      <c r="J74" s="61">
        <f t="shared" si="24"/>
        <v>22620.129538596324</v>
      </c>
      <c r="K74" s="62">
        <f t="shared" si="25"/>
        <v>1.5331502724030003E-5</v>
      </c>
      <c r="L74" s="63">
        <f t="shared" si="26"/>
        <v>7.7815947301622893E-6</v>
      </c>
      <c r="M74" s="60">
        <f t="shared" si="27"/>
        <v>0.50755590435148401</v>
      </c>
      <c r="N74" s="6">
        <f t="shared" si="0"/>
        <v>8257199675.4729156</v>
      </c>
      <c r="O74" s="2"/>
      <c r="P74" s="2"/>
      <c r="Q74" s="2"/>
      <c r="R74" s="2">
        <v>70</v>
      </c>
      <c r="S74" s="2">
        <v>50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6.5">
      <c r="A75" s="9"/>
      <c r="B75" s="72" t="s">
        <v>218</v>
      </c>
      <c r="C75" s="68">
        <v>45339</v>
      </c>
      <c r="D75" s="2">
        <v>1.5621000000000001E-3</v>
      </c>
      <c r="E75" s="9">
        <v>997</v>
      </c>
      <c r="F75" s="2">
        <f>1845-805</f>
        <v>1040</v>
      </c>
      <c r="G75" s="2">
        <v>4.6500000000000004</v>
      </c>
      <c r="H75" s="2">
        <f t="shared" si="22"/>
        <v>58.539498110814144</v>
      </c>
      <c r="I75" s="60">
        <f t="shared" si="23"/>
        <v>0.2236559139784946</v>
      </c>
      <c r="J75" s="61">
        <f t="shared" si="24"/>
        <v>22742.425083684899</v>
      </c>
      <c r="K75" s="62">
        <f t="shared" si="25"/>
        <v>1.5331502724030003E-5</v>
      </c>
      <c r="L75" s="63">
        <f t="shared" si="26"/>
        <v>7.8836289716058119E-6</v>
      </c>
      <c r="M75" s="60">
        <f t="shared" si="27"/>
        <v>0.51421110595045039</v>
      </c>
      <c r="N75" s="6">
        <f t="shared" si="0"/>
        <v>8044844439.1788607</v>
      </c>
      <c r="O75" s="2"/>
      <c r="P75" s="2"/>
      <c r="Q75" s="2"/>
      <c r="R75" s="2">
        <v>68</v>
      </c>
      <c r="S75" s="2">
        <v>50</v>
      </c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6.5">
      <c r="A76" s="9"/>
      <c r="B76" s="72" t="s">
        <v>218</v>
      </c>
      <c r="C76" s="68">
        <v>45339</v>
      </c>
      <c r="D76" s="2">
        <v>1.5621000000000001E-3</v>
      </c>
      <c r="E76" s="9">
        <v>997</v>
      </c>
      <c r="F76" s="2">
        <f>1825-785</f>
        <v>1040</v>
      </c>
      <c r="G76" s="2">
        <v>4.09</v>
      </c>
      <c r="H76" s="2">
        <f t="shared" si="22"/>
        <v>77.380682393957301</v>
      </c>
      <c r="I76" s="60">
        <f t="shared" si="23"/>
        <v>0.25427872860635697</v>
      </c>
      <c r="J76" s="61">
        <f t="shared" si="24"/>
        <v>25856.302356756671</v>
      </c>
      <c r="K76" s="62">
        <f t="shared" si="25"/>
        <v>1.5331502724030003E-5</v>
      </c>
      <c r="L76" s="63">
        <f t="shared" si="26"/>
        <v>7.7958601804391901E-6</v>
      </c>
      <c r="M76" s="60">
        <f t="shared" si="27"/>
        <v>0.50848637089045823</v>
      </c>
      <c r="N76" s="6">
        <f t="shared" si="0"/>
        <v>8227008036.388586</v>
      </c>
      <c r="O76" s="2"/>
      <c r="P76" s="2"/>
      <c r="Q76" s="2"/>
      <c r="R76" s="2">
        <v>90</v>
      </c>
      <c r="S76" s="2">
        <v>66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6.5">
      <c r="A77" s="9"/>
      <c r="B77" s="72" t="s">
        <v>218</v>
      </c>
      <c r="C77" s="68">
        <v>45339</v>
      </c>
      <c r="D77" s="2">
        <v>1.5621000000000001E-3</v>
      </c>
      <c r="E77" s="9">
        <v>997</v>
      </c>
      <c r="F77" s="2">
        <f>1870-790</f>
        <v>1080</v>
      </c>
      <c r="G77" s="2">
        <v>4.07</v>
      </c>
      <c r="H77" s="2">
        <f t="shared" si="22"/>
        <v>92.824106636844263</v>
      </c>
      <c r="I77" s="60">
        <f t="shared" si="23"/>
        <v>0.26535626535626533</v>
      </c>
      <c r="J77" s="61">
        <f t="shared" si="24"/>
        <v>26982.720367195605</v>
      </c>
      <c r="K77" s="62">
        <f t="shared" si="25"/>
        <v>1.5331502724030003E-5</v>
      </c>
      <c r="L77" s="63">
        <f t="shared" si="26"/>
        <v>7.4279546734063065E-6</v>
      </c>
      <c r="M77" s="60">
        <f t="shared" si="27"/>
        <v>0.48448966856745346</v>
      </c>
      <c r="N77" s="6">
        <f t="shared" si="0"/>
        <v>9062155591.2181835</v>
      </c>
      <c r="O77" s="2"/>
      <c r="P77" s="2"/>
      <c r="Q77" s="2"/>
      <c r="R77" s="2">
        <v>100</v>
      </c>
      <c r="S77" s="2">
        <v>86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2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73">
        <f>(AVERAGE(L72:L77))</f>
        <v>7.5375625469997207E-6</v>
      </c>
      <c r="M78" s="2"/>
      <c r="N78" s="6">
        <f t="shared" si="0"/>
        <v>8800516193.9357243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2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6" t="e">
        <f t="shared" si="0"/>
        <v>#DIV/0!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2.3">
      <c r="A80" s="2"/>
      <c r="B80" s="2"/>
      <c r="C80" s="2"/>
      <c r="D80" s="2"/>
      <c r="E80" s="2"/>
      <c r="F80" s="2"/>
      <c r="G80" s="2"/>
      <c r="H80" s="2"/>
      <c r="I80" s="2"/>
      <c r="J80" s="2" t="s">
        <v>221</v>
      </c>
      <c r="K80" s="2" t="s">
        <v>222</v>
      </c>
      <c r="L80" s="2" t="s">
        <v>223</v>
      </c>
      <c r="M80" s="2"/>
      <c r="N80" s="6" t="e">
        <f t="shared" si="0"/>
        <v>#VALUE!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2.3">
      <c r="A81" s="2"/>
      <c r="B81" s="2"/>
      <c r="C81" s="2"/>
      <c r="D81" s="2"/>
      <c r="E81" s="2"/>
      <c r="F81" s="2"/>
      <c r="G81" s="2"/>
      <c r="H81" s="2"/>
      <c r="I81" s="2"/>
      <c r="J81" s="2">
        <v>0.1</v>
      </c>
      <c r="K81" s="2"/>
      <c r="L81" s="2"/>
      <c r="M81" s="2"/>
      <c r="N81" s="6" t="e">
        <f t="shared" si="0"/>
        <v>#DIV/0!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2.3">
      <c r="A82" s="2"/>
      <c r="B82" s="2"/>
      <c r="C82" s="2"/>
      <c r="D82" s="2"/>
      <c r="E82" s="2"/>
      <c r="F82" s="2"/>
      <c r="G82" s="2"/>
      <c r="H82" s="2"/>
      <c r="I82" s="2"/>
      <c r="J82" s="2">
        <f>J81+0.05</f>
        <v>0.15000000000000002</v>
      </c>
      <c r="K82" s="2"/>
      <c r="L82" s="2"/>
      <c r="M82" s="2"/>
      <c r="N82" s="6" t="e">
        <f t="shared" si="0"/>
        <v>#DIV/0!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2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6" t="e">
        <f t="shared" si="0"/>
        <v>#DIV/0!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2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2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2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2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2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2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2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2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2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2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2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2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2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2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2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2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2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2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6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2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6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2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6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2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6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2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6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2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6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2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2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6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2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2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6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2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6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2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6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2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6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2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6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2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6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2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6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2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6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2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6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2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6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2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6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2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6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2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6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2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6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2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6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2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6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2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6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2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6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2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6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2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6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2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6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2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6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2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6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2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6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2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6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2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6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2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6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2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6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2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6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2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6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2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6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2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6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2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6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2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6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2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6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2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6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2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6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2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6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2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6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2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6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2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6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2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6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2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6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2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6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2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6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2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6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2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6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2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6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2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6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2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6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2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6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2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6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2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6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2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6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2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6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2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6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2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6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2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6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2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6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2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6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2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6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2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6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2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6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2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6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2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6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2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6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2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6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2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6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2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6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2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6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2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6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2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6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2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6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2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6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2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6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2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6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2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6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2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6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2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6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2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6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2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6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2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6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2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6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2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6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2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6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2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6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2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6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2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6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2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6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2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6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2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6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2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6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2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6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2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6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2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6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2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6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2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6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2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6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2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6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2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6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2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6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2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6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2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6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2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6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2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6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2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6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2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6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2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6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2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6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2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6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2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6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2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6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2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6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2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6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2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6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2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6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2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6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2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6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2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6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2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6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2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6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2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6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2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6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2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6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2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6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2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6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2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6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2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6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2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6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2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6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2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6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2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6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2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6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2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6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2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6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2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6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2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6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2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6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2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6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2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6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2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6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2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6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2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6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2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6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2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6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2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6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2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6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2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6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2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6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2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6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2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6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2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6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2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6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2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6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2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6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2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6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2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6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2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6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2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6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2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6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2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6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2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6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2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6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2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6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2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6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2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6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2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6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2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6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2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6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2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6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2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6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2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6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2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6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2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6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2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6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2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6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2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6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2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6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2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6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2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6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2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6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2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6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2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6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2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6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2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6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2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6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2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6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2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6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2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6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2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6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2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6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2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6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2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6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2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6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2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6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2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6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2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6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2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6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2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6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2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6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2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6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2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6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2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6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2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6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2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6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2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6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2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6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2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6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2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6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2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6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2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6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2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6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2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6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2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6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2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6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2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6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2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6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2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6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2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6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2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6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2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6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2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6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2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6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2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6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2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6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2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6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2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6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2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6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2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6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2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6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2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6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2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6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2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6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2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6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2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6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2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6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2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6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2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6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2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6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2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6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2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6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2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6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2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6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2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6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2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6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2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6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2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6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2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6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2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6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2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6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2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6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2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6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2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6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2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6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2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6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2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6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2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6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2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6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2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6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2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6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2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6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2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6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2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6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2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6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2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6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2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6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2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6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2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6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2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6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2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6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2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6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2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6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2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6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2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6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2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6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2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6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2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6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2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6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2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6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2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6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2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6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2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6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2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6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2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6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2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6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2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6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2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6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2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6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2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6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2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6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2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6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2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6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2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6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2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6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2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6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2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6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2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6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2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6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2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6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2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6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2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6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2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6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2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6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2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6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2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6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2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6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2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6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2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6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2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6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2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6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2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6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2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6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2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6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2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6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2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6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2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6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2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6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2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6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2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6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2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6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2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6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2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6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2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6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2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6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2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6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2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6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2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6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2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6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2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6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2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6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2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6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2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6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2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6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2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6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2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6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2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6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2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6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2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6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2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6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2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6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2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6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2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6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2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6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2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6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2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6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2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6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2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6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2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6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2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6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2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6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2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6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2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6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2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6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2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6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2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6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2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6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2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6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2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6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2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6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2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6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2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6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2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6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2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6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2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6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2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6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2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6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2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6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2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6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2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6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2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6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2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6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2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6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2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6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2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6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2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6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2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6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2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6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2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6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2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6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2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6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2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6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2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6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2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6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2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6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2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6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2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6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2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6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2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6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2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6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2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6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2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6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2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6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2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6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2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6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2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6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2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6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2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6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2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6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2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6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2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6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2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6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2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6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2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6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2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6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2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6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2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6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2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6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2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6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2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6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2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6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2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6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2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6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2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6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2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6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2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6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2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6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2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6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2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6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2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6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2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6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2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6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2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6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2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6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2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6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2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6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2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6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2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6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2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6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2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6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2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6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2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6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2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6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2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6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2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6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2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6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2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6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2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6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2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6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2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6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2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6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2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6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2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6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2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6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2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6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2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6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2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6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2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6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2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6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2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6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2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6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2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6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2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6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2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6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2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6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2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6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2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6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2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6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2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6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2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6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2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6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2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6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2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6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2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6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2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6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2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6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2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6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2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6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2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6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2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6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2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6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2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6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2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6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2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6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2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6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2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6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2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6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2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6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2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6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2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6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2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6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2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6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2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6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2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6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2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6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2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6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2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6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2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6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2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6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2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6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2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6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2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6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2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6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2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6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2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6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2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6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2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6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2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6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2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6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2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6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2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6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2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6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2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6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2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6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2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6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2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6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2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6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2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6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2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6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2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6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2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6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2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6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2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6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2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6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2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6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2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6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2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6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2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6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2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6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2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6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2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6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2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6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2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6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2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6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2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6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2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6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2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6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2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6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2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6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2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6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2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6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2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6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2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6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2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6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2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6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2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6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2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6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2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6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2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6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2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6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2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6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2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6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2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6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2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6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2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6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2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6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2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6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2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6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2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6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2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6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2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6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2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6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2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6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2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6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2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6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2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6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2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6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2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6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2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6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2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6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2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6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2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6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2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6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2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6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2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6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2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6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2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6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2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6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2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6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2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6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2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6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2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6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2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6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2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6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2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6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2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6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2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6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2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6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2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6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2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6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2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6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2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6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2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6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2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6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2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6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2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6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2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6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2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6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2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6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2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6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2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6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2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6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2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6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2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6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2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6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2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6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2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6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2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6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2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6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2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6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2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6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2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6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2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6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2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6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2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6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2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6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2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6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2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6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2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6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2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6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2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6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2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6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2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6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2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6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2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6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2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6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2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6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2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6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2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6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2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6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2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6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2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6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2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6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2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6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2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6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2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6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2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6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2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6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2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6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2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6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2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6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2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6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2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6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2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6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2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6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2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6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2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6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2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6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2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6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2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6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2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6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2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6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2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6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2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6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2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6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2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6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2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6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2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6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2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6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2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6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2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6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2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6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2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6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2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6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2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6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2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6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2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6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2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6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2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6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2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6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2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6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2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6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2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6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2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6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2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6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2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6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2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6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2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6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2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6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2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6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2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6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2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6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2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6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2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6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2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6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2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6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2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6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2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6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2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6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2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6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2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6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2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6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2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6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2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6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2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6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2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6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2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6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2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6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2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6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2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6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2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6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2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6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2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6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2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6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2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6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2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6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2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6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2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6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2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6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2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6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2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6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2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6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2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6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2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6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2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6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2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6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2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6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2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6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2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6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2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6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2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6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2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6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2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6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2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6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2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6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2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6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2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6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2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6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2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6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2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6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2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6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2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6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2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6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2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6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2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6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2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6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2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6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2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6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2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6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2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6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2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6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2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6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2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6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2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6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2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6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2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6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2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6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2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6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2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6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2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6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2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6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2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6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2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6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2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6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2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6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2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6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2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6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2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6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2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6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2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6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2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6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2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6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2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6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2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6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2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6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2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6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2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6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2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6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2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6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2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6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2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6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2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6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2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6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2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6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2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6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2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6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2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6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2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6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</sheetData>
  <printOptions horizontalCentered="1" gridLines="1"/>
  <pageMargins left="0.7" right="0.7" top="0.75" bottom="0.75" header="0" footer="0"/>
  <pageSetup pageOrder="overThenDown" orientation="landscape" cellComments="atEnd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L61"/>
  <sheetViews>
    <sheetView workbookViewId="0"/>
  </sheetViews>
  <sheetFormatPr defaultColWidth="12.609375" defaultRowHeight="15.75" customHeight="1"/>
  <cols>
    <col min="1" max="1" width="17.5" customWidth="1"/>
  </cols>
  <sheetData>
    <row r="1" spans="1:12" ht="15.75" customHeight="1">
      <c r="A1" s="156" t="s">
        <v>246</v>
      </c>
      <c r="B1" s="152"/>
      <c r="C1" s="152"/>
      <c r="D1" s="152"/>
      <c r="E1" s="152"/>
      <c r="F1" s="94"/>
      <c r="G1" s="94"/>
    </row>
    <row r="2" spans="1:12" ht="15.75" customHeight="1">
      <c r="A2" s="157" t="s">
        <v>247</v>
      </c>
      <c r="B2" s="152"/>
      <c r="C2" s="152"/>
      <c r="D2" s="152"/>
      <c r="E2" s="152"/>
      <c r="F2" s="152"/>
      <c r="G2" s="152"/>
    </row>
    <row r="3" spans="1:12" ht="15.75" customHeight="1">
      <c r="A3" s="95" t="s">
        <v>1</v>
      </c>
      <c r="B3" s="4"/>
      <c r="C3" s="4"/>
      <c r="D3" s="4"/>
      <c r="E3" s="4"/>
      <c r="F3" s="4"/>
      <c r="G3" s="4"/>
    </row>
    <row r="4" spans="1:12" ht="15.75" customHeight="1">
      <c r="A4" s="1" t="s">
        <v>248</v>
      </c>
      <c r="B4" s="14">
        <v>2</v>
      </c>
      <c r="C4" s="2" t="s">
        <v>249</v>
      </c>
      <c r="D4" s="2">
        <f>B4*J9</f>
        <v>7.57</v>
      </c>
      <c r="E4" s="2" t="s">
        <v>250</v>
      </c>
      <c r="F4" s="2" t="s">
        <v>251</v>
      </c>
      <c r="J4" s="2"/>
      <c r="K4" s="2"/>
      <c r="L4" s="2"/>
    </row>
    <row r="5" spans="1:12" ht="15.75" customHeight="1">
      <c r="A5" s="1" t="s">
        <v>252</v>
      </c>
      <c r="B5" s="2">
        <v>1.83</v>
      </c>
      <c r="C5" s="2" t="s">
        <v>249</v>
      </c>
      <c r="D5" s="2">
        <f>B5*J9</f>
        <v>6.9265500000000007</v>
      </c>
      <c r="E5" s="2" t="s">
        <v>253</v>
      </c>
      <c r="F5" s="2" t="s">
        <v>254</v>
      </c>
      <c r="J5" s="2"/>
      <c r="K5" s="2"/>
      <c r="L5" s="2"/>
    </row>
    <row r="6" spans="1:12" ht="15.75" customHeight="1">
      <c r="A6" s="1" t="s">
        <v>255</v>
      </c>
      <c r="B6" s="2">
        <v>1.425</v>
      </c>
      <c r="C6" s="2"/>
      <c r="D6" s="2"/>
      <c r="E6" s="2"/>
      <c r="F6" s="2" t="s">
        <v>256</v>
      </c>
      <c r="J6" s="1"/>
      <c r="K6" s="1"/>
      <c r="L6" s="1"/>
    </row>
    <row r="7" spans="1:12" ht="15.75" customHeight="1">
      <c r="A7" s="1" t="s">
        <v>257</v>
      </c>
      <c r="B7" s="13">
        <f>B8/B6</f>
        <v>2.4561403508771931</v>
      </c>
      <c r="C7" s="2" t="s">
        <v>258</v>
      </c>
      <c r="D7" s="2">
        <f t="shared" ref="D7:D8" si="0">2.205*B7</f>
        <v>5.4157894736842112</v>
      </c>
      <c r="E7" s="2" t="s">
        <v>259</v>
      </c>
      <c r="F7" s="2" t="s">
        <v>260</v>
      </c>
      <c r="J7" s="1"/>
      <c r="K7" s="1"/>
      <c r="L7" s="1"/>
    </row>
    <row r="8" spans="1:12" ht="15.75" customHeight="1">
      <c r="A8" s="1" t="s">
        <v>261</v>
      </c>
      <c r="B8" s="2">
        <f>3.5</f>
        <v>3.5</v>
      </c>
      <c r="C8" s="2" t="s">
        <v>258</v>
      </c>
      <c r="D8" s="2">
        <f t="shared" si="0"/>
        <v>7.7175000000000002</v>
      </c>
      <c r="E8" s="2" t="s">
        <v>259</v>
      </c>
      <c r="F8" s="2" t="s">
        <v>262</v>
      </c>
      <c r="J8" s="1" t="s">
        <v>263</v>
      </c>
      <c r="K8" s="1" t="s">
        <v>3</v>
      </c>
      <c r="L8" s="1" t="s">
        <v>4</v>
      </c>
    </row>
    <row r="9" spans="1:12" ht="15.75" customHeight="1">
      <c r="A9" s="1" t="s">
        <v>14</v>
      </c>
      <c r="B9" s="2">
        <v>0.79800000000000004</v>
      </c>
      <c r="C9" s="2" t="s">
        <v>264</v>
      </c>
      <c r="D9" s="5">
        <f>B9*J10</f>
        <v>798</v>
      </c>
      <c r="E9" s="2" t="s">
        <v>13</v>
      </c>
      <c r="F9" s="2" t="s">
        <v>16</v>
      </c>
      <c r="J9" s="2">
        <v>3.7850000000000001</v>
      </c>
      <c r="K9" s="2" t="s">
        <v>265</v>
      </c>
      <c r="L9" s="2" t="s">
        <v>266</v>
      </c>
    </row>
    <row r="10" spans="1:12" ht="15.75" customHeight="1">
      <c r="A10" s="1" t="s">
        <v>267</v>
      </c>
      <c r="B10" s="2">
        <v>1.141</v>
      </c>
      <c r="C10" s="2" t="s">
        <v>264</v>
      </c>
      <c r="D10" s="5">
        <f>B10*J10</f>
        <v>1141</v>
      </c>
      <c r="E10" s="2" t="s">
        <v>13</v>
      </c>
      <c r="F10" s="2" t="s">
        <v>20</v>
      </c>
      <c r="J10" s="2">
        <v>1000</v>
      </c>
      <c r="K10" s="2" t="s">
        <v>12</v>
      </c>
      <c r="L10" s="2" t="s">
        <v>13</v>
      </c>
    </row>
    <row r="11" spans="1:12" ht="15.75" customHeight="1">
      <c r="A11" s="1" t="s">
        <v>268</v>
      </c>
      <c r="B11" s="2">
        <v>325</v>
      </c>
      <c r="C11" s="2" t="s">
        <v>7</v>
      </c>
      <c r="D11">
        <f>B11 * 0.00689476</f>
        <v>2.2407969999999997</v>
      </c>
      <c r="E11" s="2" t="s">
        <v>269</v>
      </c>
      <c r="F11" s="2" t="s">
        <v>270</v>
      </c>
      <c r="J11" s="2"/>
      <c r="K11" s="2"/>
      <c r="L11" s="2"/>
    </row>
    <row r="12" spans="1:12" ht="15.75" customHeight="1">
      <c r="A12" s="2" t="s">
        <v>271</v>
      </c>
      <c r="B12" s="2">
        <v>700</v>
      </c>
      <c r="C12" s="2" t="s">
        <v>7</v>
      </c>
      <c r="D12" s="6">
        <f>B12*J15</f>
        <v>4826500</v>
      </c>
      <c r="E12" s="2" t="s">
        <v>8</v>
      </c>
      <c r="F12" s="2" t="s">
        <v>272</v>
      </c>
      <c r="J12" s="2">
        <v>2.2046199999999998</v>
      </c>
      <c r="K12" s="2" t="s">
        <v>17</v>
      </c>
      <c r="L12" s="2" t="s">
        <v>18</v>
      </c>
    </row>
    <row r="13" spans="1:12" ht="15.75" customHeight="1">
      <c r="A13" s="2" t="s">
        <v>273</v>
      </c>
      <c r="B13" s="2">
        <v>700</v>
      </c>
      <c r="C13" s="2" t="s">
        <v>7</v>
      </c>
      <c r="D13" s="6">
        <f>B13*J15</f>
        <v>4826500</v>
      </c>
      <c r="E13" s="2" t="s">
        <v>8</v>
      </c>
      <c r="F13" s="2" t="s">
        <v>274</v>
      </c>
      <c r="J13" s="2">
        <v>25.4</v>
      </c>
      <c r="K13" s="2" t="s">
        <v>21</v>
      </c>
      <c r="L13" s="2" t="s">
        <v>22</v>
      </c>
    </row>
    <row r="14" spans="1:12" ht="15.75" customHeight="1">
      <c r="A14" s="1" t="s">
        <v>275</v>
      </c>
      <c r="B14" s="14">
        <v>1.17</v>
      </c>
      <c r="D14" s="42"/>
      <c r="F14" s="2" t="s">
        <v>276</v>
      </c>
      <c r="J14" s="2"/>
      <c r="K14" s="2"/>
      <c r="L14" s="2"/>
    </row>
    <row r="15" spans="1:12" ht="15.75" customHeight="1">
      <c r="A15" s="1" t="s">
        <v>277</v>
      </c>
      <c r="B15" s="11">
        <v>1.0649999999999999</v>
      </c>
      <c r="F15" s="2" t="s">
        <v>278</v>
      </c>
      <c r="J15" s="2">
        <v>6895</v>
      </c>
      <c r="K15" s="2" t="s">
        <v>40</v>
      </c>
      <c r="L15" s="2" t="s">
        <v>41</v>
      </c>
    </row>
    <row r="16" spans="1:12" ht="15.75" customHeight="1">
      <c r="A16" s="1" t="s">
        <v>279</v>
      </c>
      <c r="B16" s="11">
        <v>1.0449999999999999</v>
      </c>
      <c r="F16" s="2" t="s">
        <v>278</v>
      </c>
    </row>
    <row r="17" spans="1:7" ht="15.75" customHeight="1">
      <c r="A17" s="1"/>
    </row>
    <row r="18" spans="1:7" ht="15.75" customHeight="1">
      <c r="A18" s="1" t="s">
        <v>280</v>
      </c>
      <c r="B18" s="14">
        <v>1.67</v>
      </c>
      <c r="F18" s="2" t="s">
        <v>281</v>
      </c>
    </row>
    <row r="19" spans="1:7" ht="15.75" customHeight="1">
      <c r="A19" s="1" t="s">
        <v>282</v>
      </c>
      <c r="B19" s="14">
        <v>1.67</v>
      </c>
      <c r="F19" s="2" t="s">
        <v>283</v>
      </c>
    </row>
    <row r="20" spans="1:7" ht="15.75" customHeight="1">
      <c r="A20" s="2"/>
      <c r="B20" s="14"/>
    </row>
    <row r="22" spans="1:7" ht="15.75" customHeight="1">
      <c r="A22" s="96" t="s">
        <v>284</v>
      </c>
      <c r="B22" s="97"/>
      <c r="C22" s="98"/>
      <c r="D22" s="97"/>
      <c r="E22" s="98"/>
      <c r="F22" s="98"/>
      <c r="G22" s="98"/>
    </row>
    <row r="23" spans="1:7" ht="15.75" customHeight="1">
      <c r="A23" s="99" t="s">
        <v>285</v>
      </c>
      <c r="B23" s="100">
        <f>D23/J9</f>
        <v>0.81317572361458235</v>
      </c>
      <c r="C23" s="9" t="s">
        <v>249</v>
      </c>
      <c r="D23" s="100">
        <f t="shared" ref="D23:D24" si="1">B7/B9</f>
        <v>3.0778701138811941</v>
      </c>
      <c r="E23" s="9" t="s">
        <v>253</v>
      </c>
      <c r="F23" s="101" t="s">
        <v>286</v>
      </c>
    </row>
    <row r="24" spans="1:7" ht="15.75" customHeight="1">
      <c r="A24" s="99" t="s">
        <v>287</v>
      </c>
      <c r="B24" s="100">
        <f>D24/J9</f>
        <v>0.8104318791483982</v>
      </c>
      <c r="C24" s="9" t="s">
        <v>249</v>
      </c>
      <c r="D24" s="100">
        <f t="shared" si="1"/>
        <v>3.0674846625766872</v>
      </c>
      <c r="E24" s="9" t="s">
        <v>253</v>
      </c>
      <c r="F24" s="101" t="s">
        <v>288</v>
      </c>
    </row>
    <row r="25" spans="1:7" ht="12.3">
      <c r="B25" s="18"/>
      <c r="D25" s="11"/>
    </row>
    <row r="26" spans="1:7" ht="12.3">
      <c r="A26" s="2" t="s">
        <v>289</v>
      </c>
      <c r="B26" s="14">
        <f t="shared" ref="B26:B27" si="2">B12*(((B4-B23)/B4)^B18)</f>
        <v>292.82170877074554</v>
      </c>
      <c r="C26" s="2" t="s">
        <v>7</v>
      </c>
      <c r="D26" s="11"/>
      <c r="F26" s="2" t="s">
        <v>290</v>
      </c>
    </row>
    <row r="27" spans="1:7" ht="12.3">
      <c r="A27" s="2" t="s">
        <v>291</v>
      </c>
      <c r="B27" s="14">
        <f t="shared" si="2"/>
        <v>263.54807838240504</v>
      </c>
      <c r="C27" s="2" t="s">
        <v>7</v>
      </c>
      <c r="F27" s="2" t="s">
        <v>292</v>
      </c>
    </row>
    <row r="28" spans="1:7" ht="12.3">
      <c r="A28" s="2"/>
      <c r="C28" s="2"/>
      <c r="F28" s="2"/>
    </row>
    <row r="29" spans="1:7" ht="12.3">
      <c r="A29" s="1" t="s">
        <v>293</v>
      </c>
      <c r="B29" s="2">
        <f>((B26/B15/B14)+(B27/B16/B14))/2</f>
        <v>225.27738434033</v>
      </c>
      <c r="C29" s="2" t="s">
        <v>7</v>
      </c>
      <c r="D29">
        <f>B29 * 0.00689476</f>
        <v>1.5532334984543337</v>
      </c>
      <c r="E29" s="2" t="s">
        <v>269</v>
      </c>
      <c r="F29" s="2" t="s">
        <v>294</v>
      </c>
    </row>
    <row r="30" spans="1:7" ht="12.3">
      <c r="A30" s="19" t="s">
        <v>295</v>
      </c>
      <c r="B30" s="6">
        <f>B29*B14 - B29</f>
        <v>38.297155337856111</v>
      </c>
      <c r="F30" s="2" t="s">
        <v>296</v>
      </c>
    </row>
    <row r="34" spans="1:12" ht="15">
      <c r="A34" s="102" t="s">
        <v>297</v>
      </c>
      <c r="B34" s="103"/>
      <c r="C34" s="104"/>
      <c r="D34" s="103"/>
      <c r="E34" s="104"/>
      <c r="F34" s="104"/>
      <c r="G34" s="104"/>
    </row>
    <row r="35" spans="1:12" ht="12.3">
      <c r="A35" s="2" t="s">
        <v>298</v>
      </c>
      <c r="B35" s="14">
        <f>(B26/B15)/B29</f>
        <v>1.2204951779434456</v>
      </c>
      <c r="F35" s="2" t="s">
        <v>299</v>
      </c>
    </row>
    <row r="36" spans="1:12" ht="12.3">
      <c r="A36" s="2" t="s">
        <v>300</v>
      </c>
      <c r="B36" s="14">
        <f>(B27/B16)/B29</f>
        <v>1.1195048220565542</v>
      </c>
      <c r="F36" s="2" t="s">
        <v>299</v>
      </c>
    </row>
    <row r="37" spans="1:12" ht="12.3">
      <c r="A37" s="19" t="s">
        <v>301</v>
      </c>
      <c r="B37" s="29">
        <f>(B26/B15)-B29</f>
        <v>49.672576946755044</v>
      </c>
    </row>
    <row r="38" spans="1:12" ht="12.3">
      <c r="A38" s="2" t="s">
        <v>302</v>
      </c>
      <c r="B38" s="29">
        <f>(B27/B16)-B29</f>
        <v>26.921733728957122</v>
      </c>
    </row>
    <row r="40" spans="1:12" ht="15">
      <c r="A40" s="105" t="s">
        <v>303</v>
      </c>
      <c r="B40" s="98"/>
      <c r="C40" s="98"/>
      <c r="D40" s="98"/>
      <c r="E40" s="98"/>
      <c r="F40" s="98"/>
      <c r="G40" s="98"/>
    </row>
    <row r="41" spans="1:12" ht="12.3">
      <c r="A41" s="3" t="s">
        <v>1</v>
      </c>
      <c r="B41" s="4"/>
      <c r="C41" s="4"/>
      <c r="D41" s="4"/>
      <c r="E41" s="4"/>
      <c r="F41" s="4"/>
      <c r="I41" s="1" t="s">
        <v>2</v>
      </c>
      <c r="J41" s="1" t="s">
        <v>3</v>
      </c>
      <c r="K41" s="1" t="s">
        <v>4</v>
      </c>
      <c r="L41" s="2" t="s">
        <v>5</v>
      </c>
    </row>
    <row r="42" spans="1:12" ht="12.3">
      <c r="A42" s="2" t="s">
        <v>304</v>
      </c>
      <c r="B42" s="29">
        <f t="shared" ref="B42:B43" si="3">B37</f>
        <v>49.672576946755044</v>
      </c>
      <c r="C42" s="2" t="s">
        <v>7</v>
      </c>
      <c r="D42" s="6">
        <f>I47*B42</f>
        <v>342492.41804787604</v>
      </c>
      <c r="E42" s="2" t="s">
        <v>8</v>
      </c>
      <c r="F42" s="2" t="s">
        <v>11</v>
      </c>
      <c r="I42" s="2"/>
      <c r="J42" s="2"/>
      <c r="K42" s="2"/>
    </row>
    <row r="43" spans="1:12" ht="12.3">
      <c r="A43" s="2" t="s">
        <v>305</v>
      </c>
      <c r="B43" s="29">
        <f t="shared" si="3"/>
        <v>26.921733728957122</v>
      </c>
      <c r="C43" s="2" t="s">
        <v>7</v>
      </c>
      <c r="D43" s="6">
        <f>I47*B43</f>
        <v>185625.35406115936</v>
      </c>
      <c r="E43" s="2" t="s">
        <v>8</v>
      </c>
      <c r="F43" s="2" t="s">
        <v>11</v>
      </c>
      <c r="I43" s="2">
        <v>1000</v>
      </c>
      <c r="J43" s="2" t="s">
        <v>12</v>
      </c>
      <c r="K43" s="2" t="s">
        <v>13</v>
      </c>
    </row>
    <row r="44" spans="1:12" ht="12.3">
      <c r="A44" s="2" t="s">
        <v>14</v>
      </c>
      <c r="B44" s="2">
        <f t="shared" ref="B44:B45" si="4">B9</f>
        <v>0.79800000000000004</v>
      </c>
      <c r="C44" s="2" t="s">
        <v>15</v>
      </c>
      <c r="D44" s="5">
        <f>B44*I43</f>
        <v>798</v>
      </c>
      <c r="E44" s="2" t="s">
        <v>13</v>
      </c>
      <c r="F44" s="2" t="s">
        <v>16</v>
      </c>
      <c r="I44" s="2">
        <v>2.2046199999999998</v>
      </c>
      <c r="J44" s="2" t="s">
        <v>17</v>
      </c>
      <c r="K44" s="2" t="s">
        <v>18</v>
      </c>
    </row>
    <row r="45" spans="1:12" ht="12.3">
      <c r="A45" s="2" t="s">
        <v>267</v>
      </c>
      <c r="B45" s="2">
        <f t="shared" si="4"/>
        <v>1.141</v>
      </c>
      <c r="C45" s="2" t="s">
        <v>15</v>
      </c>
      <c r="D45" s="5">
        <f>B45*I43</f>
        <v>1141</v>
      </c>
      <c r="E45" s="2" t="s">
        <v>13</v>
      </c>
      <c r="F45" s="2" t="s">
        <v>20</v>
      </c>
      <c r="I45" s="2">
        <v>25.4</v>
      </c>
      <c r="J45" s="2" t="s">
        <v>21</v>
      </c>
      <c r="K45" s="2" t="s">
        <v>22</v>
      </c>
    </row>
    <row r="46" spans="1:12" ht="12.3">
      <c r="A46" s="2" t="s">
        <v>162</v>
      </c>
      <c r="B46" s="11">
        <f>InjectorDesign!D32</f>
        <v>10.889242084911068</v>
      </c>
      <c r="C46" s="2" t="s">
        <v>85</v>
      </c>
      <c r="D46" s="42">
        <f t="shared" ref="D46:D47" si="5">B46/1000000</f>
        <v>1.0889242084911067E-5</v>
      </c>
      <c r="E46" s="2" t="s">
        <v>84</v>
      </c>
      <c r="F46" s="2" t="s">
        <v>86</v>
      </c>
      <c r="I46" s="2"/>
      <c r="J46" s="2"/>
      <c r="K46" s="2"/>
    </row>
    <row r="47" spans="1:12" ht="12.3">
      <c r="A47" s="2" t="s">
        <v>87</v>
      </c>
      <c r="B47" s="11">
        <f>InjectorDesign!D33</f>
        <v>27.061025166794391</v>
      </c>
      <c r="C47" s="2" t="s">
        <v>85</v>
      </c>
      <c r="D47" s="42">
        <f t="shared" si="5"/>
        <v>2.706102516679439E-5</v>
      </c>
      <c r="E47" s="2" t="s">
        <v>84</v>
      </c>
      <c r="F47" s="2" t="s">
        <v>306</v>
      </c>
      <c r="I47" s="2">
        <v>6895</v>
      </c>
      <c r="J47" s="2" t="s">
        <v>40</v>
      </c>
      <c r="K47" s="2" t="s">
        <v>41</v>
      </c>
    </row>
    <row r="48" spans="1:12" ht="12.3">
      <c r="A48" s="2" t="s">
        <v>307</v>
      </c>
      <c r="B48" s="11">
        <f>InjectorDesign!B28</f>
        <v>0.55389908256880738</v>
      </c>
      <c r="C48" s="2" t="s">
        <v>37</v>
      </c>
      <c r="F48" s="2" t="s">
        <v>308</v>
      </c>
      <c r="I48" s="2">
        <v>5.7870000000000003E-4</v>
      </c>
      <c r="J48" s="2" t="s">
        <v>45</v>
      </c>
    </row>
    <row r="49" spans="1:10" ht="12.3">
      <c r="A49" s="2" t="s">
        <v>46</v>
      </c>
      <c r="B49" s="14">
        <f>InjectorDesign!B13</f>
        <v>0.49199999999999999</v>
      </c>
      <c r="C49" s="2" t="s">
        <v>47</v>
      </c>
      <c r="F49" s="2" t="s">
        <v>48</v>
      </c>
    </row>
    <row r="50" spans="1:10" ht="12.3">
      <c r="A50" s="2" t="s">
        <v>49</v>
      </c>
      <c r="B50" s="11">
        <f>InjectorDesign!B14</f>
        <v>0.81799999999999995</v>
      </c>
      <c r="C50" s="2" t="s">
        <v>47</v>
      </c>
      <c r="F50" s="2" t="s">
        <v>50</v>
      </c>
      <c r="I50" s="2"/>
      <c r="J50" s="2"/>
    </row>
    <row r="51" spans="1:10" ht="12.3">
      <c r="A51" s="2" t="s">
        <v>158</v>
      </c>
      <c r="B51" s="2">
        <v>1.3</v>
      </c>
      <c r="C51" s="2" t="s">
        <v>47</v>
      </c>
      <c r="F51" s="2" t="s">
        <v>309</v>
      </c>
      <c r="I51" s="2">
        <v>386</v>
      </c>
      <c r="J51" s="2" t="s">
        <v>160</v>
      </c>
    </row>
    <row r="52" spans="1:10" ht="12.3">
      <c r="A52" s="1"/>
      <c r="B52" s="2"/>
      <c r="C52" s="2"/>
      <c r="F52" s="2"/>
    </row>
    <row r="54" spans="1:10" ht="12.3">
      <c r="A54" s="3" t="s">
        <v>70</v>
      </c>
      <c r="B54" s="15"/>
      <c r="C54" s="4"/>
      <c r="D54" s="15"/>
      <c r="E54" s="4"/>
      <c r="F54" s="4"/>
    </row>
    <row r="55" spans="1:10" ht="12.3">
      <c r="A55" s="2" t="s">
        <v>71</v>
      </c>
      <c r="B55" s="11">
        <f>B50*D46*SQRT(2*D44*D42)</f>
        <v>0.20825377424277472</v>
      </c>
      <c r="C55" s="2" t="s">
        <v>37</v>
      </c>
      <c r="D55" s="11">
        <f>B55*I44</f>
        <v>0.45912043577110595</v>
      </c>
      <c r="E55" s="2" t="s">
        <v>38</v>
      </c>
      <c r="F55" s="2" t="s">
        <v>72</v>
      </c>
    </row>
    <row r="56" spans="1:10" ht="12.3">
      <c r="A56" s="2" t="s">
        <v>73</v>
      </c>
      <c r="B56" s="11">
        <f>B49*D47*SQRT(2*D45*D43)</f>
        <v>0.27402224211194615</v>
      </c>
      <c r="C56" s="2" t="s">
        <v>37</v>
      </c>
      <c r="D56" s="11">
        <f>B56*I44</f>
        <v>0.60411491540483864</v>
      </c>
      <c r="E56" s="2" t="s">
        <v>38</v>
      </c>
      <c r="F56" s="2" t="s">
        <v>74</v>
      </c>
    </row>
    <row r="57" spans="1:10" ht="12.3">
      <c r="A57" s="1" t="s">
        <v>310</v>
      </c>
      <c r="B57" s="18">
        <f>B55+B56</f>
        <v>0.48227601635472084</v>
      </c>
      <c r="C57" s="2" t="s">
        <v>37</v>
      </c>
      <c r="D57" s="11">
        <f>B57*I44</f>
        <v>1.0632353511759445</v>
      </c>
      <c r="E57" s="2" t="s">
        <v>38</v>
      </c>
      <c r="F57" s="2" t="s">
        <v>86</v>
      </c>
    </row>
    <row r="58" spans="1:10" ht="12.3">
      <c r="A58" s="2" t="s">
        <v>311</v>
      </c>
      <c r="B58" s="11">
        <f>B57/InjectorDesign!B11</f>
        <v>0.55117259011968101</v>
      </c>
      <c r="C58" s="2"/>
      <c r="D58" s="11"/>
      <c r="F58" s="2"/>
    </row>
    <row r="59" spans="1:10" ht="12.3">
      <c r="A59" s="2" t="s">
        <v>312</v>
      </c>
      <c r="B59" s="11">
        <f>B56/B55</f>
        <v>1.3158092481555745</v>
      </c>
      <c r="C59" s="2"/>
      <c r="D59" s="11"/>
      <c r="F59" s="2" t="s">
        <v>313</v>
      </c>
    </row>
    <row r="60" spans="1:10" ht="12.3">
      <c r="A60" s="1" t="s">
        <v>314</v>
      </c>
      <c r="B60">
        <f>B8/((B56+B48)/2)</f>
        <v>8.4549096530388326</v>
      </c>
      <c r="F60" s="2" t="s">
        <v>315</v>
      </c>
    </row>
    <row r="61" spans="1:10" ht="12.3">
      <c r="A61" s="2" t="s">
        <v>316</v>
      </c>
      <c r="B61" s="2">
        <v>0.85</v>
      </c>
      <c r="C61" s="2" t="s">
        <v>317</v>
      </c>
      <c r="D61" s="2">
        <f>B61*224.8</f>
        <v>191.08</v>
      </c>
      <c r="E61" s="2" t="s">
        <v>318</v>
      </c>
    </row>
  </sheetData>
  <mergeCells count="2">
    <mergeCell ref="A1:E1"/>
    <mergeCell ref="A2:G2"/>
  </mergeCells>
  <hyperlinks>
    <hyperlink ref="A1" r:id="rId1" xr:uid="{00000000-0004-0000-0800-000000000000}"/>
  </hyperlinks>
  <printOptions horizontalCentered="1" gridLines="1"/>
  <pageMargins left="0.7" right="0.7" top="0.75" bottom="0.75" header="0" footer="0"/>
  <pageSetup pageOrder="overThenDown" orientation="landscape" cellComments="atEnd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Z36"/>
  <sheetViews>
    <sheetView workbookViewId="0"/>
  </sheetViews>
  <sheetFormatPr defaultColWidth="12.609375" defaultRowHeight="15.75" customHeight="1"/>
  <cols>
    <col min="1" max="1" width="15" customWidth="1"/>
    <col min="2" max="2" width="21.109375" customWidth="1"/>
    <col min="3" max="3" width="19.5" customWidth="1"/>
    <col min="4" max="4" width="21.109375" customWidth="1"/>
    <col min="5" max="5" width="13.109375" customWidth="1"/>
    <col min="8" max="8" width="22.21875" customWidth="1"/>
    <col min="9" max="9" width="28.71875" customWidth="1"/>
    <col min="12" max="12" width="25.5" customWidth="1"/>
    <col min="13" max="13" width="25.88671875" customWidth="1"/>
  </cols>
  <sheetData>
    <row r="1" spans="1:26" ht="15.75" customHeight="1">
      <c r="A1" s="106" t="s">
        <v>319</v>
      </c>
      <c r="B1" s="107">
        <v>45139</v>
      </c>
      <c r="C1" s="108"/>
      <c r="D1" s="108"/>
      <c r="E1" s="108"/>
      <c r="F1" s="108"/>
      <c r="G1" s="108"/>
      <c r="H1" s="108"/>
      <c r="I1" s="108"/>
      <c r="J1" s="108"/>
      <c r="K1" s="108"/>
      <c r="L1" s="108"/>
      <c r="M1" s="109"/>
      <c r="N1" s="109"/>
      <c r="O1" s="109"/>
      <c r="P1" s="109"/>
      <c r="Q1" s="108"/>
      <c r="R1" s="108"/>
      <c r="S1" s="108"/>
      <c r="T1" s="108"/>
      <c r="U1" s="108"/>
      <c r="V1" s="108"/>
      <c r="W1" s="108"/>
      <c r="X1" s="108"/>
      <c r="Y1" s="108"/>
      <c r="Z1" s="108"/>
    </row>
    <row r="2" spans="1:26" ht="15.75" customHeight="1">
      <c r="B2" s="2" t="s">
        <v>320</v>
      </c>
      <c r="C2" s="2" t="s">
        <v>321</v>
      </c>
      <c r="D2" s="2" t="s">
        <v>322</v>
      </c>
      <c r="E2" s="2" t="s">
        <v>323</v>
      </c>
      <c r="F2" s="2" t="s">
        <v>324</v>
      </c>
      <c r="G2" s="2" t="s">
        <v>325</v>
      </c>
      <c r="H2" s="2" t="s">
        <v>326</v>
      </c>
      <c r="I2" s="2" t="s">
        <v>327</v>
      </c>
      <c r="J2" s="2" t="s">
        <v>328</v>
      </c>
      <c r="M2" s="109"/>
      <c r="N2" s="109"/>
      <c r="O2" s="109"/>
      <c r="P2" s="109"/>
    </row>
    <row r="3" spans="1:26" ht="15.75" customHeight="1">
      <c r="B3" s="110">
        <f>3580-10</f>
        <v>3570</v>
      </c>
      <c r="C3" s="2">
        <v>3280</v>
      </c>
      <c r="D3" s="2">
        <v>65</v>
      </c>
      <c r="E3" s="2">
        <v>283</v>
      </c>
      <c r="F3" s="2">
        <v>100</v>
      </c>
      <c r="G3" s="2">
        <v>1000</v>
      </c>
      <c r="H3">
        <f>E3/G3</f>
        <v>0.28299999999999997</v>
      </c>
      <c r="I3" s="2">
        <v>797</v>
      </c>
      <c r="J3">
        <f>H3*I3</f>
        <v>225.55099999999999</v>
      </c>
      <c r="M3" s="109" t="s">
        <v>329</v>
      </c>
      <c r="N3" s="109"/>
      <c r="O3" s="109"/>
      <c r="P3" s="109"/>
    </row>
    <row r="4" spans="1:26" ht="15.75" customHeight="1">
      <c r="B4" s="2">
        <v>3205</v>
      </c>
      <c r="C4" s="2">
        <v>1000</v>
      </c>
      <c r="D4" s="2">
        <v>90</v>
      </c>
      <c r="E4" s="111"/>
      <c r="F4" s="2">
        <v>30</v>
      </c>
      <c r="G4" s="2">
        <v>1000</v>
      </c>
      <c r="H4" s="111"/>
      <c r="I4" s="111"/>
      <c r="J4" s="111"/>
      <c r="M4" s="109" t="s">
        <v>330</v>
      </c>
      <c r="N4" s="109">
        <v>997</v>
      </c>
      <c r="O4" s="109" t="s">
        <v>331</v>
      </c>
      <c r="P4" s="109" t="s">
        <v>332</v>
      </c>
    </row>
    <row r="5" spans="1:26" ht="15.75" customHeight="1">
      <c r="B5" s="2">
        <v>3185</v>
      </c>
      <c r="C5" s="2">
        <v>2887</v>
      </c>
      <c r="D5" s="2">
        <v>30</v>
      </c>
      <c r="E5" s="2">
        <f>3180-2887</f>
        <v>293</v>
      </c>
      <c r="F5" s="2">
        <v>100</v>
      </c>
      <c r="G5" s="2">
        <v>1000</v>
      </c>
      <c r="H5">
        <f>E5/G5</f>
        <v>0.29299999999999998</v>
      </c>
      <c r="I5" s="2">
        <v>797</v>
      </c>
      <c r="J5">
        <f>H5*I5</f>
        <v>233.52099999999999</v>
      </c>
      <c r="M5" s="109" t="s">
        <v>333</v>
      </c>
      <c r="N5" s="109">
        <v>785</v>
      </c>
      <c r="O5" s="109" t="s">
        <v>331</v>
      </c>
      <c r="P5" s="109" t="s">
        <v>332</v>
      </c>
    </row>
    <row r="6" spans="1:26" ht="15.75" customHeight="1">
      <c r="B6" s="2">
        <v>3415</v>
      </c>
      <c r="J6" s="1">
        <f>(J3+J5)/2</f>
        <v>229.536</v>
      </c>
      <c r="K6" s="2" t="s">
        <v>334</v>
      </c>
    </row>
    <row r="10" spans="1:26" ht="15.75" customHeight="1">
      <c r="A10" s="106" t="s">
        <v>335</v>
      </c>
      <c r="B10" s="107">
        <v>45206</v>
      </c>
      <c r="C10" s="108"/>
      <c r="D10" s="108"/>
      <c r="E10" s="108"/>
      <c r="F10" s="108"/>
      <c r="G10" s="108"/>
      <c r="H10" s="108"/>
      <c r="I10" s="108"/>
      <c r="J10" s="108"/>
      <c r="K10" s="108"/>
      <c r="L10" s="108"/>
      <c r="M10" s="108"/>
      <c r="N10" s="108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108"/>
      <c r="Z10" s="108"/>
    </row>
    <row r="11" spans="1:26" ht="15.75" customHeight="1">
      <c r="B11" s="2" t="s">
        <v>336</v>
      </c>
      <c r="C11" s="2">
        <v>2.25</v>
      </c>
      <c r="D11" s="2" t="s">
        <v>337</v>
      </c>
      <c r="E11" s="2" t="s">
        <v>338</v>
      </c>
      <c r="F11">
        <f>C11*N4</f>
        <v>2243.25</v>
      </c>
      <c r="G11" s="2" t="s">
        <v>339</v>
      </c>
      <c r="H11" s="2" t="s">
        <v>340</v>
      </c>
      <c r="I11" s="2">
        <v>2570</v>
      </c>
      <c r="J11" s="2" t="s">
        <v>339</v>
      </c>
    </row>
    <row r="12" spans="1:26" ht="15.75" customHeight="1">
      <c r="A12" s="2" t="s">
        <v>341</v>
      </c>
      <c r="B12" s="2" t="s">
        <v>320</v>
      </c>
      <c r="C12" s="2" t="s">
        <v>321</v>
      </c>
      <c r="D12" s="2" t="s">
        <v>322</v>
      </c>
      <c r="E12" s="2" t="s">
        <v>323</v>
      </c>
      <c r="F12" s="2" t="s">
        <v>324</v>
      </c>
      <c r="G12" s="2" t="s">
        <v>325</v>
      </c>
      <c r="H12" s="2" t="s">
        <v>326</v>
      </c>
      <c r="I12" s="2" t="s">
        <v>327</v>
      </c>
      <c r="J12" s="2" t="s">
        <v>342</v>
      </c>
    </row>
    <row r="13" spans="1:26" ht="15.75" customHeight="1">
      <c r="A13" s="2">
        <v>1</v>
      </c>
      <c r="B13" s="110">
        <v>2730</v>
      </c>
      <c r="C13" s="111" t="s">
        <v>343</v>
      </c>
      <c r="E13" s="2">
        <f>(D18-D19)*1000</f>
        <v>304.00000000000028</v>
      </c>
      <c r="F13" s="2" t="s">
        <v>344</v>
      </c>
      <c r="G13" s="2">
        <v>1000</v>
      </c>
      <c r="H13">
        <f t="shared" ref="H13:H15" si="0">E13/G13</f>
        <v>0.30400000000000027</v>
      </c>
      <c r="I13" s="2">
        <v>785</v>
      </c>
      <c r="J13">
        <f t="shared" ref="J13:J15" si="1">H13*I13</f>
        <v>238.64000000000021</v>
      </c>
    </row>
    <row r="14" spans="1:26" ht="15.75" customHeight="1">
      <c r="A14" s="2">
        <v>2</v>
      </c>
      <c r="B14" s="2">
        <v>2543</v>
      </c>
      <c r="C14" s="2">
        <f>2967-751</f>
        <v>2216</v>
      </c>
      <c r="D14" s="2">
        <v>120</v>
      </c>
      <c r="E14">
        <f t="shared" ref="E14:E15" si="2">B14-C14</f>
        <v>327</v>
      </c>
      <c r="F14" s="2" t="s">
        <v>345</v>
      </c>
      <c r="G14" s="2">
        <v>1000</v>
      </c>
      <c r="H14">
        <f t="shared" si="0"/>
        <v>0.32700000000000001</v>
      </c>
      <c r="I14" s="2">
        <v>785</v>
      </c>
      <c r="J14">
        <f t="shared" si="1"/>
        <v>256.69499999999999</v>
      </c>
      <c r="L14" s="2"/>
    </row>
    <row r="15" spans="1:26" ht="15.75" customHeight="1">
      <c r="A15" s="2">
        <v>3</v>
      </c>
      <c r="B15" s="2">
        <v>2570</v>
      </c>
      <c r="C15" s="2">
        <v>2262</v>
      </c>
      <c r="D15" s="2">
        <v>40</v>
      </c>
      <c r="E15">
        <f t="shared" si="2"/>
        <v>308</v>
      </c>
      <c r="F15" s="2" t="s">
        <v>345</v>
      </c>
      <c r="G15" s="2">
        <v>1000</v>
      </c>
      <c r="H15">
        <f t="shared" si="0"/>
        <v>0.308</v>
      </c>
      <c r="I15" s="2">
        <v>785</v>
      </c>
      <c r="J15">
        <f t="shared" si="1"/>
        <v>241.78</v>
      </c>
      <c r="L15" s="112" t="s">
        <v>346</v>
      </c>
      <c r="M15" s="112">
        <v>2.25</v>
      </c>
      <c r="N15" s="112" t="s">
        <v>337</v>
      </c>
    </row>
    <row r="16" spans="1:26" ht="15.75" customHeight="1">
      <c r="B16" s="113"/>
      <c r="J16" s="1">
        <f>(J13+J15)/2</f>
        <v>240.21000000000009</v>
      </c>
      <c r="L16" s="2" t="s">
        <v>347</v>
      </c>
      <c r="M16">
        <f>M15*N5+J16</f>
        <v>2006.46</v>
      </c>
      <c r="N16" s="2" t="s">
        <v>339</v>
      </c>
    </row>
    <row r="17" spans="1:26" ht="15.75" customHeight="1">
      <c r="C17" s="2" t="s">
        <v>348</v>
      </c>
      <c r="I17" s="2" t="s">
        <v>349</v>
      </c>
      <c r="J17">
        <f>C11*N5</f>
        <v>1766.25</v>
      </c>
    </row>
    <row r="18" spans="1:26" ht="15.75" customHeight="1">
      <c r="D18" s="2">
        <v>4.2690000000000001</v>
      </c>
      <c r="H18" s="52">
        <v>45572</v>
      </c>
      <c r="I18" s="114" t="s">
        <v>350</v>
      </c>
      <c r="J18" s="114">
        <f>C11*N5+J16</f>
        <v>2006.46</v>
      </c>
      <c r="K18" s="114" t="s">
        <v>339</v>
      </c>
    </row>
    <row r="19" spans="1:26" ht="15.75" customHeight="1">
      <c r="D19" s="2">
        <v>3.9649999999999999</v>
      </c>
    </row>
    <row r="20" spans="1:26" ht="15.75" customHeight="1">
      <c r="A20" s="108"/>
      <c r="B20" s="108"/>
      <c r="C20" s="108"/>
      <c r="D20" s="108"/>
      <c r="E20" s="108"/>
      <c r="F20" s="108"/>
      <c r="G20" s="108"/>
      <c r="H20" s="108"/>
      <c r="I20" s="108"/>
      <c r="J20" s="108"/>
      <c r="K20" s="108"/>
      <c r="L20" s="108"/>
      <c r="M20" s="108"/>
      <c r="N20" s="108"/>
      <c r="O20" s="108"/>
      <c r="P20" s="108"/>
      <c r="Q20" s="108"/>
      <c r="R20" s="108"/>
      <c r="S20" s="108"/>
      <c r="T20" s="108"/>
      <c r="U20" s="108"/>
      <c r="V20" s="108"/>
      <c r="W20" s="108"/>
      <c r="X20" s="108"/>
      <c r="Y20" s="108"/>
      <c r="Z20" s="108"/>
    </row>
    <row r="21" spans="1:26" ht="15.75" customHeight="1">
      <c r="A21" s="58">
        <v>45236</v>
      </c>
      <c r="B21" s="115" t="s">
        <v>351</v>
      </c>
      <c r="C21" s="116">
        <v>3.5</v>
      </c>
      <c r="D21" s="2" t="s">
        <v>337</v>
      </c>
      <c r="K21" s="117"/>
    </row>
    <row r="22" spans="1:26" ht="15.75" customHeight="1">
      <c r="A22" s="108" t="s">
        <v>352</v>
      </c>
      <c r="B22" s="118">
        <v>45351</v>
      </c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  <c r="V22" s="108"/>
      <c r="W22" s="108"/>
      <c r="X22" s="108"/>
      <c r="Y22" s="108"/>
      <c r="Z22" s="108"/>
    </row>
    <row r="23" spans="1:26" ht="15.75" customHeight="1">
      <c r="A23" s="52"/>
      <c r="B23" s="2" t="s">
        <v>353</v>
      </c>
      <c r="C23" s="109">
        <v>4.2</v>
      </c>
      <c r="D23" s="2" t="s">
        <v>337</v>
      </c>
      <c r="H23" s="119">
        <v>45351</v>
      </c>
      <c r="I23" s="114" t="s">
        <v>354</v>
      </c>
      <c r="J23" s="120">
        <f>C23*$N$5+J16</f>
        <v>3537.21</v>
      </c>
      <c r="K23" s="114" t="s">
        <v>339</v>
      </c>
      <c r="M23" s="109" t="s">
        <v>355</v>
      </c>
    </row>
    <row r="24" spans="1:26" ht="15.75" customHeight="1">
      <c r="B24" s="16" t="s">
        <v>356</v>
      </c>
      <c r="C24">
        <f>C23*$N$5</f>
        <v>3297</v>
      </c>
      <c r="D24" s="2" t="s">
        <v>339</v>
      </c>
      <c r="K24" s="2" t="s">
        <v>357</v>
      </c>
    </row>
    <row r="33" spans="1:6" ht="12.3">
      <c r="A33" s="52">
        <v>45351</v>
      </c>
      <c r="B33" s="2" t="s">
        <v>358</v>
      </c>
    </row>
    <row r="34" spans="1:6" ht="12.3">
      <c r="B34" s="2" t="s">
        <v>359</v>
      </c>
      <c r="C34" s="2" t="s">
        <v>360</v>
      </c>
      <c r="D34" s="2" t="s">
        <v>361</v>
      </c>
      <c r="E34" s="2" t="s">
        <v>362</v>
      </c>
      <c r="F34" s="2" t="s">
        <v>363</v>
      </c>
    </row>
    <row r="35" spans="1:6" ht="12.3">
      <c r="A35" s="2" t="s">
        <v>364</v>
      </c>
      <c r="B35" s="2">
        <v>0.14499999999999999</v>
      </c>
      <c r="C35" s="2">
        <v>3.06</v>
      </c>
      <c r="D35" s="2">
        <f>3.06-B35</f>
        <v>2.915</v>
      </c>
      <c r="E35">
        <f t="shared" ref="E35:E36" si="3">0.995/0.95*D35-D35</f>
        <v>0.13807894736842163</v>
      </c>
      <c r="F35">
        <f t="shared" ref="F35:F36" si="4">C35+E35</f>
        <v>3.1980789473684217</v>
      </c>
    </row>
    <row r="36" spans="1:6" ht="12.3">
      <c r="A36" s="2" t="s">
        <v>365</v>
      </c>
      <c r="C36" s="2">
        <v>2.355</v>
      </c>
      <c r="D36">
        <f>C36-B35</f>
        <v>2.21</v>
      </c>
      <c r="E36">
        <f t="shared" si="3"/>
        <v>0.10468421052631616</v>
      </c>
      <c r="F36">
        <f t="shared" si="4"/>
        <v>2.4596842105263161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L32"/>
  <sheetViews>
    <sheetView workbookViewId="0"/>
  </sheetViews>
  <sheetFormatPr defaultColWidth="12.609375" defaultRowHeight="15.75" customHeight="1"/>
  <cols>
    <col min="1" max="1" width="56.88671875" customWidth="1"/>
    <col min="4" max="4" width="22.609375" customWidth="1"/>
    <col min="6" max="6" width="24.5" customWidth="1"/>
  </cols>
  <sheetData>
    <row r="1" spans="1:11" ht="15.75" customHeight="1">
      <c r="A1" s="2" t="s">
        <v>366</v>
      </c>
      <c r="B1" s="18"/>
      <c r="C1" s="2"/>
      <c r="F1" s="2"/>
      <c r="G1" s="121"/>
      <c r="H1" s="2"/>
    </row>
    <row r="2" spans="1:11" ht="15.75" customHeight="1">
      <c r="A2" s="2" t="s">
        <v>367</v>
      </c>
      <c r="B2" s="18">
        <v>2.1160000000000001</v>
      </c>
      <c r="C2" s="2" t="s">
        <v>22</v>
      </c>
      <c r="F2" s="2" t="s">
        <v>368</v>
      </c>
      <c r="G2" s="121">
        <v>0.75522</v>
      </c>
      <c r="H2" s="2" t="s">
        <v>369</v>
      </c>
    </row>
    <row r="3" spans="1:11" ht="15.75" customHeight="1">
      <c r="A3" s="2" t="s">
        <v>370</v>
      </c>
      <c r="B3" s="2">
        <v>27.5</v>
      </c>
      <c r="C3" s="2" t="s">
        <v>22</v>
      </c>
      <c r="F3" s="2" t="s">
        <v>371</v>
      </c>
      <c r="G3">
        <f>2/3*PI()*B2^3</f>
        <v>19.842921017601451</v>
      </c>
      <c r="H3" s="2" t="s">
        <v>369</v>
      </c>
    </row>
    <row r="4" spans="1:11" ht="15.75" customHeight="1">
      <c r="A4" s="2" t="s">
        <v>372</v>
      </c>
      <c r="B4">
        <f>4/3*PI()*B2^3+PI()*B2^2*B3-0.75522</f>
        <v>425.75505113542027</v>
      </c>
      <c r="C4" s="2" t="s">
        <v>373</v>
      </c>
      <c r="D4">
        <f>B4/I6</f>
        <v>6.9768803126559069</v>
      </c>
      <c r="E4" s="2" t="s">
        <v>337</v>
      </c>
      <c r="F4" s="2" t="s">
        <v>374</v>
      </c>
      <c r="G4">
        <f>PI()*B2^2*B3</f>
        <v>386.8244291002174</v>
      </c>
      <c r="H4" s="2" t="s">
        <v>369</v>
      </c>
    </row>
    <row r="5" spans="1:11" ht="15.75" customHeight="1">
      <c r="A5" s="2" t="s">
        <v>375</v>
      </c>
      <c r="B5" s="108">
        <v>3.8</v>
      </c>
      <c r="C5" s="2" t="s">
        <v>337</v>
      </c>
      <c r="D5">
        <f>B5*I6</f>
        <v>231.89005999999998</v>
      </c>
      <c r="E5" s="2" t="s">
        <v>373</v>
      </c>
      <c r="G5" s="2" t="s">
        <v>376</v>
      </c>
    </row>
    <row r="6" spans="1:11" ht="15.75" customHeight="1">
      <c r="G6" s="2">
        <v>1</v>
      </c>
      <c r="H6" s="2" t="s">
        <v>337</v>
      </c>
      <c r="I6" s="2">
        <v>61.023699999999998</v>
      </c>
      <c r="J6" s="2" t="s">
        <v>373</v>
      </c>
    </row>
    <row r="7" spans="1:11" ht="15.75" customHeight="1">
      <c r="A7" s="2" t="s">
        <v>377</v>
      </c>
      <c r="B7">
        <f>(D5-G3)/(B2^2*PI())</f>
        <v>15.074788155391303</v>
      </c>
      <c r="C7" s="2" t="s">
        <v>22</v>
      </c>
    </row>
    <row r="8" spans="1:11" ht="15.75" customHeight="1">
      <c r="A8" s="2" t="s">
        <v>378</v>
      </c>
      <c r="B8" s="18">
        <f>B3-B7+B2</f>
        <v>14.541211844608696</v>
      </c>
      <c r="C8" s="2" t="s">
        <v>22</v>
      </c>
      <c r="H8" s="2" t="s">
        <v>379</v>
      </c>
      <c r="J8" s="2" t="s">
        <v>380</v>
      </c>
    </row>
    <row r="9" spans="1:11" ht="15.75" customHeight="1">
      <c r="A9" s="2" t="s">
        <v>381</v>
      </c>
      <c r="B9" s="122">
        <f>B8-E9</f>
        <v>13.964943242887344</v>
      </c>
      <c r="C9" s="2" t="s">
        <v>22</v>
      </c>
      <c r="D9" s="2" t="s">
        <v>382</v>
      </c>
      <c r="E9" s="2">
        <f>'boil off calc'!D16</f>
        <v>0.57626860172135341</v>
      </c>
      <c r="F9" s="2" t="s">
        <v>22</v>
      </c>
      <c r="G9" s="2" t="s">
        <v>383</v>
      </c>
      <c r="H9" s="123">
        <v>16.9122907</v>
      </c>
      <c r="I9" s="2" t="s">
        <v>22</v>
      </c>
      <c r="J9" s="18">
        <v>15.266426518312972</v>
      </c>
      <c r="K9" s="2" t="s">
        <v>22</v>
      </c>
    </row>
    <row r="10" spans="1:11" ht="15.75" customHeight="1">
      <c r="A10" s="2" t="s">
        <v>384</v>
      </c>
      <c r="B10" s="11">
        <f>B9+E10+E11</f>
        <v>17.424943242887345</v>
      </c>
      <c r="C10" s="2" t="s">
        <v>22</v>
      </c>
      <c r="D10" s="2" t="s">
        <v>385</v>
      </c>
      <c r="E10" s="2">
        <v>2.96</v>
      </c>
      <c r="F10" s="2" t="s">
        <v>22</v>
      </c>
      <c r="G10" s="2" t="s">
        <v>386</v>
      </c>
      <c r="H10" s="124">
        <v>20.0022907</v>
      </c>
      <c r="I10" s="2" t="s">
        <v>22</v>
      </c>
      <c r="J10" s="19" t="s">
        <v>387</v>
      </c>
    </row>
    <row r="11" spans="1:11" ht="15.75" customHeight="1">
      <c r="D11" s="2" t="s">
        <v>388</v>
      </c>
      <c r="E11" s="2">
        <v>0.5</v>
      </c>
      <c r="F11" s="2" t="s">
        <v>22</v>
      </c>
      <c r="H11" s="2" t="s">
        <v>389</v>
      </c>
      <c r="I11" s="11">
        <f>H10-B10</f>
        <v>2.5773474571126549</v>
      </c>
    </row>
    <row r="12" spans="1:11" ht="15.75" customHeight="1">
      <c r="A12" s="98" t="s">
        <v>390</v>
      </c>
    </row>
    <row r="13" spans="1:11" ht="15.75" customHeight="1">
      <c r="A13" s="2" t="s">
        <v>391</v>
      </c>
      <c r="B13" s="18">
        <f>B9</f>
        <v>13.964943242887344</v>
      </c>
      <c r="C13" s="2" t="s">
        <v>22</v>
      </c>
      <c r="D13" s="2" t="s">
        <v>392</v>
      </c>
    </row>
    <row r="14" spans="1:11" ht="15.75" customHeight="1">
      <c r="A14" s="2" t="s">
        <v>393</v>
      </c>
      <c r="B14" s="125">
        <f>3/8</f>
        <v>0.375</v>
      </c>
      <c r="C14" s="2" t="s">
        <v>22</v>
      </c>
      <c r="D14" s="2">
        <v>0.3</v>
      </c>
      <c r="E14" s="2" t="s">
        <v>22</v>
      </c>
    </row>
    <row r="15" spans="1:11" ht="15.75" customHeight="1">
      <c r="A15" s="2" t="s">
        <v>394</v>
      </c>
      <c r="B15" s="2">
        <v>3.5000000000000003E-2</v>
      </c>
      <c r="C15" s="2" t="s">
        <v>22</v>
      </c>
      <c r="D15" s="2">
        <v>2.1150000000000002</v>
      </c>
    </row>
    <row r="16" spans="1:11" ht="15.75" customHeight="1">
      <c r="D16" s="126">
        <f>PI()*D14^2*D15</f>
        <v>0.59800216161081721</v>
      </c>
      <c r="F16">
        <f>D16/I6</f>
        <v>9.7995067754137691E-3</v>
      </c>
    </row>
    <row r="17" spans="1:12" ht="15.75" customHeight="1">
      <c r="A17" s="2" t="s">
        <v>395</v>
      </c>
      <c r="B17" s="125">
        <f>9/16</f>
        <v>0.5625</v>
      </c>
      <c r="E17" s="2" t="s">
        <v>396</v>
      </c>
      <c r="F17">
        <f>SQRT(F16^2+0.05^2)</f>
        <v>5.0951254479564889E-2</v>
      </c>
    </row>
    <row r="18" spans="1:12" ht="15.75" customHeight="1">
      <c r="A18" s="2" t="s">
        <v>397</v>
      </c>
      <c r="B18" s="127"/>
    </row>
    <row r="19" spans="1:12" ht="15.75" customHeight="1">
      <c r="A19" s="2" t="s">
        <v>398</v>
      </c>
    </row>
    <row r="23" spans="1:12" ht="15.75" customHeight="1">
      <c r="A23" s="1"/>
      <c r="B23" s="1"/>
      <c r="J23" s="1"/>
      <c r="K23" s="1"/>
      <c r="L23" s="1"/>
    </row>
    <row r="24" spans="1:12" ht="15.75" customHeight="1">
      <c r="A24" s="1"/>
      <c r="J24" s="1"/>
      <c r="K24" s="1"/>
      <c r="L24" s="1"/>
    </row>
    <row r="25" spans="1:12" ht="12.3">
      <c r="A25" s="1"/>
      <c r="D25" s="5"/>
    </row>
    <row r="26" spans="1:12" ht="12.3">
      <c r="A26" s="1"/>
      <c r="D26" s="5"/>
    </row>
    <row r="27" spans="1:12" ht="12.3">
      <c r="A27" s="1"/>
      <c r="D27" s="6"/>
    </row>
    <row r="28" spans="1:12" ht="12.3">
      <c r="A28" s="1"/>
      <c r="D28" s="6"/>
    </row>
    <row r="29" spans="1:12" ht="12.3">
      <c r="A29" s="1"/>
      <c r="D29" s="6"/>
    </row>
    <row r="30" spans="1:12" ht="12.3">
      <c r="A30" s="1"/>
      <c r="B30" s="14"/>
      <c r="D30" s="42"/>
    </row>
    <row r="31" spans="1:12" ht="12.3">
      <c r="A31" s="1"/>
      <c r="B31" s="11"/>
    </row>
    <row r="32" spans="1:12" ht="12.3">
      <c r="A32" s="1"/>
      <c r="B32" s="1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  <pageSetUpPr fitToPage="1"/>
  </sheetPr>
  <dimension ref="A1:M117"/>
  <sheetViews>
    <sheetView workbookViewId="0"/>
  </sheetViews>
  <sheetFormatPr defaultColWidth="12.609375" defaultRowHeight="15.75" customHeight="1"/>
  <cols>
    <col min="1" max="1" width="14.88671875" customWidth="1"/>
  </cols>
  <sheetData>
    <row r="1" spans="1:12" ht="15.75" customHeight="1">
      <c r="A1" s="151" t="s">
        <v>399</v>
      </c>
      <c r="B1" s="152"/>
      <c r="C1" s="152"/>
      <c r="D1" s="152"/>
      <c r="E1" s="152"/>
      <c r="F1" s="152"/>
      <c r="G1" s="152"/>
      <c r="I1" s="1"/>
      <c r="J1" s="1"/>
      <c r="K1" s="1"/>
      <c r="L1" s="2"/>
    </row>
    <row r="2" spans="1:12" ht="15.75" customHeight="1">
      <c r="A2" s="3" t="s">
        <v>1</v>
      </c>
      <c r="B2" s="4"/>
      <c r="C2" s="4"/>
      <c r="D2" s="4"/>
      <c r="E2" s="4"/>
      <c r="F2" s="4"/>
      <c r="G2" s="4"/>
      <c r="I2" s="1" t="s">
        <v>2</v>
      </c>
      <c r="J2" s="1" t="s">
        <v>3</v>
      </c>
      <c r="K2" s="1" t="s">
        <v>4</v>
      </c>
      <c r="L2" s="2" t="s">
        <v>5</v>
      </c>
    </row>
    <row r="3" spans="1:12" ht="15.75" customHeight="1">
      <c r="A3" s="2" t="s">
        <v>400</v>
      </c>
      <c r="B3" s="2">
        <v>90</v>
      </c>
      <c r="C3" s="2" t="s">
        <v>7</v>
      </c>
      <c r="D3" s="2">
        <f>I6*B3</f>
        <v>620550</v>
      </c>
      <c r="E3" s="2" t="s">
        <v>8</v>
      </c>
      <c r="F3" s="2" t="s">
        <v>11</v>
      </c>
      <c r="I3" s="2">
        <v>1000</v>
      </c>
      <c r="J3" s="2" t="s">
        <v>12</v>
      </c>
      <c r="K3" s="2" t="s">
        <v>13</v>
      </c>
    </row>
    <row r="4" spans="1:12" ht="15.75" customHeight="1">
      <c r="A4" s="2" t="s">
        <v>14</v>
      </c>
      <c r="B4" s="2">
        <v>0.79800000000000004</v>
      </c>
      <c r="C4" s="2" t="s">
        <v>15</v>
      </c>
      <c r="D4" s="5">
        <f>B4*I3</f>
        <v>798</v>
      </c>
      <c r="E4" s="2" t="s">
        <v>13</v>
      </c>
      <c r="F4" s="2" t="s">
        <v>16</v>
      </c>
      <c r="I4" s="2">
        <v>2.2046199999999998</v>
      </c>
      <c r="J4" s="2" t="s">
        <v>17</v>
      </c>
      <c r="K4" s="2" t="s">
        <v>18</v>
      </c>
    </row>
    <row r="5" spans="1:12" ht="15.75" customHeight="1">
      <c r="A5" s="2" t="s">
        <v>267</v>
      </c>
      <c r="B5" s="2">
        <v>1.141</v>
      </c>
      <c r="C5" s="2" t="s">
        <v>15</v>
      </c>
      <c r="D5" s="5">
        <f t="shared" ref="D5:D6" si="0">B5*I3</f>
        <v>1141</v>
      </c>
      <c r="E5" s="2" t="s">
        <v>13</v>
      </c>
      <c r="F5" s="2" t="s">
        <v>20</v>
      </c>
      <c r="I5" s="2">
        <v>25.4</v>
      </c>
      <c r="J5" s="2" t="s">
        <v>21</v>
      </c>
      <c r="K5" s="2" t="s">
        <v>22</v>
      </c>
    </row>
    <row r="6" spans="1:12" ht="15.75" customHeight="1">
      <c r="A6" s="2" t="s">
        <v>36</v>
      </c>
      <c r="B6" s="2">
        <v>0.83950000000000002</v>
      </c>
      <c r="C6" s="2" t="s">
        <v>37</v>
      </c>
      <c r="D6" s="11">
        <f t="shared" si="0"/>
        <v>1.8507784899999999</v>
      </c>
      <c r="E6" s="2" t="s">
        <v>38</v>
      </c>
      <c r="F6" s="2" t="s">
        <v>39</v>
      </c>
      <c r="I6" s="2">
        <v>6895</v>
      </c>
      <c r="J6" s="2" t="s">
        <v>40</v>
      </c>
      <c r="K6" s="2" t="s">
        <v>41</v>
      </c>
    </row>
    <row r="7" spans="1:12" ht="15.75" customHeight="1">
      <c r="A7" s="2" t="s">
        <v>401</v>
      </c>
      <c r="B7" s="2">
        <v>1.43</v>
      </c>
      <c r="C7" s="2" t="s">
        <v>47</v>
      </c>
      <c r="F7" s="2" t="s">
        <v>44</v>
      </c>
      <c r="I7" s="2">
        <v>5.7870000000000003E-4</v>
      </c>
      <c r="J7" s="2" t="s">
        <v>45</v>
      </c>
    </row>
    <row r="8" spans="1:12" ht="15.75" customHeight="1">
      <c r="A8" s="2" t="s">
        <v>402</v>
      </c>
      <c r="B8" s="2">
        <v>1.8</v>
      </c>
      <c r="C8" s="2"/>
      <c r="F8" s="2" t="s">
        <v>403</v>
      </c>
    </row>
    <row r="9" spans="1:12" ht="15.75" customHeight="1">
      <c r="A9" s="2" t="s">
        <v>404</v>
      </c>
      <c r="B9" s="2">
        <v>1.4</v>
      </c>
      <c r="C9" s="2"/>
      <c r="F9" s="2" t="s">
        <v>405</v>
      </c>
    </row>
    <row r="10" spans="1:12" ht="15.75" customHeight="1">
      <c r="A10" s="2" t="s">
        <v>46</v>
      </c>
      <c r="B10" s="2">
        <v>0.77</v>
      </c>
      <c r="C10" s="2" t="s">
        <v>47</v>
      </c>
      <c r="F10" s="2" t="s">
        <v>48</v>
      </c>
    </row>
    <row r="11" spans="1:12" ht="15.75" customHeight="1">
      <c r="A11" s="2" t="s">
        <v>49</v>
      </c>
      <c r="B11" s="2">
        <v>0.73</v>
      </c>
      <c r="C11" s="2" t="s">
        <v>47</v>
      </c>
      <c r="F11" s="2" t="s">
        <v>50</v>
      </c>
      <c r="I11" s="2"/>
      <c r="J11" s="2"/>
    </row>
    <row r="12" spans="1:12" ht="15.75" customHeight="1">
      <c r="A12" s="2" t="s">
        <v>158</v>
      </c>
      <c r="B12" s="2">
        <v>1.3</v>
      </c>
      <c r="C12" s="2" t="s">
        <v>47</v>
      </c>
      <c r="F12" s="2" t="s">
        <v>159</v>
      </c>
      <c r="I12" s="2">
        <v>386</v>
      </c>
      <c r="J12" s="2" t="s">
        <v>160</v>
      </c>
    </row>
    <row r="13" spans="1:12" ht="15.75" customHeight="1">
      <c r="A13" s="1" t="s">
        <v>52</v>
      </c>
      <c r="B13" s="2"/>
      <c r="C13" s="2"/>
      <c r="F13" s="2"/>
    </row>
    <row r="14" spans="1:12" ht="15.75" customHeight="1">
      <c r="A14" s="2" t="s">
        <v>53</v>
      </c>
      <c r="B14" s="2">
        <v>8</v>
      </c>
      <c r="C14" s="2" t="s">
        <v>54</v>
      </c>
      <c r="F14" s="2" t="s">
        <v>55</v>
      </c>
    </row>
    <row r="15" spans="1:12" ht="15.75" customHeight="1">
      <c r="A15" s="2" t="s">
        <v>56</v>
      </c>
      <c r="B15" s="2">
        <v>8</v>
      </c>
      <c r="C15" s="2" t="s">
        <v>54</v>
      </c>
      <c r="F15" s="2" t="s">
        <v>57</v>
      </c>
    </row>
    <row r="16" spans="1:12" ht="15.75" customHeight="1">
      <c r="A16" s="2" t="s">
        <v>58</v>
      </c>
      <c r="B16" s="2">
        <v>8</v>
      </c>
      <c r="C16" s="2" t="s">
        <v>54</v>
      </c>
      <c r="F16" s="2" t="s">
        <v>59</v>
      </c>
      <c r="L16" s="2"/>
    </row>
    <row r="17" spans="1:13" ht="15.75" customHeight="1">
      <c r="A17" s="2" t="s">
        <v>60</v>
      </c>
      <c r="B17" s="14">
        <v>0</v>
      </c>
      <c r="C17" s="2" t="s">
        <v>61</v>
      </c>
      <c r="F17" s="2" t="s">
        <v>62</v>
      </c>
      <c r="L17" s="2"/>
    </row>
    <row r="18" spans="1:13" ht="15.75" customHeight="1">
      <c r="A18" s="1" t="s">
        <v>63</v>
      </c>
      <c r="L18" s="2"/>
    </row>
    <row r="19" spans="1:13" ht="15.75" customHeight="1">
      <c r="A19" s="2" t="s">
        <v>64</v>
      </c>
      <c r="B19" s="2">
        <v>0.25</v>
      </c>
      <c r="C19" s="2" t="s">
        <v>65</v>
      </c>
      <c r="D19">
        <f>B19*I5</f>
        <v>6.35</v>
      </c>
      <c r="E19" s="2" t="s">
        <v>66</v>
      </c>
      <c r="F19" s="2" t="s">
        <v>67</v>
      </c>
      <c r="L19" s="2"/>
    </row>
    <row r="20" spans="1:13" ht="15.75" customHeight="1">
      <c r="A20" s="2" t="s">
        <v>68</v>
      </c>
      <c r="B20" s="2">
        <v>0.1</v>
      </c>
      <c r="C20" s="2" t="s">
        <v>65</v>
      </c>
      <c r="D20">
        <f>B20*I5</f>
        <v>2.54</v>
      </c>
      <c r="E20" s="2" t="s">
        <v>66</v>
      </c>
      <c r="F20" s="2" t="s">
        <v>69</v>
      </c>
      <c r="L20" s="2"/>
    </row>
    <row r="21" spans="1:13" ht="15.75" customHeight="1">
      <c r="L21" s="2"/>
    </row>
    <row r="22" spans="1:13" ht="15.75" customHeight="1">
      <c r="A22" s="3"/>
      <c r="B22" s="15"/>
      <c r="C22" s="4"/>
      <c r="D22" s="15"/>
      <c r="E22" s="4"/>
      <c r="F22" s="4"/>
      <c r="G22" s="4"/>
    </row>
    <row r="23" spans="1:13" ht="15.75" customHeight="1">
      <c r="A23" s="2" t="s">
        <v>71</v>
      </c>
      <c r="B23" s="11">
        <f>B6/(1+B7)</f>
        <v>0.34547325102880666</v>
      </c>
      <c r="C23" s="2" t="s">
        <v>37</v>
      </c>
      <c r="D23" s="11">
        <f>B23*I4</f>
        <v>0.76163723868312772</v>
      </c>
      <c r="E23" s="2" t="s">
        <v>38</v>
      </c>
      <c r="F23" s="2" t="s">
        <v>72</v>
      </c>
    </row>
    <row r="24" spans="1:13" ht="15.75" customHeight="1">
      <c r="A24" s="2" t="s">
        <v>73</v>
      </c>
      <c r="B24" s="11">
        <f>B6*B7/(1+B7)</f>
        <v>0.49402674897119347</v>
      </c>
      <c r="C24" s="2" t="s">
        <v>37</v>
      </c>
      <c r="D24" s="11">
        <f>B24*I4</f>
        <v>1.0891412513168726</v>
      </c>
      <c r="E24" s="2" t="s">
        <v>38</v>
      </c>
      <c r="F24" s="2" t="s">
        <v>74</v>
      </c>
      <c r="L24" s="16"/>
      <c r="M24" s="2"/>
    </row>
    <row r="25" spans="1:13" ht="12.3">
      <c r="A25" s="2" t="s">
        <v>77</v>
      </c>
      <c r="B25" s="18">
        <f t="shared" ref="B25:B26" si="1">B23/D4*(100^3)</f>
        <v>432.92387346968252</v>
      </c>
      <c r="C25" s="2" t="s">
        <v>161</v>
      </c>
      <c r="D25" s="11"/>
      <c r="E25" s="2"/>
      <c r="F25" s="2" t="s">
        <v>80</v>
      </c>
    </row>
    <row r="26" spans="1:13" ht="12.3">
      <c r="A26" s="2" t="s">
        <v>81</v>
      </c>
      <c r="B26" s="18">
        <f t="shared" si="1"/>
        <v>432.97699296335975</v>
      </c>
      <c r="C26" s="2" t="s">
        <v>161</v>
      </c>
      <c r="D26" s="11"/>
      <c r="E26" s="2"/>
      <c r="F26" s="19" t="s">
        <v>82</v>
      </c>
    </row>
    <row r="27" spans="1:13" ht="12.3">
      <c r="A27" s="2" t="s">
        <v>162</v>
      </c>
      <c r="B27" s="18">
        <f>B23/((B11)*SQRT(2*D4*D3))</f>
        <v>1.5037884098782495E-5</v>
      </c>
      <c r="C27" s="2" t="s">
        <v>84</v>
      </c>
      <c r="D27" s="11">
        <f t="shared" ref="D27:D28" si="2">B27*1000000</f>
        <v>15.037884098782495</v>
      </c>
      <c r="E27" s="2" t="s">
        <v>85</v>
      </c>
      <c r="F27" s="2" t="s">
        <v>86</v>
      </c>
    </row>
    <row r="28" spans="1:13" ht="16.5">
      <c r="A28" s="2" t="s">
        <v>163</v>
      </c>
      <c r="B28" s="18">
        <f>B24/((B10)*SQRT(2*D5*D3))</f>
        <v>1.7049573880371859E-5</v>
      </c>
      <c r="C28" s="2" t="s">
        <v>84</v>
      </c>
      <c r="D28" s="11">
        <f t="shared" si="2"/>
        <v>17.04957388037186</v>
      </c>
      <c r="E28" s="2" t="s">
        <v>85</v>
      </c>
      <c r="F28" s="2" t="s">
        <v>88</v>
      </c>
      <c r="J28" s="20"/>
      <c r="M28" s="2"/>
    </row>
    <row r="29" spans="1:13" ht="12.3">
      <c r="A29" s="1" t="s">
        <v>92</v>
      </c>
      <c r="B29" s="5"/>
      <c r="C29" s="2"/>
      <c r="D29" s="11"/>
      <c r="E29" s="2"/>
      <c r="F29" s="2"/>
      <c r="J29" s="2"/>
    </row>
    <row r="30" spans="1:13" ht="12.3">
      <c r="A30" s="2" t="s">
        <v>93</v>
      </c>
      <c r="B30" s="128">
        <f>2*SQRT((1-B17)*D27/(B14*PI()))</f>
        <v>1.5470467310214795</v>
      </c>
      <c r="C30" s="2" t="s">
        <v>66</v>
      </c>
      <c r="D30" s="5">
        <f>B30/I5</f>
        <v>6.0907351615018882E-2</v>
      </c>
      <c r="E30" s="2" t="s">
        <v>65</v>
      </c>
      <c r="F30" s="2" t="s">
        <v>94</v>
      </c>
    </row>
    <row r="31" spans="1:13" ht="12.3">
      <c r="A31" s="2" t="s">
        <v>95</v>
      </c>
      <c r="B31" s="128">
        <f>2*SQRT((B17)*D27/(B14*PI()))</f>
        <v>0</v>
      </c>
      <c r="C31" s="2" t="s">
        <v>66</v>
      </c>
      <c r="D31" s="5">
        <f>B31/I5</f>
        <v>0</v>
      </c>
      <c r="E31" s="2" t="s">
        <v>65</v>
      </c>
      <c r="F31" s="2" t="s">
        <v>96</v>
      </c>
      <c r="L31" s="2"/>
    </row>
    <row r="32" spans="1:13" ht="12.3">
      <c r="A32" s="2" t="s">
        <v>97</v>
      </c>
      <c r="B32" s="128">
        <f>2*SQRT(D28/(B15*PI()))</f>
        <v>1.6472777424197926</v>
      </c>
      <c r="C32" s="2" t="s">
        <v>66</v>
      </c>
      <c r="D32" s="5">
        <f>B32/I5</f>
        <v>6.4853454425976093E-2</v>
      </c>
      <c r="E32" s="2" t="s">
        <v>65</v>
      </c>
      <c r="F32" s="2" t="s">
        <v>98</v>
      </c>
      <c r="L32" s="2"/>
    </row>
    <row r="33" spans="1:10" ht="16.5">
      <c r="A33" s="2" t="s">
        <v>164</v>
      </c>
      <c r="B33" s="40">
        <f>B24/((1-B17)*B23)</f>
        <v>1.43</v>
      </c>
      <c r="C33" s="2"/>
      <c r="F33" s="2" t="s">
        <v>100</v>
      </c>
    </row>
    <row r="34" spans="1:10" ht="12.3">
      <c r="A34" s="2" t="s">
        <v>101</v>
      </c>
      <c r="B34" s="29">
        <f>(1-B17)*(B23)/((B27)*(D4))</f>
        <v>28.788882174237074</v>
      </c>
      <c r="C34" s="2" t="s">
        <v>102</v>
      </c>
      <c r="F34" s="2" t="s">
        <v>103</v>
      </c>
    </row>
    <row r="35" spans="1:10" ht="12.3">
      <c r="A35" s="2" t="s">
        <v>104</v>
      </c>
      <c r="B35" s="29">
        <f>(B24)/((B28)*(D5))</f>
        <v>25.395179727149657</v>
      </c>
      <c r="C35" s="2" t="s">
        <v>102</v>
      </c>
      <c r="F35" s="2" t="s">
        <v>105</v>
      </c>
      <c r="J35" s="2"/>
    </row>
    <row r="36" spans="1:10" ht="12.3">
      <c r="A36" s="2" t="s">
        <v>106</v>
      </c>
      <c r="B36" s="29">
        <f>(B17)*(B23)/((B27)*(D4))</f>
        <v>0</v>
      </c>
      <c r="C36" s="2" t="s">
        <v>102</v>
      </c>
      <c r="F36" s="2" t="s">
        <v>107</v>
      </c>
    </row>
    <row r="37" spans="1:10" ht="12.3">
      <c r="A37" s="2" t="s">
        <v>108</v>
      </c>
      <c r="B37">
        <f>7*B30</f>
        <v>10.829327117150356</v>
      </c>
    </row>
    <row r="38" spans="1:10" ht="12.3">
      <c r="A38" s="2" t="s">
        <v>109</v>
      </c>
      <c r="B38">
        <f>5*B32</f>
        <v>8.2363887120989627</v>
      </c>
    </row>
    <row r="39" spans="1:10" ht="12.3">
      <c r="A39" s="1" t="s">
        <v>150</v>
      </c>
    </row>
    <row r="40" spans="1:10" ht="12.3">
      <c r="A40" s="2" t="s">
        <v>151</v>
      </c>
      <c r="B40">
        <f>SQRT(4*B28/PI()+B19^2)</f>
        <v>0.2500434126140606</v>
      </c>
      <c r="C40" s="2" t="s">
        <v>65</v>
      </c>
      <c r="D40">
        <f>B40*I5</f>
        <v>6.3511026803971387</v>
      </c>
      <c r="E40" s="2" t="s">
        <v>66</v>
      </c>
      <c r="F40" s="2" t="s">
        <v>152</v>
      </c>
    </row>
    <row r="41" spans="1:10" ht="12.3">
      <c r="A41" s="2" t="s">
        <v>153</v>
      </c>
      <c r="B41">
        <f>SQRT(4*B27/PI()+(B40+2*B20)^2)</f>
        <v>0.45006468431328106</v>
      </c>
      <c r="C41" s="2" t="s">
        <v>65</v>
      </c>
      <c r="D41">
        <f>B41*I5</f>
        <v>11.431642981557339</v>
      </c>
      <c r="E41" s="2" t="s">
        <v>66</v>
      </c>
      <c r="F41" s="2" t="s">
        <v>154</v>
      </c>
    </row>
    <row r="42" spans="1:10" ht="12.3">
      <c r="A42" s="2" t="s">
        <v>155</v>
      </c>
      <c r="B42">
        <f>B41+2*B20</f>
        <v>0.65006468431328113</v>
      </c>
      <c r="C42" s="2" t="s">
        <v>65</v>
      </c>
      <c r="D42">
        <f>B42*I5</f>
        <v>16.51164298155734</v>
      </c>
      <c r="E42" s="2" t="s">
        <v>66</v>
      </c>
      <c r="F42" s="2" t="s">
        <v>156</v>
      </c>
    </row>
    <row r="44" spans="1:10" ht="12.3">
      <c r="A44" s="1" t="s">
        <v>406</v>
      </c>
    </row>
    <row r="45" spans="1:10" ht="12.3">
      <c r="A45" s="2" t="s">
        <v>115</v>
      </c>
      <c r="B45" s="2">
        <v>30</v>
      </c>
      <c r="C45" s="2" t="s">
        <v>116</v>
      </c>
      <c r="D45">
        <f t="shared" ref="D45:D46" si="3">B45*PI()/180</f>
        <v>0.52359877559829882</v>
      </c>
      <c r="E45" s="2" t="s">
        <v>117</v>
      </c>
    </row>
    <row r="46" spans="1:10" ht="12.3">
      <c r="A46" s="2" t="s">
        <v>118</v>
      </c>
      <c r="B46" s="2">
        <v>30</v>
      </c>
      <c r="C46" s="2" t="s">
        <v>119</v>
      </c>
      <c r="D46">
        <f t="shared" si="3"/>
        <v>0.52359877559829882</v>
      </c>
      <c r="E46" s="2" t="s">
        <v>117</v>
      </c>
    </row>
    <row r="48" spans="1:10" ht="12.3">
      <c r="A48" s="2" t="s">
        <v>120</v>
      </c>
      <c r="B48">
        <f>ATAN((B24*B35*SIN(D45)-((1-B17)*B23)*B34*SIN(D46))/((B24*B35*COS(D45)+((1-B17)*B23*B34*COS(D46)))))</f>
        <v>6.6644654190108857E-2</v>
      </c>
      <c r="C48" s="2" t="s">
        <v>117</v>
      </c>
      <c r="D48">
        <f>B48*180/PI()</f>
        <v>3.8184574122020951</v>
      </c>
      <c r="E48" s="2" t="s">
        <v>119</v>
      </c>
      <c r="F48" s="2" t="s">
        <v>121</v>
      </c>
    </row>
    <row r="56" spans="1:12" ht="20.100000000000001">
      <c r="A56" s="95" t="s">
        <v>1</v>
      </c>
      <c r="B56" s="4"/>
      <c r="C56" s="4"/>
      <c r="D56" s="4"/>
      <c r="E56" s="4"/>
      <c r="F56" s="4"/>
      <c r="G56" s="4"/>
    </row>
    <row r="57" spans="1:12" ht="12.3">
      <c r="A57" s="1" t="s">
        <v>248</v>
      </c>
      <c r="B57" s="14">
        <v>2</v>
      </c>
      <c r="C57" s="2" t="s">
        <v>249</v>
      </c>
      <c r="D57" s="2">
        <f>B57*J62</f>
        <v>7.57</v>
      </c>
      <c r="E57" s="2" t="s">
        <v>250</v>
      </c>
      <c r="F57" s="2" t="s">
        <v>251</v>
      </c>
      <c r="J57" s="2"/>
      <c r="K57" s="2"/>
      <c r="L57" s="2"/>
    </row>
    <row r="58" spans="1:12" ht="12.3">
      <c r="A58" s="1" t="s">
        <v>252</v>
      </c>
      <c r="B58" s="2">
        <v>1.83</v>
      </c>
      <c r="C58" s="2" t="s">
        <v>249</v>
      </c>
      <c r="D58" s="2">
        <f>B58*J62</f>
        <v>6.9265500000000007</v>
      </c>
      <c r="E58" s="2" t="s">
        <v>253</v>
      </c>
      <c r="F58" s="2" t="s">
        <v>254</v>
      </c>
      <c r="J58" s="2"/>
      <c r="K58" s="2"/>
      <c r="L58" s="2"/>
    </row>
    <row r="59" spans="1:12" ht="12.3">
      <c r="A59" s="1" t="s">
        <v>255</v>
      </c>
      <c r="B59" s="2">
        <f>'Hotfire Burn _ SimpleModel'!B6</f>
        <v>1.425</v>
      </c>
      <c r="C59" s="2"/>
      <c r="D59" s="2"/>
      <c r="E59" s="2"/>
      <c r="F59" s="2" t="s">
        <v>256</v>
      </c>
      <c r="J59" s="1"/>
      <c r="K59" s="1"/>
      <c r="L59" s="1"/>
    </row>
    <row r="60" spans="1:12" ht="12.3">
      <c r="A60" s="1" t="s">
        <v>257</v>
      </c>
      <c r="B60" s="2">
        <v>2</v>
      </c>
      <c r="C60" s="2" t="s">
        <v>258</v>
      </c>
      <c r="D60" s="2"/>
      <c r="E60" s="2"/>
      <c r="F60" s="2" t="s">
        <v>260</v>
      </c>
      <c r="J60" s="1"/>
      <c r="K60" s="1"/>
      <c r="L60" s="1"/>
    </row>
    <row r="61" spans="1:12" ht="12.3">
      <c r="A61" s="1" t="s">
        <v>261</v>
      </c>
      <c r="B61" s="2">
        <f>B59*B60</f>
        <v>2.85</v>
      </c>
      <c r="C61" s="2" t="s">
        <v>258</v>
      </c>
      <c r="F61" s="2" t="s">
        <v>262</v>
      </c>
      <c r="J61" s="1" t="s">
        <v>263</v>
      </c>
      <c r="K61" s="1" t="s">
        <v>3</v>
      </c>
      <c r="L61" s="1" t="s">
        <v>4</v>
      </c>
    </row>
    <row r="62" spans="1:12" ht="12.3">
      <c r="A62" s="1" t="s">
        <v>14</v>
      </c>
      <c r="B62" s="2">
        <v>0.79800000000000004</v>
      </c>
      <c r="C62" s="2" t="s">
        <v>264</v>
      </c>
      <c r="D62" s="5">
        <f>B62*J63</f>
        <v>798</v>
      </c>
      <c r="E62" s="2" t="s">
        <v>13</v>
      </c>
      <c r="F62" s="2" t="s">
        <v>16</v>
      </c>
      <c r="J62" s="2">
        <v>3.7850000000000001</v>
      </c>
      <c r="K62" s="2" t="s">
        <v>265</v>
      </c>
      <c r="L62" s="2" t="s">
        <v>266</v>
      </c>
    </row>
    <row r="63" spans="1:12" ht="12.3">
      <c r="A63" s="1" t="s">
        <v>267</v>
      </c>
      <c r="B63" s="2">
        <v>1.141</v>
      </c>
      <c r="C63" s="2" t="s">
        <v>264</v>
      </c>
      <c r="D63" s="5">
        <f>B63*J63</f>
        <v>1141</v>
      </c>
      <c r="E63" s="2" t="s">
        <v>13</v>
      </c>
      <c r="F63" s="2" t="s">
        <v>20</v>
      </c>
      <c r="J63" s="2">
        <v>1000</v>
      </c>
      <c r="K63" s="2" t="s">
        <v>12</v>
      </c>
      <c r="L63" s="2" t="s">
        <v>13</v>
      </c>
    </row>
    <row r="64" spans="1:12" ht="12.3">
      <c r="A64" s="1"/>
      <c r="B64" s="2"/>
      <c r="C64" s="2"/>
      <c r="D64" s="6"/>
      <c r="E64" s="2"/>
      <c r="F64" s="2"/>
      <c r="J64" s="2"/>
      <c r="K64" s="2"/>
      <c r="L64" s="2"/>
    </row>
    <row r="65" spans="1:12" ht="12.3">
      <c r="A65" s="1" t="s">
        <v>271</v>
      </c>
      <c r="B65" s="2">
        <v>435</v>
      </c>
      <c r="C65" s="2" t="s">
        <v>7</v>
      </c>
      <c r="D65" s="6">
        <f>B65*J68</f>
        <v>2999325</v>
      </c>
      <c r="E65" s="2" t="s">
        <v>8</v>
      </c>
      <c r="F65" s="2" t="s">
        <v>272</v>
      </c>
      <c r="J65" s="2">
        <v>2.2046199999999998</v>
      </c>
      <c r="K65" s="2" t="s">
        <v>17</v>
      </c>
      <c r="L65" s="2" t="s">
        <v>18</v>
      </c>
    </row>
    <row r="66" spans="1:12" ht="12.3">
      <c r="A66" s="1" t="s">
        <v>273</v>
      </c>
      <c r="B66" s="2">
        <v>430</v>
      </c>
      <c r="C66" s="2" t="s">
        <v>7</v>
      </c>
      <c r="D66" s="6">
        <f>B66*J68</f>
        <v>2964850</v>
      </c>
      <c r="E66" s="2" t="s">
        <v>8</v>
      </c>
      <c r="F66" s="2" t="s">
        <v>274</v>
      </c>
      <c r="J66" s="2">
        <v>25.4</v>
      </c>
      <c r="K66" s="2" t="s">
        <v>21</v>
      </c>
      <c r="L66" s="2" t="s">
        <v>22</v>
      </c>
    </row>
    <row r="67" spans="1:12" ht="12.3">
      <c r="A67" s="1" t="s">
        <v>275</v>
      </c>
      <c r="B67" s="14">
        <v>1.3</v>
      </c>
      <c r="D67" s="42"/>
      <c r="F67" s="2" t="s">
        <v>407</v>
      </c>
      <c r="J67" s="2"/>
      <c r="K67" s="2"/>
      <c r="L67" s="2"/>
    </row>
    <row r="68" spans="1:12" ht="12.3">
      <c r="A68" s="1" t="s">
        <v>277</v>
      </c>
      <c r="B68" s="11">
        <v>1.1499999999999999</v>
      </c>
      <c r="F68" s="2" t="s">
        <v>278</v>
      </c>
      <c r="J68" s="2">
        <v>6895</v>
      </c>
      <c r="K68" s="2" t="s">
        <v>40</v>
      </c>
      <c r="L68" s="2" t="s">
        <v>41</v>
      </c>
    </row>
    <row r="69" spans="1:12" ht="12.3">
      <c r="A69" s="1" t="s">
        <v>279</v>
      </c>
      <c r="B69" s="11">
        <v>1.1000000000000001</v>
      </c>
      <c r="F69" s="2" t="s">
        <v>278</v>
      </c>
    </row>
    <row r="70" spans="1:12" ht="12.3">
      <c r="A70" s="1"/>
    </row>
    <row r="71" spans="1:12" ht="12.3">
      <c r="A71" s="1" t="s">
        <v>280</v>
      </c>
      <c r="B71" s="2">
        <v>1.04</v>
      </c>
      <c r="F71" s="2" t="s">
        <v>281</v>
      </c>
    </row>
    <row r="72" spans="1:12" ht="12.3">
      <c r="A72" s="1" t="s">
        <v>282</v>
      </c>
      <c r="B72" s="14">
        <v>1</v>
      </c>
      <c r="F72" s="2" t="s">
        <v>283</v>
      </c>
    </row>
    <row r="73" spans="1:12" ht="12.3">
      <c r="A73" s="2"/>
      <c r="B73" s="14"/>
    </row>
    <row r="74" spans="1:12" ht="12.3">
      <c r="A74" s="1"/>
    </row>
    <row r="78" spans="1:12" ht="17.7">
      <c r="A78" s="96" t="s">
        <v>284</v>
      </c>
      <c r="B78" s="97"/>
      <c r="C78" s="98"/>
      <c r="D78" s="97"/>
      <c r="E78" s="98"/>
      <c r="F78" s="98"/>
      <c r="G78" s="98"/>
    </row>
    <row r="79" spans="1:12" ht="12.3">
      <c r="A79" s="9" t="s">
        <v>285</v>
      </c>
      <c r="B79" s="100">
        <f>D79/J62</f>
        <v>0.66215737494330273</v>
      </c>
      <c r="C79" s="9" t="s">
        <v>249</v>
      </c>
      <c r="D79" s="100">
        <f t="shared" ref="D79:D80" si="4">B60/B62</f>
        <v>2.5062656641604009</v>
      </c>
      <c r="E79" s="9" t="s">
        <v>253</v>
      </c>
      <c r="F79" s="101" t="s">
        <v>286</v>
      </c>
    </row>
    <row r="80" spans="1:12" ht="12.3">
      <c r="A80" s="9" t="s">
        <v>287</v>
      </c>
      <c r="B80" s="100">
        <f>D80/J62</f>
        <v>0.65992310159226708</v>
      </c>
      <c r="C80" s="9" t="s">
        <v>249</v>
      </c>
      <c r="D80" s="100">
        <f t="shared" si="4"/>
        <v>2.4978089395267311</v>
      </c>
      <c r="E80" s="9" t="s">
        <v>253</v>
      </c>
      <c r="F80" s="101" t="s">
        <v>288</v>
      </c>
    </row>
    <row r="81" spans="1:7" ht="12.3">
      <c r="B81" s="18"/>
      <c r="D81" s="11"/>
    </row>
    <row r="82" spans="1:7" ht="12.3">
      <c r="A82" s="2" t="s">
        <v>289</v>
      </c>
      <c r="B82" s="14">
        <f t="shared" ref="B82:B83" si="5">B65*(((B57-B79)/B57)^B71)</f>
        <v>286.33820065464431</v>
      </c>
      <c r="C82" s="2" t="s">
        <v>7</v>
      </c>
      <c r="D82" s="11"/>
      <c r="F82" s="2" t="s">
        <v>290</v>
      </c>
    </row>
    <row r="83" spans="1:7" ht="12.3">
      <c r="A83" s="2" t="s">
        <v>291</v>
      </c>
      <c r="B83" s="14">
        <f t="shared" si="5"/>
        <v>274.93610181165309</v>
      </c>
      <c r="C83" s="2" t="s">
        <v>7</v>
      </c>
      <c r="F83" s="2" t="s">
        <v>292</v>
      </c>
    </row>
    <row r="84" spans="1:7" ht="12.3">
      <c r="A84" s="2"/>
      <c r="C84" s="2"/>
      <c r="F84" s="2"/>
    </row>
    <row r="85" spans="1:7" ht="12.3">
      <c r="A85" s="1" t="s">
        <v>293</v>
      </c>
      <c r="B85">
        <f>((B82/B68/B67)+(B83/B69/B67))/2</f>
        <v>191.89678862982967</v>
      </c>
      <c r="C85" s="2" t="s">
        <v>7</v>
      </c>
      <c r="F85" s="2" t="s">
        <v>408</v>
      </c>
    </row>
    <row r="86" spans="1:7" ht="12.3">
      <c r="A86" s="19" t="s">
        <v>295</v>
      </c>
      <c r="B86" s="6">
        <f>B85*B67 - B85</f>
        <v>57.569036588948904</v>
      </c>
      <c r="F86" s="2" t="s">
        <v>296</v>
      </c>
    </row>
    <row r="90" spans="1:7" ht="15">
      <c r="A90" s="102" t="s">
        <v>409</v>
      </c>
      <c r="B90" s="103"/>
      <c r="C90" s="104"/>
      <c r="D90" s="103"/>
      <c r="E90" s="104"/>
      <c r="F90" s="104"/>
      <c r="G90" s="104"/>
    </row>
    <row r="91" spans="1:7" ht="12.3">
      <c r="A91" s="2" t="s">
        <v>298</v>
      </c>
      <c r="B91" s="14">
        <f>(B82/B68)/B85</f>
        <v>1.2975190542661648</v>
      </c>
      <c r="F91" s="2" t="s">
        <v>410</v>
      </c>
    </row>
    <row r="92" spans="1:7" ht="12.3">
      <c r="A92" s="2" t="s">
        <v>300</v>
      </c>
      <c r="B92" s="14">
        <f>(B83/B69)/B85</f>
        <v>1.3024809457338353</v>
      </c>
      <c r="F92" s="2" t="s">
        <v>410</v>
      </c>
    </row>
    <row r="93" spans="1:7" ht="12.3">
      <c r="A93" s="19" t="s">
        <v>301</v>
      </c>
      <c r="B93" s="29">
        <f>(B82/B68)-B85</f>
        <v>57.092951069861044</v>
      </c>
    </row>
    <row r="94" spans="1:7" ht="12.3">
      <c r="A94" s="2" t="s">
        <v>302</v>
      </c>
      <c r="B94" s="29">
        <f>(B83/B69)-B85</f>
        <v>58.045122108036765</v>
      </c>
    </row>
    <row r="98" spans="1:12" ht="15">
      <c r="A98" s="105" t="s">
        <v>303</v>
      </c>
      <c r="B98" s="98"/>
      <c r="C98" s="98"/>
      <c r="D98" s="98"/>
      <c r="E98" s="98"/>
      <c r="F98" s="98"/>
      <c r="G98" s="98"/>
    </row>
    <row r="99" spans="1:12" ht="12.3">
      <c r="A99" s="3" t="s">
        <v>1</v>
      </c>
      <c r="B99" s="4"/>
      <c r="C99" s="4"/>
      <c r="D99" s="4"/>
      <c r="E99" s="4"/>
      <c r="F99" s="4"/>
      <c r="I99" s="1" t="s">
        <v>2</v>
      </c>
      <c r="J99" s="1" t="s">
        <v>3</v>
      </c>
      <c r="K99" s="1" t="s">
        <v>4</v>
      </c>
      <c r="L99" s="2" t="s">
        <v>5</v>
      </c>
    </row>
    <row r="100" spans="1:12" ht="12.3">
      <c r="A100" s="2" t="s">
        <v>304</v>
      </c>
      <c r="B100" s="29">
        <f t="shared" ref="B100:B101" si="6">B93</f>
        <v>57.092951069861044</v>
      </c>
      <c r="C100" s="2" t="s">
        <v>7</v>
      </c>
      <c r="D100" s="6">
        <f>I105*B100</f>
        <v>393655.89762669191</v>
      </c>
      <c r="E100" s="2" t="s">
        <v>8</v>
      </c>
      <c r="F100" s="2" t="s">
        <v>11</v>
      </c>
      <c r="I100" s="2"/>
      <c r="J100" s="2"/>
      <c r="K100" s="2"/>
    </row>
    <row r="101" spans="1:12" ht="12.3">
      <c r="A101" s="2" t="s">
        <v>305</v>
      </c>
      <c r="B101" s="29">
        <f t="shared" si="6"/>
        <v>58.045122108036765</v>
      </c>
      <c r="C101" s="2" t="s">
        <v>7</v>
      </c>
      <c r="D101" s="6">
        <f>I105*B101</f>
        <v>400221.1169349135</v>
      </c>
      <c r="E101" s="2" t="s">
        <v>8</v>
      </c>
      <c r="F101" s="2" t="s">
        <v>11</v>
      </c>
      <c r="I101" s="2">
        <v>1000</v>
      </c>
      <c r="J101" s="2" t="s">
        <v>12</v>
      </c>
      <c r="K101" s="2" t="s">
        <v>13</v>
      </c>
    </row>
    <row r="102" spans="1:12" ht="12.3">
      <c r="A102" s="2" t="s">
        <v>14</v>
      </c>
      <c r="B102" s="2">
        <f t="shared" ref="B102:B103" si="7">B62</f>
        <v>0.79800000000000004</v>
      </c>
      <c r="C102" s="2" t="s">
        <v>15</v>
      </c>
      <c r="D102" s="5">
        <f>B102*I101</f>
        <v>798</v>
      </c>
      <c r="E102" s="2" t="s">
        <v>13</v>
      </c>
      <c r="F102" s="2" t="s">
        <v>16</v>
      </c>
      <c r="I102" s="2">
        <v>2.2046199999999998</v>
      </c>
      <c r="J102" s="2" t="s">
        <v>17</v>
      </c>
      <c r="K102" s="2" t="s">
        <v>18</v>
      </c>
    </row>
    <row r="103" spans="1:12" ht="12.3">
      <c r="A103" s="2" t="s">
        <v>267</v>
      </c>
      <c r="B103" s="2">
        <f t="shared" si="7"/>
        <v>1.141</v>
      </c>
      <c r="C103" s="2" t="s">
        <v>15</v>
      </c>
      <c r="D103" s="5">
        <f>B103*I101</f>
        <v>1141</v>
      </c>
      <c r="E103" s="2" t="s">
        <v>13</v>
      </c>
      <c r="F103" s="2" t="s">
        <v>20</v>
      </c>
      <c r="I103" s="2">
        <v>25.4</v>
      </c>
      <c r="J103" s="2" t="s">
        <v>21</v>
      </c>
      <c r="K103" s="2" t="s">
        <v>22</v>
      </c>
    </row>
    <row r="104" spans="1:12" ht="12.3">
      <c r="A104" s="2" t="s">
        <v>162</v>
      </c>
      <c r="B104" s="11">
        <f t="shared" ref="B104:B105" si="8">D27</f>
        <v>15.037884098782495</v>
      </c>
      <c r="C104" s="2" t="s">
        <v>85</v>
      </c>
      <c r="D104" s="42">
        <f t="shared" ref="D104:D105" si="9">B104/1000000</f>
        <v>1.5037884098782495E-5</v>
      </c>
      <c r="E104" s="2" t="s">
        <v>84</v>
      </c>
      <c r="F104" s="2" t="s">
        <v>86</v>
      </c>
      <c r="I104" s="2"/>
      <c r="J104" s="2"/>
      <c r="K104" s="2"/>
    </row>
    <row r="105" spans="1:12" ht="12.3">
      <c r="A105" s="2" t="s">
        <v>87</v>
      </c>
      <c r="B105" s="11">
        <f t="shared" si="8"/>
        <v>17.04957388037186</v>
      </c>
      <c r="C105" s="2" t="s">
        <v>85</v>
      </c>
      <c r="D105" s="42">
        <f t="shared" si="9"/>
        <v>1.7049573880371859E-5</v>
      </c>
      <c r="E105" s="2" t="s">
        <v>84</v>
      </c>
      <c r="F105" s="2" t="s">
        <v>306</v>
      </c>
      <c r="I105" s="2">
        <v>6895</v>
      </c>
      <c r="J105" s="2" t="s">
        <v>40</v>
      </c>
      <c r="K105" s="2" t="s">
        <v>41</v>
      </c>
    </row>
    <row r="106" spans="1:12" ht="12.3">
      <c r="A106" s="2" t="s">
        <v>307</v>
      </c>
      <c r="B106" s="11">
        <f>B24</f>
        <v>0.49402674897119347</v>
      </c>
      <c r="C106" s="2" t="s">
        <v>37</v>
      </c>
      <c r="F106" s="2" t="s">
        <v>308</v>
      </c>
      <c r="I106" s="2">
        <v>5.7870000000000003E-4</v>
      </c>
      <c r="J106" s="2" t="s">
        <v>45</v>
      </c>
    </row>
    <row r="107" spans="1:12" ht="12.3">
      <c r="A107" s="2" t="s">
        <v>46</v>
      </c>
      <c r="B107" s="2">
        <v>0.7</v>
      </c>
      <c r="C107" s="2" t="s">
        <v>47</v>
      </c>
      <c r="F107" s="2" t="s">
        <v>48</v>
      </c>
    </row>
    <row r="108" spans="1:12" ht="12.3">
      <c r="A108" s="2" t="s">
        <v>49</v>
      </c>
      <c r="B108" s="2">
        <v>0.65</v>
      </c>
      <c r="C108" s="2" t="s">
        <v>47</v>
      </c>
      <c r="F108" s="2" t="s">
        <v>50</v>
      </c>
      <c r="I108" s="2"/>
      <c r="J108" s="2"/>
    </row>
    <row r="109" spans="1:12" ht="12.3">
      <c r="A109" s="2" t="s">
        <v>158</v>
      </c>
      <c r="B109" s="2">
        <v>1.3</v>
      </c>
      <c r="C109" s="2" t="s">
        <v>47</v>
      </c>
      <c r="F109" s="2" t="s">
        <v>309</v>
      </c>
      <c r="I109" s="2">
        <v>386</v>
      </c>
      <c r="J109" s="2" t="s">
        <v>160</v>
      </c>
    </row>
    <row r="110" spans="1:12" ht="12.3">
      <c r="A110" s="1"/>
      <c r="B110" s="2"/>
      <c r="C110" s="2"/>
      <c r="F110" s="2"/>
    </row>
    <row r="112" spans="1:12" ht="12.3">
      <c r="A112" s="3" t="s">
        <v>70</v>
      </c>
      <c r="B112" s="15"/>
      <c r="C112" s="4"/>
      <c r="D112" s="15"/>
      <c r="E112" s="4"/>
      <c r="F112" s="4"/>
    </row>
    <row r="113" spans="1:6" ht="12.3">
      <c r="A113" s="2" t="s">
        <v>71</v>
      </c>
      <c r="B113" s="11">
        <f>B108*D104*SQRT(2*D102*D100)</f>
        <v>0.24500498146199798</v>
      </c>
      <c r="C113" s="2" t="s">
        <v>37</v>
      </c>
      <c r="D113" s="11">
        <f>B113*I102</f>
        <v>0.54014288223074991</v>
      </c>
      <c r="E113" s="2" t="s">
        <v>38</v>
      </c>
      <c r="F113" s="2" t="s">
        <v>72</v>
      </c>
    </row>
    <row r="114" spans="1:6" ht="12.3">
      <c r="A114" s="2" t="s">
        <v>73</v>
      </c>
      <c r="B114" s="11">
        <f>B107*D105*SQRT(2*D103*D101)</f>
        <v>0.36067778094804614</v>
      </c>
      <c r="C114" s="2" t="s">
        <v>37</v>
      </c>
      <c r="D114" s="11">
        <f>B114*I102</f>
        <v>0.79515744943368138</v>
      </c>
      <c r="E114" s="2" t="s">
        <v>38</v>
      </c>
      <c r="F114" s="2" t="s">
        <v>74</v>
      </c>
    </row>
    <row r="115" spans="1:6" ht="12.3">
      <c r="A115" s="1" t="s">
        <v>36</v>
      </c>
      <c r="B115" s="18">
        <f>B113+B114</f>
        <v>0.60568276241004415</v>
      </c>
      <c r="C115" s="2" t="s">
        <v>37</v>
      </c>
      <c r="D115" s="11">
        <f>B115*I102</f>
        <v>1.3353003316644314</v>
      </c>
      <c r="E115" s="2" t="s">
        <v>38</v>
      </c>
      <c r="F115" s="2" t="s">
        <v>86</v>
      </c>
    </row>
    <row r="116" spans="1:6" ht="12.3">
      <c r="A116" s="2" t="s">
        <v>312</v>
      </c>
      <c r="B116" s="11">
        <f>B114/B113</f>
        <v>1.4721242759873838</v>
      </c>
      <c r="C116" s="2"/>
      <c r="D116" s="11"/>
      <c r="F116" s="2" t="s">
        <v>313</v>
      </c>
    </row>
    <row r="117" spans="1:6" ht="12.3">
      <c r="A117" s="1" t="s">
        <v>411</v>
      </c>
      <c r="B117">
        <f>B61/((B114+B106)/2)</f>
        <v>6.6689713233865611</v>
      </c>
      <c r="F117" s="2" t="s">
        <v>412</v>
      </c>
    </row>
  </sheetData>
  <mergeCells count="1">
    <mergeCell ref="A1:G1"/>
  </mergeCells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L64"/>
  <sheetViews>
    <sheetView workbookViewId="0"/>
  </sheetViews>
  <sheetFormatPr defaultColWidth="12.609375" defaultRowHeight="15.75" customHeight="1"/>
  <cols>
    <col min="1" max="1" width="24.609375" customWidth="1"/>
  </cols>
  <sheetData>
    <row r="1" spans="1:12" ht="15.75" customHeight="1">
      <c r="A1" s="158" t="s">
        <v>413</v>
      </c>
      <c r="B1" s="159" t="s">
        <v>414</v>
      </c>
      <c r="C1" s="152"/>
      <c r="D1" s="152"/>
      <c r="E1" s="152"/>
      <c r="F1" s="152"/>
      <c r="G1" s="152"/>
      <c r="I1" s="2">
        <v>1000</v>
      </c>
      <c r="J1" s="2" t="s">
        <v>12</v>
      </c>
      <c r="K1" s="2" t="s">
        <v>13</v>
      </c>
    </row>
    <row r="2" spans="1:12" ht="15.75" customHeight="1">
      <c r="A2" s="152"/>
      <c r="B2" s="152"/>
      <c r="C2" s="152"/>
      <c r="D2" s="152"/>
      <c r="E2" s="152"/>
      <c r="F2" s="152"/>
      <c r="G2" s="152"/>
      <c r="I2" s="2">
        <v>2.2046199999999998</v>
      </c>
      <c r="J2" s="2" t="s">
        <v>17</v>
      </c>
      <c r="K2" s="2" t="s">
        <v>18</v>
      </c>
    </row>
    <row r="3" spans="1:12" ht="15.75" customHeight="1">
      <c r="A3" s="152"/>
      <c r="B3" s="152"/>
      <c r="C3" s="152"/>
      <c r="D3" s="152"/>
      <c r="E3" s="152"/>
      <c r="F3" s="152"/>
      <c r="G3" s="152"/>
      <c r="I3" s="2">
        <v>25.4</v>
      </c>
      <c r="J3" s="2" t="s">
        <v>21</v>
      </c>
      <c r="K3" s="2" t="s">
        <v>22</v>
      </c>
    </row>
    <row r="4" spans="1:12" ht="15.75" customHeight="1">
      <c r="A4" s="152"/>
      <c r="B4" s="152"/>
      <c r="C4" s="152"/>
      <c r="D4" s="152"/>
      <c r="E4" s="152"/>
      <c r="F4" s="152"/>
      <c r="G4" s="152"/>
      <c r="I4" s="2"/>
      <c r="J4" s="2"/>
      <c r="K4" s="2"/>
    </row>
    <row r="5" spans="1:12" ht="15.75" customHeight="1">
      <c r="A5" s="152"/>
      <c r="B5" s="152"/>
      <c r="C5" s="152"/>
      <c r="D5" s="152"/>
      <c r="E5" s="152"/>
      <c r="F5" s="152"/>
      <c r="G5" s="152"/>
      <c r="I5" s="2" t="s">
        <v>30</v>
      </c>
      <c r="J5" s="2" t="s">
        <v>31</v>
      </c>
      <c r="K5" s="2" t="s">
        <v>32</v>
      </c>
    </row>
    <row r="6" spans="1:12" ht="15.75" customHeight="1">
      <c r="A6" s="1"/>
      <c r="D6" s="11"/>
      <c r="I6" s="2"/>
      <c r="J6" s="2"/>
      <c r="K6" s="2"/>
    </row>
    <row r="7" spans="1:12" ht="15.75" customHeight="1">
      <c r="A7" s="1" t="s">
        <v>415</v>
      </c>
      <c r="D7" s="11"/>
      <c r="I7" s="2">
        <v>6895</v>
      </c>
      <c r="J7" s="2" t="s">
        <v>40</v>
      </c>
      <c r="K7" s="2" t="s">
        <v>41</v>
      </c>
    </row>
    <row r="8" spans="1:12" ht="15.75" customHeight="1">
      <c r="A8" s="2" t="s">
        <v>14</v>
      </c>
      <c r="I8" s="2">
        <v>5.7870000000000003E-4</v>
      </c>
      <c r="J8" s="2" t="s">
        <v>45</v>
      </c>
    </row>
    <row r="9" spans="1:12" ht="15.75" customHeight="1">
      <c r="A9" s="2" t="s">
        <v>14</v>
      </c>
      <c r="B9">
        <f>InjectorDesign!B5</f>
        <v>0.79800000000000004</v>
      </c>
      <c r="C9" s="2" t="s">
        <v>15</v>
      </c>
      <c r="D9" s="5">
        <f>B9*I8</f>
        <v>4.6180260000000002E-4</v>
      </c>
      <c r="E9" s="2" t="s">
        <v>13</v>
      </c>
      <c r="F9" s="2" t="s">
        <v>16</v>
      </c>
    </row>
    <row r="10" spans="1:12" ht="15.75" customHeight="1">
      <c r="A10" s="2" t="s">
        <v>19</v>
      </c>
      <c r="B10">
        <f>InjectorDesign!B6</f>
        <v>1.141</v>
      </c>
      <c r="C10" s="2" t="s">
        <v>15</v>
      </c>
      <c r="D10" s="5">
        <f>B10*I8</f>
        <v>6.6029670000000002E-4</v>
      </c>
      <c r="E10" s="2" t="s">
        <v>13</v>
      </c>
      <c r="F10" s="2" t="s">
        <v>20</v>
      </c>
      <c r="I10" s="2"/>
      <c r="J10" s="2"/>
    </row>
    <row r="11" spans="1:12" ht="15.75" customHeight="1">
      <c r="A11" s="2" t="s">
        <v>23</v>
      </c>
      <c r="B11">
        <f>InjectorDesign!B7</f>
        <v>1.3</v>
      </c>
      <c r="C11" s="2" t="s">
        <v>24</v>
      </c>
      <c r="D11" s="11"/>
      <c r="E11" s="2"/>
      <c r="F11" s="2" t="s">
        <v>26</v>
      </c>
      <c r="I11" s="2">
        <v>386</v>
      </c>
      <c r="J11" s="2" t="s">
        <v>160</v>
      </c>
    </row>
    <row r="12" spans="1:12" ht="15.75" customHeight="1">
      <c r="A12" s="2" t="s">
        <v>27</v>
      </c>
      <c r="B12">
        <f>InjectorDesign!B8</f>
        <v>138</v>
      </c>
      <c r="C12" s="2" t="s">
        <v>31</v>
      </c>
      <c r="D12" s="8">
        <f>B12*(10^-6)*100</f>
        <v>1.38E-2</v>
      </c>
      <c r="E12" s="2" t="s">
        <v>25</v>
      </c>
      <c r="F12" s="2" t="s">
        <v>29</v>
      </c>
    </row>
    <row r="13" spans="1:12" ht="15.75" customHeight="1">
      <c r="A13" s="2" t="s">
        <v>416</v>
      </c>
      <c r="B13" s="11">
        <f>InjectorDesign!B11</f>
        <v>0.875</v>
      </c>
      <c r="C13" s="2" t="s">
        <v>37</v>
      </c>
      <c r="D13" s="11">
        <f>B13*I9</f>
        <v>0</v>
      </c>
      <c r="E13" s="2" t="s">
        <v>38</v>
      </c>
      <c r="F13" s="2" t="s">
        <v>417</v>
      </c>
    </row>
    <row r="14" spans="1:12" ht="15.75" customHeight="1">
      <c r="A14" s="2" t="s">
        <v>42</v>
      </c>
      <c r="B14" s="14">
        <f>InjectorDesign!B12</f>
        <v>1.7250000000000001</v>
      </c>
      <c r="C14" s="2" t="s">
        <v>43</v>
      </c>
      <c r="F14" s="2" t="s">
        <v>44</v>
      </c>
    </row>
    <row r="15" spans="1:12" ht="15.75" customHeight="1">
      <c r="A15" s="2" t="s">
        <v>46</v>
      </c>
      <c r="B15" s="14">
        <f>InjectorDesign!B13</f>
        <v>0.49199999999999999</v>
      </c>
      <c r="C15" s="2" t="s">
        <v>47</v>
      </c>
      <c r="F15" s="2" t="s">
        <v>48</v>
      </c>
      <c r="L15" s="2"/>
    </row>
    <row r="16" spans="1:12" ht="15.75" customHeight="1">
      <c r="A16" s="2" t="s">
        <v>49</v>
      </c>
      <c r="B16" s="11">
        <f>InjectorDesign!B14</f>
        <v>0.81799999999999995</v>
      </c>
      <c r="C16" s="2" t="s">
        <v>47</v>
      </c>
      <c r="F16" s="2" t="s">
        <v>50</v>
      </c>
      <c r="L16" s="2"/>
    </row>
    <row r="17" spans="1:12" ht="15.75" customHeight="1">
      <c r="A17" s="2" t="s">
        <v>418</v>
      </c>
      <c r="B17">
        <f>InjectorDesign!B40*0.001</f>
        <v>2.0753062232907963E-3</v>
      </c>
      <c r="C17" s="2" t="s">
        <v>419</v>
      </c>
      <c r="L17" s="2"/>
    </row>
    <row r="18" spans="1:12" ht="15.75" customHeight="1">
      <c r="A18" s="2" t="s">
        <v>420</v>
      </c>
      <c r="B18">
        <f>InjectorDesign!B38*0.001</f>
        <v>1.3164637117436596E-3</v>
      </c>
      <c r="C18" s="2" t="s">
        <v>419</v>
      </c>
      <c r="L18" s="2"/>
    </row>
    <row r="19" spans="1:12" ht="15.75" customHeight="1">
      <c r="A19" s="2" t="s">
        <v>165</v>
      </c>
      <c r="B19" s="6">
        <f>InjectorDesign!B56</f>
        <v>307814.80382856698</v>
      </c>
      <c r="C19" s="2" t="s">
        <v>47</v>
      </c>
    </row>
    <row r="20" spans="1:12" ht="15.75" customHeight="1">
      <c r="A20" s="2" t="s">
        <v>166</v>
      </c>
      <c r="B20" s="6">
        <f>InjectorDesign!B57</f>
        <v>26068.958286905439</v>
      </c>
      <c r="C20" s="2" t="s">
        <v>47</v>
      </c>
    </row>
    <row r="22" spans="1:12" ht="15.75" customHeight="1">
      <c r="A22" s="3" t="s">
        <v>421</v>
      </c>
      <c r="B22" s="15"/>
      <c r="C22" s="4"/>
      <c r="D22" s="15"/>
      <c r="E22" s="4"/>
      <c r="F22" s="4"/>
      <c r="G22" s="4"/>
    </row>
    <row r="23" spans="1:12" ht="15.75" customHeight="1">
      <c r="A23" s="2" t="s">
        <v>422</v>
      </c>
      <c r="B23" s="2">
        <v>1.9336800000000001E-2</v>
      </c>
      <c r="C23" s="2" t="s">
        <v>40</v>
      </c>
      <c r="F23" s="2" t="s">
        <v>423</v>
      </c>
    </row>
    <row r="24" spans="1:12" ht="15.75" customHeight="1">
      <c r="A24" s="2" t="s">
        <v>424</v>
      </c>
      <c r="B24" s="2">
        <v>1</v>
      </c>
      <c r="C24" s="2" t="s">
        <v>425</v>
      </c>
      <c r="D24" s="2">
        <v>1000</v>
      </c>
      <c r="E24" s="2" t="s">
        <v>332</v>
      </c>
      <c r="F24" s="2" t="s">
        <v>426</v>
      </c>
    </row>
    <row r="25" spans="1:12" ht="12.3">
      <c r="A25" s="2" t="s">
        <v>427</v>
      </c>
      <c r="B25" s="2">
        <v>1.002</v>
      </c>
      <c r="C25" s="2" t="s">
        <v>428</v>
      </c>
      <c r="D25">
        <f>B25*0.001</f>
        <v>1.0020000000000001E-3</v>
      </c>
      <c r="E25" s="2" t="s">
        <v>25</v>
      </c>
      <c r="F25" s="2" t="s">
        <v>429</v>
      </c>
    </row>
    <row r="26" spans="1:12" ht="12.3">
      <c r="A26" s="2" t="s">
        <v>430</v>
      </c>
      <c r="B26">
        <f>(B20*D25)/(D24*B18)</f>
        <v>19.841865727450848</v>
      </c>
      <c r="C26" s="2" t="s">
        <v>133</v>
      </c>
    </row>
    <row r="27" spans="1:12" ht="12.3">
      <c r="A27" s="1" t="s">
        <v>431</v>
      </c>
      <c r="B27">
        <f>InjectorDesign!B32 * B26 * D24</f>
        <v>0.21606287932251234</v>
      </c>
      <c r="C27" s="2" t="s">
        <v>37</v>
      </c>
      <c r="F27" s="2" t="s">
        <v>432</v>
      </c>
    </row>
    <row r="30" spans="1:12" ht="12.3">
      <c r="A30" s="2" t="s">
        <v>433</v>
      </c>
      <c r="B30">
        <f>(0.5*D24*(B26^2))</f>
        <v>196849.81777309428</v>
      </c>
      <c r="C30" s="2" t="s">
        <v>41</v>
      </c>
      <c r="D30">
        <f>B30/I7</f>
        <v>28.549647247729411</v>
      </c>
      <c r="E30" s="2" t="s">
        <v>40</v>
      </c>
    </row>
    <row r="31" spans="1:12" ht="12.3">
      <c r="A31" s="2" t="s">
        <v>434</v>
      </c>
      <c r="B31">
        <f>D30 + 0.02</f>
        <v>28.56964724772941</v>
      </c>
      <c r="C31" s="2" t="s">
        <v>40</v>
      </c>
    </row>
    <row r="33" spans="1:7" ht="12.3">
      <c r="A33" s="3" t="s">
        <v>435</v>
      </c>
      <c r="B33" s="15"/>
      <c r="C33" s="4"/>
      <c r="D33" s="15"/>
      <c r="E33" s="4"/>
      <c r="F33" s="4" t="s">
        <v>436</v>
      </c>
      <c r="G33" s="4"/>
    </row>
    <row r="34" spans="1:7" ht="12.3">
      <c r="A34" s="2" t="s">
        <v>422</v>
      </c>
      <c r="B34" s="2">
        <v>1.9336800000000001E-2</v>
      </c>
      <c r="C34" s="2" t="s">
        <v>40</v>
      </c>
      <c r="F34" s="2" t="s">
        <v>423</v>
      </c>
    </row>
    <row r="35" spans="1:7" ht="12.3">
      <c r="A35" s="2" t="s">
        <v>424</v>
      </c>
      <c r="B35" s="2">
        <v>1</v>
      </c>
      <c r="C35" s="2" t="s">
        <v>425</v>
      </c>
      <c r="D35" s="2">
        <v>1000</v>
      </c>
      <c r="E35" s="2" t="s">
        <v>332</v>
      </c>
      <c r="F35" s="2" t="s">
        <v>426</v>
      </c>
    </row>
    <row r="36" spans="1:7" ht="12.3">
      <c r="A36" s="2" t="s">
        <v>427</v>
      </c>
      <c r="B36" s="2">
        <v>1.002</v>
      </c>
      <c r="C36" s="2" t="s">
        <v>428</v>
      </c>
      <c r="D36">
        <f>B36*0.001</f>
        <v>1.0020000000000001E-3</v>
      </c>
      <c r="E36" s="2" t="s">
        <v>25</v>
      </c>
      <c r="F36" s="2" t="s">
        <v>429</v>
      </c>
    </row>
    <row r="37" spans="1:7" ht="12.3">
      <c r="A37" s="2" t="s">
        <v>430</v>
      </c>
      <c r="B37">
        <f>(B19*D36)/(D35*B17)</f>
        <v>148.61923988602919</v>
      </c>
      <c r="C37" s="2" t="s">
        <v>133</v>
      </c>
    </row>
    <row r="38" spans="1:7" ht="12.3">
      <c r="A38" s="1" t="s">
        <v>431</v>
      </c>
      <c r="B38">
        <f>InjectorDesign!B33 * B37 * D35</f>
        <v>4.0217889908256881</v>
      </c>
      <c r="C38" s="2" t="s">
        <v>37</v>
      </c>
      <c r="F38" s="2" t="s">
        <v>432</v>
      </c>
    </row>
    <row r="41" spans="1:7" ht="12.3">
      <c r="A41" s="2" t="s">
        <v>433</v>
      </c>
      <c r="B41">
        <f>(0.5*D35*(B37^2))</f>
        <v>11043839.232150545</v>
      </c>
      <c r="C41" s="2" t="s">
        <v>41</v>
      </c>
      <c r="D41">
        <f>B41/I7</f>
        <v>1601.7170750037048</v>
      </c>
      <c r="E41" s="2" t="s">
        <v>40</v>
      </c>
    </row>
    <row r="42" spans="1:7" ht="12.3">
      <c r="A42" s="2" t="s">
        <v>434</v>
      </c>
      <c r="B42">
        <f>D41 + 0.02</f>
        <v>1601.7370750037048</v>
      </c>
      <c r="C42" s="2" t="s">
        <v>40</v>
      </c>
    </row>
    <row r="45" spans="1:7" ht="12.3">
      <c r="A45" s="4" t="s">
        <v>437</v>
      </c>
      <c r="B45" s="4"/>
      <c r="C45" s="4"/>
      <c r="D45" s="4"/>
      <c r="E45" s="4"/>
      <c r="F45" s="4"/>
    </row>
    <row r="46" spans="1:7" ht="12.3">
      <c r="A46" s="2" t="s">
        <v>422</v>
      </c>
      <c r="B46" s="2">
        <v>1.9336800000000001E-2</v>
      </c>
      <c r="C46" s="2" t="s">
        <v>40</v>
      </c>
      <c r="F46" s="2" t="s">
        <v>423</v>
      </c>
    </row>
    <row r="47" spans="1:7" ht="12.3">
      <c r="A47" s="2" t="s">
        <v>424</v>
      </c>
      <c r="B47" s="2">
        <v>1</v>
      </c>
      <c r="C47" s="2" t="s">
        <v>425</v>
      </c>
      <c r="D47" s="2">
        <v>1000</v>
      </c>
      <c r="E47" s="2" t="s">
        <v>332</v>
      </c>
      <c r="F47" s="2" t="s">
        <v>426</v>
      </c>
    </row>
    <row r="48" spans="1:7" ht="12.3">
      <c r="A48" s="2" t="s">
        <v>427</v>
      </c>
      <c r="B48" s="2">
        <v>1.002</v>
      </c>
      <c r="C48" s="2" t="s">
        <v>428</v>
      </c>
      <c r="D48">
        <f>B48*0.001</f>
        <v>1.0020000000000001E-3</v>
      </c>
      <c r="E48" s="2" t="s">
        <v>25</v>
      </c>
      <c r="F48" s="2" t="s">
        <v>429</v>
      </c>
    </row>
    <row r="50" spans="1:6" ht="12.3">
      <c r="A50" s="1" t="s">
        <v>438</v>
      </c>
      <c r="B50" s="2">
        <v>200</v>
      </c>
      <c r="C50" s="2" t="s">
        <v>40</v>
      </c>
      <c r="D50">
        <f>B50*6895</f>
        <v>1379000</v>
      </c>
      <c r="E50" s="2" t="s">
        <v>41</v>
      </c>
      <c r="F50" s="2"/>
    </row>
    <row r="51" spans="1:6" ht="12.3">
      <c r="A51" s="1" t="s">
        <v>221</v>
      </c>
      <c r="B51">
        <f>B16*(3.1415*(B18^2))*SQRT(2*D47*D50)</f>
        <v>0.23388656910763841</v>
      </c>
      <c r="C51" s="2"/>
      <c r="F51" s="2"/>
    </row>
    <row r="52" spans="1:6" ht="12.3">
      <c r="A52" s="1" t="s">
        <v>431</v>
      </c>
      <c r="B52">
        <f>InjectorDesign!B81 * B49 * D47</f>
        <v>0</v>
      </c>
      <c r="C52" s="2" t="s">
        <v>37</v>
      </c>
      <c r="F52" s="2" t="s">
        <v>432</v>
      </c>
    </row>
    <row r="53" spans="1:6" ht="12.3">
      <c r="A53" s="9" t="s">
        <v>430</v>
      </c>
      <c r="B53" s="10">
        <f>B51/(D47*(3.1415*(B18^2)))</f>
        <v>42.958631169998888</v>
      </c>
      <c r="C53" s="9" t="s">
        <v>133</v>
      </c>
      <c r="D53" s="9"/>
      <c r="E53" s="9"/>
      <c r="F53" s="9"/>
    </row>
    <row r="55" spans="1:6" ht="12.3">
      <c r="A55" s="2" t="s">
        <v>433</v>
      </c>
      <c r="B55">
        <f>(0.5*D47*(B53^2))</f>
        <v>922721.99600000004</v>
      </c>
      <c r="C55" s="2" t="s">
        <v>41</v>
      </c>
      <c r="D55">
        <f>B55/6895</f>
        <v>133.82480000000001</v>
      </c>
      <c r="E55" s="2" t="s">
        <v>40</v>
      </c>
    </row>
    <row r="56" spans="1:6" ht="16.5">
      <c r="A56" s="2" t="s">
        <v>439</v>
      </c>
      <c r="B56" s="20" t="b">
        <f>IF((B50-D55)&lt;B46, TRUE, FALSE)</f>
        <v>0</v>
      </c>
    </row>
    <row r="59" spans="1:6" ht="12.3">
      <c r="A59" s="3" t="s">
        <v>440</v>
      </c>
      <c r="B59" s="4"/>
      <c r="C59" s="4"/>
      <c r="D59" s="4"/>
      <c r="E59" s="4"/>
      <c r="F59" s="4"/>
    </row>
    <row r="60" spans="1:6" ht="12.3">
      <c r="A60" s="2" t="s">
        <v>441</v>
      </c>
      <c r="B60" s="2">
        <v>0.43</v>
      </c>
      <c r="C60" s="2" t="s">
        <v>22</v>
      </c>
      <c r="D60">
        <f>B60/39.4</f>
        <v>1.0913705583756345E-2</v>
      </c>
      <c r="E60" s="2" t="s">
        <v>131</v>
      </c>
    </row>
    <row r="61" spans="1:6" ht="12.3">
      <c r="A61" s="2" t="s">
        <v>442</v>
      </c>
      <c r="B61">
        <f>D60^2/4*3.1415</f>
        <v>9.3545206975186162E-5</v>
      </c>
      <c r="C61" s="2" t="s">
        <v>443</v>
      </c>
    </row>
    <row r="62" spans="1:6" ht="12.3">
      <c r="A62" s="2" t="s">
        <v>444</v>
      </c>
      <c r="B62" s="2">
        <v>0.4</v>
      </c>
      <c r="C62" s="2" t="s">
        <v>445</v>
      </c>
    </row>
    <row r="63" spans="1:6" ht="12.3">
      <c r="A63" s="2" t="s">
        <v>446</v>
      </c>
      <c r="B63">
        <f>B62/997/B61</f>
        <v>4.2888740514404011</v>
      </c>
      <c r="C63" s="2" t="s">
        <v>133</v>
      </c>
    </row>
    <row r="64" spans="1:6" ht="12.3">
      <c r="A64" s="2" t="s">
        <v>447</v>
      </c>
      <c r="B64">
        <f>0.5*997*(B63)</f>
        <v>2138.00371464304</v>
      </c>
      <c r="C64" s="2" t="s">
        <v>41</v>
      </c>
      <c r="D64">
        <f>B64/6895</f>
        <v>0.31008030669224657</v>
      </c>
      <c r="E64" s="2" t="s">
        <v>40</v>
      </c>
    </row>
  </sheetData>
  <mergeCells count="2">
    <mergeCell ref="A1:A5"/>
    <mergeCell ref="B1:G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M16"/>
  <sheetViews>
    <sheetView workbookViewId="0"/>
  </sheetViews>
  <sheetFormatPr defaultColWidth="12.609375" defaultRowHeight="15.75" customHeight="1"/>
  <cols>
    <col min="1" max="1" width="22.38671875" customWidth="1"/>
    <col min="4" max="4" width="17.21875" customWidth="1"/>
    <col min="6" max="6" width="16.38671875" customWidth="1"/>
  </cols>
  <sheetData>
    <row r="1" spans="1:13" ht="15.75" customHeight="1">
      <c r="A1" s="2" t="s">
        <v>448</v>
      </c>
      <c r="B1" s="2">
        <v>30</v>
      </c>
      <c r="C1" s="2" t="s">
        <v>449</v>
      </c>
      <c r="D1" s="2">
        <f>B1/60</f>
        <v>0.5</v>
      </c>
      <c r="E1" s="2" t="s">
        <v>450</v>
      </c>
    </row>
    <row r="2" spans="1:13" ht="15.75" customHeight="1">
      <c r="A2" s="2" t="s">
        <v>451</v>
      </c>
      <c r="B2" s="2">
        <v>-20</v>
      </c>
      <c r="C2" s="2" t="s">
        <v>452</v>
      </c>
    </row>
    <row r="3" spans="1:13" ht="15.75" customHeight="1">
      <c r="A3" s="2" t="s">
        <v>453</v>
      </c>
    </row>
    <row r="4" spans="1:13" ht="15.75" customHeight="1">
      <c r="A4" s="2" t="s">
        <v>454</v>
      </c>
      <c r="B4" s="2">
        <v>200</v>
      </c>
      <c r="C4" s="2" t="s">
        <v>455</v>
      </c>
      <c r="E4" s="2" t="s">
        <v>456</v>
      </c>
      <c r="F4" s="2">
        <v>-195.8</v>
      </c>
      <c r="G4" s="2" t="s">
        <v>452</v>
      </c>
      <c r="I4" s="2" t="s">
        <v>457</v>
      </c>
      <c r="J4" s="2">
        <v>1.1606000000000001</v>
      </c>
      <c r="K4" s="2" t="s">
        <v>331</v>
      </c>
      <c r="L4">
        <f>J4/1000</f>
        <v>1.1606000000000001E-3</v>
      </c>
      <c r="M4" s="2" t="s">
        <v>458</v>
      </c>
    </row>
    <row r="5" spans="1:13" ht="15.75" customHeight="1">
      <c r="A5" s="2" t="s">
        <v>459</v>
      </c>
      <c r="B5" s="2">
        <v>213</v>
      </c>
      <c r="C5" s="2" t="s">
        <v>455</v>
      </c>
      <c r="E5" s="129" t="s">
        <v>456</v>
      </c>
      <c r="F5" s="2">
        <v>-183</v>
      </c>
      <c r="G5" s="2" t="s">
        <v>452</v>
      </c>
      <c r="I5" s="2" t="s">
        <v>460</v>
      </c>
      <c r="J5" s="2">
        <v>1.141</v>
      </c>
      <c r="K5" s="2" t="s">
        <v>461</v>
      </c>
      <c r="L5" s="2" t="s">
        <v>458</v>
      </c>
    </row>
    <row r="7" spans="1:13" ht="15.75" customHeight="1">
      <c r="A7" s="2" t="s">
        <v>462</v>
      </c>
      <c r="B7" s="46">
        <f>(D1*L4)*B4/(B2- F4)*(B2- F5)/B5</f>
        <v>5.0520971868373682E-4</v>
      </c>
      <c r="C7" s="2" t="s">
        <v>445</v>
      </c>
    </row>
    <row r="8" spans="1:13" ht="15.75" customHeight="1">
      <c r="A8" s="2" t="s">
        <v>463</v>
      </c>
      <c r="B8" s="108">
        <f>B7/J5</f>
        <v>4.4277801812772725E-4</v>
      </c>
      <c r="C8" s="2" t="s">
        <v>450</v>
      </c>
      <c r="D8">
        <f>B8*0.001</f>
        <v>4.4277801812772723E-7</v>
      </c>
      <c r="E8" s="2" t="s">
        <v>464</v>
      </c>
    </row>
    <row r="9" spans="1:13" ht="15.75" customHeight="1">
      <c r="A9" s="2" t="s">
        <v>465</v>
      </c>
    </row>
    <row r="11" spans="1:13" ht="15.75" customHeight="1">
      <c r="B11">
        <f>B8*60</f>
        <v>2.6566681087663635E-2</v>
      </c>
      <c r="C11" s="2" t="s">
        <v>449</v>
      </c>
    </row>
    <row r="12" spans="1:13" ht="15.75" customHeight="1">
      <c r="A12" s="2" t="s">
        <v>466</v>
      </c>
      <c r="B12" s="2">
        <v>5</v>
      </c>
    </row>
    <row r="13" spans="1:13" ht="15.75" customHeight="1">
      <c r="A13" s="2" t="s">
        <v>467</v>
      </c>
      <c r="B13">
        <f>B11*B12</f>
        <v>0.13283340543831818</v>
      </c>
      <c r="C13" s="2" t="s">
        <v>468</v>
      </c>
      <c r="D13">
        <f>B13*1000</f>
        <v>132.83340543831818</v>
      </c>
      <c r="E13" s="2" t="s">
        <v>469</v>
      </c>
      <c r="F13" s="2" t="s">
        <v>470</v>
      </c>
    </row>
    <row r="15" spans="1:13" ht="15.75" customHeight="1">
      <c r="A15" s="2" t="s">
        <v>367</v>
      </c>
      <c r="B15" s="18">
        <v>2.1160000000000001</v>
      </c>
      <c r="C15" s="2" t="s">
        <v>22</v>
      </c>
      <c r="D15">
        <f>B15*2.54</f>
        <v>5.3746400000000003</v>
      </c>
      <c r="E15" s="2" t="s">
        <v>471</v>
      </c>
      <c r="F15" s="2" t="s">
        <v>472</v>
      </c>
      <c r="G15">
        <f>D15^2*PI()</f>
        <v>90.750417701198643</v>
      </c>
      <c r="H15" s="2" t="s">
        <v>473</v>
      </c>
    </row>
    <row r="16" spans="1:13" ht="15.75" customHeight="1">
      <c r="A16" s="2" t="s">
        <v>474</v>
      </c>
      <c r="B16">
        <f>D13/G15</f>
        <v>1.4637222483722376</v>
      </c>
      <c r="C16" s="2" t="s">
        <v>471</v>
      </c>
      <c r="D16" s="46">
        <f>B16/2.54</f>
        <v>0.57626860172135341</v>
      </c>
      <c r="E16" s="2" t="s">
        <v>22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  <pageSetUpPr fitToPage="1"/>
  </sheetPr>
  <dimension ref="A1:G40"/>
  <sheetViews>
    <sheetView workbookViewId="0"/>
  </sheetViews>
  <sheetFormatPr defaultColWidth="12.609375" defaultRowHeight="15.75" customHeight="1"/>
  <cols>
    <col min="2" max="2" width="22.38671875" customWidth="1"/>
    <col min="3" max="3" width="18.109375" customWidth="1"/>
    <col min="4" max="4" width="16.109375" customWidth="1"/>
  </cols>
  <sheetData>
    <row r="1" spans="1:7" ht="15.75" customHeight="1">
      <c r="A1" s="96" t="s">
        <v>475</v>
      </c>
      <c r="B1" s="98"/>
      <c r="C1" s="98"/>
      <c r="D1" s="98"/>
      <c r="E1" s="98"/>
      <c r="F1" s="98"/>
      <c r="G1" s="98"/>
    </row>
    <row r="2" spans="1:7" ht="15.75" customHeight="1">
      <c r="B2" s="2"/>
      <c r="C2" s="2"/>
      <c r="D2" s="2"/>
    </row>
    <row r="3" spans="1:7" ht="15.75" customHeight="1">
      <c r="B3" s="2" t="s">
        <v>476</v>
      </c>
      <c r="C3" s="1" t="s">
        <v>477</v>
      </c>
      <c r="D3" s="1" t="s">
        <v>478</v>
      </c>
      <c r="E3" s="1" t="s">
        <v>479</v>
      </c>
      <c r="F3" s="2" t="s">
        <v>480</v>
      </c>
      <c r="G3" s="2" t="s">
        <v>481</v>
      </c>
    </row>
    <row r="4" spans="1:7" ht="15.75" customHeight="1">
      <c r="B4" s="2" t="s">
        <v>482</v>
      </c>
    </row>
    <row r="5" spans="1:7" ht="15.75" customHeight="1">
      <c r="A5" s="2" t="s">
        <v>1</v>
      </c>
      <c r="B5" s="46" t="s">
        <v>483</v>
      </c>
      <c r="C5" s="2">
        <v>0.1</v>
      </c>
      <c r="D5" s="2">
        <f>(0.001/5*5)</f>
        <v>1E-3</v>
      </c>
      <c r="E5" s="2">
        <v>2.0000000000000001E-4</v>
      </c>
      <c r="F5" s="2">
        <f>15/(2*60)</f>
        <v>0.125</v>
      </c>
    </row>
    <row r="6" spans="1:7" ht="15.75" customHeight="1">
      <c r="A6" s="2" t="s">
        <v>484</v>
      </c>
      <c r="B6" s="130" t="s">
        <v>485</v>
      </c>
      <c r="C6" s="130">
        <f t="shared" ref="C6:F6" si="0">C7 * 39.3701</f>
        <v>0.20321379092882155</v>
      </c>
      <c r="D6" s="130">
        <f t="shared" si="0"/>
        <v>3.0668512001751486E-2</v>
      </c>
      <c r="E6" s="130">
        <f t="shared" si="0"/>
        <v>1.3715375520936894E-2</v>
      </c>
      <c r="F6" s="130">
        <f t="shared" si="0"/>
        <v>0.1528256163977465</v>
      </c>
    </row>
    <row r="7" spans="1:7" ht="15.75" customHeight="1">
      <c r="A7" s="2"/>
      <c r="B7" s="2" t="s">
        <v>486</v>
      </c>
      <c r="C7" s="2">
        <f t="shared" ref="C7:F7" si="1">SQRT(C8/3.1415) *2</f>
        <v>5.1616275023132164E-3</v>
      </c>
      <c r="D7" s="2">
        <f t="shared" si="1"/>
        <v>7.7897978419540432E-4</v>
      </c>
      <c r="E7" s="2">
        <f t="shared" si="1"/>
        <v>3.4837035011180806E-4</v>
      </c>
      <c r="F7" s="2">
        <f t="shared" si="1"/>
        <v>3.8817685603477381E-3</v>
      </c>
    </row>
    <row r="8" spans="1:7" ht="15.75" customHeight="1">
      <c r="A8" s="2"/>
      <c r="B8" s="2" t="s">
        <v>487</v>
      </c>
      <c r="C8">
        <f t="shared" ref="C8:F8" si="2">C5/(SQRT(C16*C21*C17*(2/(C16+1))^((C16+1)/(C16-1)))*C11)</f>
        <v>2.092427370044664E-5</v>
      </c>
      <c r="D8">
        <f t="shared" si="2"/>
        <v>4.7657301434938755E-7</v>
      </c>
      <c r="E8">
        <f t="shared" si="2"/>
        <v>9.5314602869877521E-8</v>
      </c>
      <c r="F8">
        <f t="shared" si="2"/>
        <v>1.1834130365225299E-5</v>
      </c>
    </row>
    <row r="9" spans="1:7" ht="15.75" customHeight="1">
      <c r="A9" s="2"/>
      <c r="B9" s="2" t="s">
        <v>488</v>
      </c>
      <c r="C9">
        <f t="shared" ref="C9:F9" si="3">0.76/C6^2</f>
        <v>18.403788643755146</v>
      </c>
      <c r="D9">
        <f t="shared" si="3"/>
        <v>808.03129659537979</v>
      </c>
      <c r="E9">
        <f t="shared" si="3"/>
        <v>4040.156482976899</v>
      </c>
      <c r="F9">
        <f t="shared" si="3"/>
        <v>32.540279583084754</v>
      </c>
    </row>
    <row r="10" spans="1:7" ht="15.75" customHeight="1">
      <c r="A10" s="2"/>
      <c r="B10" s="2" t="s">
        <v>489</v>
      </c>
      <c r="C10">
        <f t="shared" ref="C10:F10" si="4">(C6/0.236)^2</f>
        <v>0.74145081915510624</v>
      </c>
      <c r="D10">
        <f t="shared" si="4"/>
        <v>1.6887346100286828E-2</v>
      </c>
      <c r="E10">
        <f t="shared" si="4"/>
        <v>3.3774692200573648E-3</v>
      </c>
      <c r="F10">
        <f t="shared" si="4"/>
        <v>0.41934194605269975</v>
      </c>
    </row>
    <row r="11" spans="1:7" ht="15.75" customHeight="1">
      <c r="A11" s="2"/>
      <c r="B11" s="46" t="s">
        <v>490</v>
      </c>
      <c r="C11" s="2">
        <v>0.82</v>
      </c>
      <c r="D11" s="2">
        <v>0.82</v>
      </c>
      <c r="E11" s="2">
        <v>0.82</v>
      </c>
      <c r="F11" s="2">
        <v>0.82</v>
      </c>
    </row>
    <row r="12" spans="1:7" ht="15.75" customHeight="1">
      <c r="A12" s="2"/>
      <c r="B12" s="2" t="s">
        <v>491</v>
      </c>
      <c r="C12">
        <f t="shared" ref="C12:F12" si="5">C11 * C8</f>
        <v>1.7157904434366245E-5</v>
      </c>
      <c r="D12">
        <f t="shared" si="5"/>
        <v>3.9078987176649777E-7</v>
      </c>
      <c r="E12">
        <f t="shared" si="5"/>
        <v>7.8157974353299562E-8</v>
      </c>
      <c r="F12">
        <f t="shared" si="5"/>
        <v>9.7039868994847449E-6</v>
      </c>
    </row>
    <row r="13" spans="1:7" ht="15.75" customHeight="1">
      <c r="A13" s="2"/>
      <c r="B13" s="46" t="s">
        <v>492</v>
      </c>
      <c r="C13" s="2" t="s">
        <v>493</v>
      </c>
      <c r="D13" s="2" t="s">
        <v>493</v>
      </c>
      <c r="E13" s="2" t="s">
        <v>493</v>
      </c>
      <c r="F13" s="2" t="s">
        <v>494</v>
      </c>
    </row>
    <row r="14" spans="1:7" ht="15.75" customHeight="1">
      <c r="A14" s="2"/>
      <c r="B14" s="46" t="s">
        <v>495</v>
      </c>
      <c r="C14" s="2">
        <v>2.801E-2</v>
      </c>
      <c r="D14" s="2">
        <v>2.801E-2</v>
      </c>
      <c r="E14" s="2">
        <v>2.801E-2</v>
      </c>
      <c r="F14" s="2">
        <v>2.801E-2</v>
      </c>
    </row>
    <row r="15" spans="1:7" ht="15.75" customHeight="1">
      <c r="A15" s="2"/>
      <c r="B15" s="46" t="s">
        <v>496</v>
      </c>
      <c r="C15" s="2">
        <v>296.8</v>
      </c>
      <c r="D15" s="2">
        <v>296.8</v>
      </c>
      <c r="E15" s="2">
        <v>296.8</v>
      </c>
      <c r="F15" s="2">
        <v>296.8</v>
      </c>
    </row>
    <row r="16" spans="1:7" ht="15.75" customHeight="1">
      <c r="A16" s="2"/>
      <c r="B16" s="46" t="s">
        <v>497</v>
      </c>
      <c r="C16" s="2">
        <v>1.4</v>
      </c>
      <c r="D16" s="2">
        <v>1.4</v>
      </c>
      <c r="E16" s="2">
        <v>1.4</v>
      </c>
      <c r="F16" s="2">
        <v>1.67</v>
      </c>
    </row>
    <row r="17" spans="1:6" ht="15.75" customHeight="1">
      <c r="A17" s="154" t="s">
        <v>498</v>
      </c>
      <c r="B17" s="2" t="s">
        <v>499</v>
      </c>
      <c r="C17">
        <f t="shared" ref="C17:F17" si="6">C18 * 6894.76</f>
        <v>2861325.4</v>
      </c>
      <c r="D17">
        <f t="shared" si="6"/>
        <v>551580.80000000005</v>
      </c>
      <c r="E17">
        <f t="shared" si="6"/>
        <v>551580.80000000005</v>
      </c>
      <c r="F17">
        <f t="shared" si="6"/>
        <v>12410568</v>
      </c>
    </row>
    <row r="18" spans="1:6" ht="15.75" customHeight="1">
      <c r="A18" s="152"/>
      <c r="B18" s="46" t="s">
        <v>500</v>
      </c>
      <c r="C18" s="2">
        <v>415</v>
      </c>
      <c r="D18" s="2">
        <v>80</v>
      </c>
      <c r="E18" s="2">
        <v>80</v>
      </c>
      <c r="F18" s="2">
        <v>1800</v>
      </c>
    </row>
    <row r="19" spans="1:6" ht="15.75" customHeight="1">
      <c r="A19" s="152"/>
      <c r="B19" s="2" t="s">
        <v>501</v>
      </c>
      <c r="C19">
        <f t="shared" ref="C19:F19" si="7">(C20+459.67)*5/9</f>
        <v>277.59444444444443</v>
      </c>
      <c r="D19">
        <f t="shared" si="7"/>
        <v>277.59444444444443</v>
      </c>
      <c r="E19">
        <f t="shared" si="7"/>
        <v>277.59444444444443</v>
      </c>
      <c r="F19">
        <f t="shared" si="7"/>
        <v>305.37222222222226</v>
      </c>
    </row>
    <row r="20" spans="1:6" ht="15.75" customHeight="1">
      <c r="A20" s="152"/>
      <c r="B20" s="46" t="s">
        <v>502</v>
      </c>
      <c r="C20" s="2">
        <v>40</v>
      </c>
      <c r="D20" s="2">
        <v>40</v>
      </c>
      <c r="E20" s="2">
        <v>40</v>
      </c>
      <c r="F20" s="2">
        <v>90</v>
      </c>
    </row>
    <row r="21" spans="1:6" ht="15.75" customHeight="1">
      <c r="A21" s="152"/>
      <c r="B21" s="46" t="s">
        <v>503</v>
      </c>
      <c r="C21" s="2">
        <v>25.32</v>
      </c>
      <c r="D21" s="2">
        <v>25.32</v>
      </c>
      <c r="E21" s="2">
        <v>25.32</v>
      </c>
      <c r="F21" s="2">
        <v>25.32</v>
      </c>
    </row>
    <row r="22" spans="1:6" ht="15.75" customHeight="1">
      <c r="B22" s="2"/>
    </row>
    <row r="23" spans="1:6" ht="15.75" customHeight="1">
      <c r="A23" s="154" t="s">
        <v>504</v>
      </c>
      <c r="B23" s="2" t="s">
        <v>505</v>
      </c>
      <c r="C23" s="121">
        <f t="shared" ref="C23:F23" si="8">C24 * 6894.76</f>
        <v>101352.97199999999</v>
      </c>
      <c r="D23" s="121">
        <f t="shared" si="8"/>
        <v>275790.40000000002</v>
      </c>
      <c r="E23" s="121">
        <f t="shared" si="8"/>
        <v>275790.40000000002</v>
      </c>
      <c r="F23" s="121">
        <f t="shared" si="8"/>
        <v>2999220.6</v>
      </c>
    </row>
    <row r="24" spans="1:6" ht="15.75" customHeight="1">
      <c r="A24" s="152"/>
      <c r="B24" s="46" t="s">
        <v>506</v>
      </c>
      <c r="C24" s="2">
        <v>14.7</v>
      </c>
      <c r="D24" s="2">
        <v>40</v>
      </c>
      <c r="E24" s="2">
        <v>40</v>
      </c>
      <c r="F24" s="2">
        <v>435</v>
      </c>
    </row>
    <row r="25" spans="1:6" ht="12.3">
      <c r="A25" s="152"/>
      <c r="B25" s="2" t="s">
        <v>507</v>
      </c>
      <c r="C25">
        <f t="shared" ref="C25:F25" si="9">(C26+459.67)*5/9</f>
        <v>266.48333333333335</v>
      </c>
      <c r="D25">
        <f t="shared" si="9"/>
        <v>277.59444444444443</v>
      </c>
      <c r="E25">
        <f t="shared" si="9"/>
        <v>277.59444444444443</v>
      </c>
      <c r="F25">
        <f t="shared" si="9"/>
        <v>277.59444444444443</v>
      </c>
    </row>
    <row r="26" spans="1:6" ht="12.3">
      <c r="A26" s="152"/>
      <c r="B26" s="46" t="s">
        <v>508</v>
      </c>
      <c r="C26" s="2">
        <v>20</v>
      </c>
      <c r="D26" s="2">
        <v>40</v>
      </c>
      <c r="E26" s="2">
        <v>40</v>
      </c>
      <c r="F26" s="2">
        <v>40</v>
      </c>
    </row>
    <row r="27" spans="1:6" ht="12.3">
      <c r="A27" s="152"/>
      <c r="B27" s="46" t="s">
        <v>509</v>
      </c>
      <c r="C27" s="2">
        <v>1.2849999999999999</v>
      </c>
      <c r="D27" s="2">
        <v>5</v>
      </c>
      <c r="E27" s="2">
        <v>5</v>
      </c>
      <c r="F27" s="2">
        <v>15</v>
      </c>
    </row>
    <row r="29" spans="1:6" ht="12.3">
      <c r="A29" s="154" t="s">
        <v>510</v>
      </c>
      <c r="B29" s="2" t="s">
        <v>511</v>
      </c>
      <c r="C29" t="b">
        <f t="shared" ref="C29:F29" si="10">IF(C23/C17&lt;((2/(C16+1))^(C16/(C16-1))), TRUE, FALSE)</f>
        <v>1</v>
      </c>
      <c r="D29" t="b">
        <f t="shared" si="10"/>
        <v>1</v>
      </c>
      <c r="E29" t="b">
        <f t="shared" si="10"/>
        <v>1</v>
      </c>
      <c r="F29" t="b">
        <f t="shared" si="10"/>
        <v>1</v>
      </c>
    </row>
    <row r="30" spans="1:6" ht="12.3">
      <c r="A30" s="152"/>
      <c r="B30" s="2" t="s">
        <v>512</v>
      </c>
      <c r="C30">
        <f t="shared" ref="C30:F30" si="11">C12*SQRT(C16*C21*C17*(2/(C16+1))^((C16+1)/(C16-1)))</f>
        <v>0.1</v>
      </c>
      <c r="D30">
        <f t="shared" si="11"/>
        <v>1E-3</v>
      </c>
      <c r="E30">
        <f t="shared" si="11"/>
        <v>2.0000000000000001E-4</v>
      </c>
      <c r="F30">
        <f t="shared" si="11"/>
        <v>0.125</v>
      </c>
    </row>
    <row r="31" spans="1:6" ht="12.3">
      <c r="A31" s="152"/>
      <c r="B31" s="2" t="s">
        <v>513</v>
      </c>
      <c r="C31">
        <f t="shared" ref="C31:F31" si="12">C12*SQRT(2*C21*C17*(C16/(C16-1)*(C23/C17)^(2/C16)-(C23/C17)^((C16+1)/C16)))</f>
        <v>3.3533950460770595E-2</v>
      </c>
      <c r="D31">
        <f t="shared" si="12"/>
        <v>2.0606940433516531E-3</v>
      </c>
      <c r="E31">
        <f t="shared" si="12"/>
        <v>4.1213880867033067E-4</v>
      </c>
      <c r="F31">
        <f t="shared" si="12"/>
        <v>0.14427454570437287</v>
      </c>
    </row>
    <row r="32" spans="1:6" ht="12.3">
      <c r="A32" s="152"/>
      <c r="B32" s="2" t="s">
        <v>514</v>
      </c>
      <c r="C32">
        <f t="shared" ref="C32:F32" si="13">IF(C29=TRUE,C30,C31)</f>
        <v>0.1</v>
      </c>
      <c r="D32">
        <f t="shared" si="13"/>
        <v>1E-3</v>
      </c>
      <c r="E32">
        <f t="shared" si="13"/>
        <v>2.0000000000000001E-4</v>
      </c>
      <c r="F32">
        <f t="shared" si="13"/>
        <v>0.125</v>
      </c>
    </row>
    <row r="33" spans="1:6" ht="12.3">
      <c r="A33" s="152"/>
      <c r="B33" s="2" t="s">
        <v>515</v>
      </c>
      <c r="C33">
        <f t="shared" ref="C33:F33" si="14">C32*2.20462</f>
        <v>0.22046199999999999</v>
      </c>
      <c r="D33">
        <f t="shared" si="14"/>
        <v>2.20462E-3</v>
      </c>
      <c r="E33">
        <f t="shared" si="14"/>
        <v>4.4092399999999998E-4</v>
      </c>
      <c r="F33">
        <f t="shared" si="14"/>
        <v>0.27557749999999998</v>
      </c>
    </row>
    <row r="34" spans="1:6" ht="12.3">
      <c r="A34" s="152"/>
      <c r="B34" s="2" t="s">
        <v>516</v>
      </c>
      <c r="C34" s="2">
        <v>1.25</v>
      </c>
      <c r="D34" s="2">
        <v>1.25</v>
      </c>
      <c r="E34" s="2">
        <v>1.25</v>
      </c>
      <c r="F34" s="2">
        <v>1.25</v>
      </c>
    </row>
    <row r="35" spans="1:6" ht="12.3">
      <c r="A35" s="152"/>
      <c r="B35" s="2" t="s">
        <v>517</v>
      </c>
      <c r="C35">
        <f t="shared" ref="C35:F35" si="15">C33/C34</f>
        <v>0.17636959999999999</v>
      </c>
      <c r="D35">
        <f t="shared" si="15"/>
        <v>1.7636959999999999E-3</v>
      </c>
      <c r="E35">
        <f t="shared" si="15"/>
        <v>3.5273919999999999E-4</v>
      </c>
      <c r="F35">
        <f t="shared" si="15"/>
        <v>0.22046199999999999</v>
      </c>
    </row>
    <row r="36" spans="1:6" ht="12.3">
      <c r="A36" s="152"/>
      <c r="B36" s="2" t="s">
        <v>518</v>
      </c>
      <c r="C36">
        <f t="shared" ref="C36:F36" si="16">C35 * (39.3701)^3 * 60</f>
        <v>645765.046327663</v>
      </c>
      <c r="D36">
        <f t="shared" si="16"/>
        <v>6457.6504632766291</v>
      </c>
      <c r="E36">
        <f t="shared" si="16"/>
        <v>1291.5300926553259</v>
      </c>
      <c r="F36">
        <f t="shared" si="16"/>
        <v>807206.30790957867</v>
      </c>
    </row>
    <row r="37" spans="1:6" ht="12.3">
      <c r="A37" s="152"/>
      <c r="B37" s="2" t="s">
        <v>519</v>
      </c>
      <c r="C37">
        <f t="shared" ref="C37:F37" si="17">C35*(3.280841666667)^3 * 60</f>
        <v>373.7066240323262</v>
      </c>
      <c r="D37">
        <f t="shared" si="17"/>
        <v>3.7370662403232617</v>
      </c>
      <c r="E37">
        <f t="shared" si="17"/>
        <v>0.74741324806465237</v>
      </c>
      <c r="F37">
        <f t="shared" si="17"/>
        <v>467.13328004040773</v>
      </c>
    </row>
    <row r="38" spans="1:6" ht="12.3">
      <c r="A38" s="152"/>
      <c r="B38" s="2" t="s">
        <v>520</v>
      </c>
      <c r="C38" s="2">
        <f t="shared" ref="C38:F38" si="18">C35 * 1000 * 60</f>
        <v>10582.175999999999</v>
      </c>
      <c r="D38" s="2">
        <f t="shared" si="18"/>
        <v>105.82176</v>
      </c>
      <c r="E38" s="2">
        <f t="shared" si="18"/>
        <v>21.164351999999997</v>
      </c>
      <c r="F38" s="2">
        <f t="shared" si="18"/>
        <v>13227.72</v>
      </c>
    </row>
    <row r="40" spans="1:6" ht="12.3">
      <c r="A40" s="2" t="s">
        <v>521</v>
      </c>
      <c r="B40" s="131" t="s">
        <v>522</v>
      </c>
    </row>
  </sheetData>
  <mergeCells count="3">
    <mergeCell ref="A17:A21"/>
    <mergeCell ref="A23:A27"/>
    <mergeCell ref="A29:A38"/>
  </mergeCells>
  <hyperlinks>
    <hyperlink ref="B40" r:id="rId1" xr:uid="{00000000-0004-0000-0E00-000000000000}"/>
  </hyperlinks>
  <printOptions horizontalCentered="1" gridLines="1"/>
  <pageMargins left="0.7" right="0.7" top="0.75" bottom="0.75" header="0" footer="0"/>
  <pageSetup pageOrder="overThenDown" orientation="landscape" cellComments="atEnd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  <pageSetUpPr fitToPage="1"/>
  </sheetPr>
  <dimension ref="A1:N386"/>
  <sheetViews>
    <sheetView workbookViewId="0"/>
  </sheetViews>
  <sheetFormatPr defaultColWidth="12.609375" defaultRowHeight="15.75" customHeight="1"/>
  <cols>
    <col min="2" max="2" width="22.38671875" customWidth="1"/>
    <col min="3" max="3" width="18.109375" customWidth="1"/>
    <col min="4" max="4" width="16.109375" customWidth="1"/>
  </cols>
  <sheetData>
    <row r="1" spans="1:14" ht="15.75" customHeight="1">
      <c r="A1" s="2" t="s">
        <v>523</v>
      </c>
      <c r="B1" s="2" t="s">
        <v>524</v>
      </c>
      <c r="C1" s="2" t="s">
        <v>525</v>
      </c>
      <c r="D1" s="2" t="s">
        <v>526</v>
      </c>
      <c r="E1" s="2" t="s">
        <v>527</v>
      </c>
      <c r="F1" s="2" t="s">
        <v>528</v>
      </c>
      <c r="G1" s="2" t="s">
        <v>529</v>
      </c>
      <c r="H1" s="2" t="s">
        <v>530</v>
      </c>
      <c r="I1" s="2" t="s">
        <v>531</v>
      </c>
      <c r="J1" s="2" t="s">
        <v>532</v>
      </c>
      <c r="K1" s="2" t="s">
        <v>533</v>
      </c>
      <c r="L1" s="2" t="s">
        <v>534</v>
      </c>
      <c r="M1" s="2" t="s">
        <v>535</v>
      </c>
      <c r="N1" s="2" t="s">
        <v>536</v>
      </c>
    </row>
    <row r="2" spans="1:14" ht="15.75" customHeight="1">
      <c r="A2" s="11">
        <v>90</v>
      </c>
      <c r="B2" s="11">
        <v>2.0699999999999998</v>
      </c>
      <c r="C2" s="11">
        <v>35.826999999999998</v>
      </c>
      <c r="D2" s="11">
        <v>2.7911999999999999E-2</v>
      </c>
      <c r="E2" s="11">
        <v>-4.3018999999999998</v>
      </c>
      <c r="F2" s="11">
        <v>-4.2441000000000004</v>
      </c>
      <c r="G2" s="11">
        <v>93.784999999999997</v>
      </c>
      <c r="H2" s="11">
        <v>29.873000000000001</v>
      </c>
      <c r="I2" s="11">
        <v>54.048999999999999</v>
      </c>
      <c r="J2" s="11">
        <v>915.3</v>
      </c>
      <c r="K2" s="11">
        <v>-0.31851000000000002</v>
      </c>
      <c r="L2" s="11">
        <v>199.55</v>
      </c>
      <c r="M2" s="11">
        <v>0.15259</v>
      </c>
      <c r="N2" s="2" t="s">
        <v>537</v>
      </c>
    </row>
    <row r="3" spans="1:14" ht="15.75" customHeight="1">
      <c r="A3" s="11">
        <v>95</v>
      </c>
      <c r="B3" s="11">
        <v>2.0699999999999998</v>
      </c>
      <c r="C3" s="11">
        <v>35.052999999999997</v>
      </c>
      <c r="D3" s="11">
        <v>2.8528000000000001E-2</v>
      </c>
      <c r="E3" s="11">
        <v>-4.0319000000000003</v>
      </c>
      <c r="F3" s="11">
        <v>-3.9727999999999999</v>
      </c>
      <c r="G3" s="11">
        <v>96.718999999999994</v>
      </c>
      <c r="H3" s="11">
        <v>29.292000000000002</v>
      </c>
      <c r="I3" s="11">
        <v>54.496000000000002</v>
      </c>
      <c r="J3" s="11">
        <v>874.7</v>
      </c>
      <c r="K3" s="11">
        <v>-0.30020000000000002</v>
      </c>
      <c r="L3" s="11">
        <v>175.66</v>
      </c>
      <c r="M3" s="11">
        <v>0.14543</v>
      </c>
      <c r="N3" s="2" t="s">
        <v>537</v>
      </c>
    </row>
    <row r="4" spans="1:14" ht="15.75" customHeight="1">
      <c r="A4" s="11">
        <v>100</v>
      </c>
      <c r="B4" s="11">
        <v>2.0699999999999998</v>
      </c>
      <c r="C4" s="11">
        <v>34.250999999999998</v>
      </c>
      <c r="D4" s="11">
        <v>2.9196E-2</v>
      </c>
      <c r="E4" s="11">
        <v>-3.7593000000000001</v>
      </c>
      <c r="F4" s="11">
        <v>-3.6989000000000001</v>
      </c>
      <c r="G4" s="11">
        <v>99.528999999999996</v>
      </c>
      <c r="H4" s="11">
        <v>28.751999999999999</v>
      </c>
      <c r="I4" s="11">
        <v>55.128</v>
      </c>
      <c r="J4" s="11">
        <v>833.37</v>
      </c>
      <c r="K4" s="11">
        <v>-0.27695999999999998</v>
      </c>
      <c r="L4" s="11">
        <v>155.78</v>
      </c>
      <c r="M4" s="11">
        <v>0.13819999999999999</v>
      </c>
      <c r="N4" s="2" t="s">
        <v>537</v>
      </c>
    </row>
    <row r="5" spans="1:14" ht="15.75" customHeight="1">
      <c r="A5" s="11">
        <v>105</v>
      </c>
      <c r="B5" s="11">
        <v>2.0699999999999998</v>
      </c>
      <c r="C5" s="11">
        <v>33.415999999999997</v>
      </c>
      <c r="D5" s="11">
        <v>2.9925E-2</v>
      </c>
      <c r="E5" s="11">
        <v>-3.4830999999999999</v>
      </c>
      <c r="F5" s="11">
        <v>-3.4211999999999998</v>
      </c>
      <c r="G5" s="11">
        <v>102.24</v>
      </c>
      <c r="H5" s="11">
        <v>28.251999999999999</v>
      </c>
      <c r="I5" s="11">
        <v>55.984000000000002</v>
      </c>
      <c r="J5" s="11">
        <v>791.01</v>
      </c>
      <c r="K5" s="11">
        <v>-0.24757999999999999</v>
      </c>
      <c r="L5" s="11">
        <v>138.86000000000001</v>
      </c>
      <c r="M5" s="11">
        <v>0.13091</v>
      </c>
      <c r="N5" s="2" t="s">
        <v>537</v>
      </c>
    </row>
    <row r="6" spans="1:14" ht="15.75" customHeight="1">
      <c r="A6" s="11">
        <v>110</v>
      </c>
      <c r="B6" s="11">
        <v>2.0699999999999998</v>
      </c>
      <c r="C6" s="11">
        <v>32.54</v>
      </c>
      <c r="D6" s="11">
        <v>3.0731999999999999E-2</v>
      </c>
      <c r="E6" s="11">
        <v>-3.2021999999999999</v>
      </c>
      <c r="F6" s="11">
        <v>-3.1385000000000001</v>
      </c>
      <c r="G6" s="11">
        <v>104.87</v>
      </c>
      <c r="H6" s="11">
        <v>27.792999999999999</v>
      </c>
      <c r="I6" s="11">
        <v>57.125999999999998</v>
      </c>
      <c r="J6" s="11">
        <v>747.26</v>
      </c>
      <c r="K6" s="11">
        <v>-0.21023</v>
      </c>
      <c r="L6" s="11">
        <v>124.15</v>
      </c>
      <c r="M6" s="11">
        <v>0.12357</v>
      </c>
      <c r="N6" s="2" t="s">
        <v>537</v>
      </c>
    </row>
    <row r="7" spans="1:14" ht="15.75" customHeight="1">
      <c r="A7" s="11">
        <v>115</v>
      </c>
      <c r="B7" s="11">
        <v>2.0699999999999998</v>
      </c>
      <c r="C7" s="11">
        <v>31.61</v>
      </c>
      <c r="D7" s="11">
        <v>3.1635999999999997E-2</v>
      </c>
      <c r="E7" s="11">
        <v>-2.9148000000000001</v>
      </c>
      <c r="F7" s="11">
        <v>-2.8492999999999999</v>
      </c>
      <c r="G7" s="11">
        <v>107.44</v>
      </c>
      <c r="H7" s="11">
        <v>27.38</v>
      </c>
      <c r="I7" s="11">
        <v>58.652000000000001</v>
      </c>
      <c r="J7" s="11">
        <v>701.65</v>
      </c>
      <c r="K7" s="11">
        <v>-0.16219</v>
      </c>
      <c r="L7" s="11">
        <v>111.11</v>
      </c>
      <c r="M7" s="11">
        <v>0.11615</v>
      </c>
      <c r="N7" s="2" t="s">
        <v>537</v>
      </c>
    </row>
    <row r="8" spans="1:14" ht="15.75" customHeight="1">
      <c r="A8" s="11">
        <v>120</v>
      </c>
      <c r="B8" s="11">
        <v>2.0699999999999998</v>
      </c>
      <c r="C8" s="11">
        <v>30.611000000000001</v>
      </c>
      <c r="D8" s="11">
        <v>3.2668000000000003E-2</v>
      </c>
      <c r="E8" s="11">
        <v>-2.6187</v>
      </c>
      <c r="F8" s="11">
        <v>-2.5510999999999999</v>
      </c>
      <c r="G8" s="11">
        <v>109.98</v>
      </c>
      <c r="H8" s="11">
        <v>27.02</v>
      </c>
      <c r="I8" s="11">
        <v>60.734999999999999</v>
      </c>
      <c r="J8" s="11">
        <v>653.52</v>
      </c>
      <c r="K8" s="11">
        <v>-9.9113000000000007E-2</v>
      </c>
      <c r="L8" s="11">
        <v>99.323999999999998</v>
      </c>
      <c r="M8" s="11">
        <v>0.10863</v>
      </c>
      <c r="N8" s="2" t="s">
        <v>537</v>
      </c>
    </row>
    <row r="9" spans="1:14" ht="15.75" customHeight="1">
      <c r="A9" s="11">
        <v>125</v>
      </c>
      <c r="B9" s="11">
        <v>2.0699999999999998</v>
      </c>
      <c r="C9" s="11">
        <v>29.518999999999998</v>
      </c>
      <c r="D9" s="11">
        <v>3.3876999999999997E-2</v>
      </c>
      <c r="E9" s="11">
        <v>-2.3106</v>
      </c>
      <c r="F9" s="11">
        <v>-2.2404999999999999</v>
      </c>
      <c r="G9" s="11">
        <v>112.51</v>
      </c>
      <c r="H9" s="11">
        <v>26.727</v>
      </c>
      <c r="I9" s="11">
        <v>63.69</v>
      </c>
      <c r="J9" s="11">
        <v>601.9</v>
      </c>
      <c r="K9" s="11">
        <v>-1.3538E-2</v>
      </c>
      <c r="L9" s="11">
        <v>88.471000000000004</v>
      </c>
      <c r="M9" s="11">
        <v>0.10100000000000001</v>
      </c>
      <c r="N9" s="2" t="s">
        <v>537</v>
      </c>
    </row>
    <row r="10" spans="1:14" ht="15.75" customHeight="1">
      <c r="A10" s="11">
        <v>130</v>
      </c>
      <c r="B10" s="11">
        <v>2.0699999999999998</v>
      </c>
      <c r="C10" s="11">
        <v>28.292000000000002</v>
      </c>
      <c r="D10" s="11">
        <v>3.5346000000000002E-2</v>
      </c>
      <c r="E10" s="11">
        <v>-1.9847999999999999</v>
      </c>
      <c r="F10" s="11">
        <v>-1.9117</v>
      </c>
      <c r="G10" s="11">
        <v>115.09</v>
      </c>
      <c r="H10" s="11">
        <v>26.530999999999999</v>
      </c>
      <c r="I10" s="11">
        <v>68.19</v>
      </c>
      <c r="J10" s="11">
        <v>545.16</v>
      </c>
      <c r="K10" s="11">
        <v>0.10875</v>
      </c>
      <c r="L10" s="11">
        <v>78.251999999999995</v>
      </c>
      <c r="M10" s="11">
        <v>9.3191999999999997E-2</v>
      </c>
      <c r="N10" s="2" t="s">
        <v>537</v>
      </c>
    </row>
    <row r="11" spans="1:14" ht="15.75" customHeight="1">
      <c r="A11" s="11">
        <v>133.46</v>
      </c>
      <c r="B11" s="11">
        <v>2.0699999999999998</v>
      </c>
      <c r="C11" s="11">
        <v>27.321999999999999</v>
      </c>
      <c r="D11" s="11">
        <v>3.6600000000000001E-2</v>
      </c>
      <c r="E11" s="11">
        <v>-1.7434000000000001</v>
      </c>
      <c r="F11" s="11">
        <v>-1.6677</v>
      </c>
      <c r="G11" s="11">
        <v>116.94</v>
      </c>
      <c r="H11" s="11">
        <v>26.484999999999999</v>
      </c>
      <c r="I11" s="11">
        <v>73.031999999999996</v>
      </c>
      <c r="J11" s="11">
        <v>501.27</v>
      </c>
      <c r="K11" s="11">
        <v>0.23036000000000001</v>
      </c>
      <c r="L11" s="11">
        <v>71.361000000000004</v>
      </c>
      <c r="M11" s="11">
        <v>8.7621000000000004E-2</v>
      </c>
      <c r="N11" s="2" t="s">
        <v>537</v>
      </c>
    </row>
    <row r="12" spans="1:14" ht="15.75" customHeight="1">
      <c r="A12" s="11">
        <v>133.46</v>
      </c>
      <c r="B12" s="11">
        <v>2.0699999999999998</v>
      </c>
      <c r="C12" s="11">
        <v>2.5703</v>
      </c>
      <c r="D12" s="11">
        <v>0.38905000000000001</v>
      </c>
      <c r="E12" s="11">
        <v>2.1518000000000002</v>
      </c>
      <c r="F12" s="11">
        <v>2.9571000000000001</v>
      </c>
      <c r="G12" s="11">
        <v>151.6</v>
      </c>
      <c r="H12" s="11">
        <v>26.405000000000001</v>
      </c>
      <c r="I12" s="11">
        <v>57.078000000000003</v>
      </c>
      <c r="J12" s="11">
        <v>186.45</v>
      </c>
      <c r="K12" s="11">
        <v>12.409000000000001</v>
      </c>
      <c r="L12" s="11">
        <v>10.86</v>
      </c>
      <c r="M12" s="11">
        <v>1.6067000000000001E-2</v>
      </c>
      <c r="N12" s="2" t="s">
        <v>538</v>
      </c>
    </row>
    <row r="13" spans="1:14" ht="15.75" customHeight="1">
      <c r="A13" s="11">
        <v>135</v>
      </c>
      <c r="B13" s="11">
        <v>2.0699999999999998</v>
      </c>
      <c r="C13" s="11">
        <v>2.4921000000000002</v>
      </c>
      <c r="D13" s="11">
        <v>0.40127000000000002</v>
      </c>
      <c r="E13" s="11">
        <v>2.2109000000000001</v>
      </c>
      <c r="F13" s="11">
        <v>3.0415999999999999</v>
      </c>
      <c r="G13" s="11">
        <v>152.22</v>
      </c>
      <c r="H13" s="11">
        <v>25.47</v>
      </c>
      <c r="I13" s="11">
        <v>53.08</v>
      </c>
      <c r="J13" s="11">
        <v>189.84</v>
      </c>
      <c r="K13" s="11">
        <v>12.061</v>
      </c>
      <c r="L13" s="11">
        <v>10.957000000000001</v>
      </c>
      <c r="M13" s="11">
        <v>1.5973999999999999E-2</v>
      </c>
      <c r="N13" s="2" t="s">
        <v>538</v>
      </c>
    </row>
    <row r="14" spans="1:14" ht="15.75" customHeight="1">
      <c r="A14" s="11">
        <v>140</v>
      </c>
      <c r="B14" s="11">
        <v>2.0699999999999998</v>
      </c>
      <c r="C14" s="11">
        <v>2.2877000000000001</v>
      </c>
      <c r="D14" s="11">
        <v>0.43712000000000001</v>
      </c>
      <c r="E14" s="11">
        <v>2.3818000000000001</v>
      </c>
      <c r="F14" s="11">
        <v>3.2867000000000002</v>
      </c>
      <c r="G14" s="11">
        <v>154.01</v>
      </c>
      <c r="H14" s="11">
        <v>23.957999999999998</v>
      </c>
      <c r="I14" s="11">
        <v>45.94</v>
      </c>
      <c r="J14" s="11">
        <v>198.89</v>
      </c>
      <c r="K14" s="11">
        <v>11.03</v>
      </c>
      <c r="L14" s="11">
        <v>11.284000000000001</v>
      </c>
      <c r="M14" s="11">
        <v>1.5921000000000001E-2</v>
      </c>
      <c r="N14" s="2" t="s">
        <v>538</v>
      </c>
    </row>
    <row r="15" spans="1:14" ht="15.75" customHeight="1">
      <c r="A15" s="11">
        <v>145</v>
      </c>
      <c r="B15" s="11">
        <v>2.0699999999999998</v>
      </c>
      <c r="C15" s="11">
        <v>2.1305000000000001</v>
      </c>
      <c r="D15" s="11">
        <v>0.46938000000000002</v>
      </c>
      <c r="E15" s="11">
        <v>2.5348999999999999</v>
      </c>
      <c r="F15" s="11">
        <v>3.5065</v>
      </c>
      <c r="G15" s="11">
        <v>155.55000000000001</v>
      </c>
      <c r="H15" s="11">
        <v>23.295999999999999</v>
      </c>
      <c r="I15" s="11">
        <v>42.305999999999997</v>
      </c>
      <c r="J15" s="11">
        <v>206.41</v>
      </c>
      <c r="K15" s="11">
        <v>10.164999999999999</v>
      </c>
      <c r="L15" s="11">
        <v>11.619</v>
      </c>
      <c r="M15" s="11">
        <v>1.6046999999999999E-2</v>
      </c>
      <c r="N15" s="2" t="s">
        <v>538</v>
      </c>
    </row>
    <row r="16" spans="1:14" ht="15.75" customHeight="1">
      <c r="A16" s="11">
        <v>150</v>
      </c>
      <c r="B16" s="11">
        <v>2.0699999999999998</v>
      </c>
      <c r="C16" s="11">
        <v>2.0022000000000002</v>
      </c>
      <c r="D16" s="11">
        <v>0.49944</v>
      </c>
      <c r="E16" s="11">
        <v>2.6779999999999999</v>
      </c>
      <c r="F16" s="11">
        <v>3.7118000000000002</v>
      </c>
      <c r="G16" s="11">
        <v>156.94</v>
      </c>
      <c r="H16" s="11">
        <v>22.885999999999999</v>
      </c>
      <c r="I16" s="11">
        <v>39.975000000000001</v>
      </c>
      <c r="J16" s="11">
        <v>213.13</v>
      </c>
      <c r="K16" s="11">
        <v>9.4339999999999993</v>
      </c>
      <c r="L16" s="11">
        <v>11.956</v>
      </c>
      <c r="M16" s="11">
        <v>1.626E-2</v>
      </c>
      <c r="N16" s="2" t="s">
        <v>538</v>
      </c>
    </row>
    <row r="17" spans="1:14" ht="15.75" customHeight="1">
      <c r="A17" s="11">
        <v>155</v>
      </c>
      <c r="B17" s="11">
        <v>2.0699999999999998</v>
      </c>
      <c r="C17" s="11">
        <v>1.8939999999999999</v>
      </c>
      <c r="D17" s="11">
        <v>0.52798</v>
      </c>
      <c r="E17" s="11">
        <v>2.8144</v>
      </c>
      <c r="F17" s="11">
        <v>3.9073000000000002</v>
      </c>
      <c r="G17" s="11">
        <v>158.22999999999999</v>
      </c>
      <c r="H17" s="11">
        <v>22.581</v>
      </c>
      <c r="I17" s="11">
        <v>38.299999999999997</v>
      </c>
      <c r="J17" s="11">
        <v>219.31</v>
      </c>
      <c r="K17" s="11">
        <v>8.8031000000000006</v>
      </c>
      <c r="L17" s="11">
        <v>12.294</v>
      </c>
      <c r="M17" s="11">
        <v>1.6525000000000001E-2</v>
      </c>
      <c r="N17" s="2" t="s">
        <v>538</v>
      </c>
    </row>
    <row r="18" spans="1:14" ht="15.75" customHeight="1">
      <c r="A18" s="11">
        <v>160</v>
      </c>
      <c r="B18" s="11">
        <v>2.0699999999999998</v>
      </c>
      <c r="C18" s="11">
        <v>1.8006</v>
      </c>
      <c r="D18" s="11">
        <v>0.55535999999999996</v>
      </c>
      <c r="E18" s="11">
        <v>2.9459</v>
      </c>
      <c r="F18" s="11">
        <v>4.0955000000000004</v>
      </c>
      <c r="G18" s="11">
        <v>159.41999999999999</v>
      </c>
      <c r="H18" s="11">
        <v>22.337</v>
      </c>
      <c r="I18" s="11">
        <v>37.026000000000003</v>
      </c>
      <c r="J18" s="11">
        <v>225.1</v>
      </c>
      <c r="K18" s="11">
        <v>8.2500999999999998</v>
      </c>
      <c r="L18" s="11">
        <v>12.629</v>
      </c>
      <c r="M18" s="11">
        <v>1.6825E-2</v>
      </c>
      <c r="N18" s="2" t="s">
        <v>538</v>
      </c>
    </row>
    <row r="19" spans="1:14" ht="15.75" customHeight="1">
      <c r="A19" s="11">
        <v>165</v>
      </c>
      <c r="B19" s="11">
        <v>2.0699999999999998</v>
      </c>
      <c r="C19" s="11">
        <v>1.7186999999999999</v>
      </c>
      <c r="D19" s="11">
        <v>0.58184999999999998</v>
      </c>
      <c r="E19" s="11">
        <v>3.0735999999999999</v>
      </c>
      <c r="F19" s="11">
        <v>4.2779999999999996</v>
      </c>
      <c r="G19" s="11">
        <v>160.54</v>
      </c>
      <c r="H19" s="11">
        <v>22.137</v>
      </c>
      <c r="I19" s="11">
        <v>36.021000000000001</v>
      </c>
      <c r="J19" s="11">
        <v>230.56</v>
      </c>
      <c r="K19" s="11">
        <v>7.7595000000000001</v>
      </c>
      <c r="L19" s="11">
        <v>12.962999999999999</v>
      </c>
      <c r="M19" s="11">
        <v>1.7149000000000001E-2</v>
      </c>
      <c r="N19" s="2" t="s">
        <v>538</v>
      </c>
    </row>
    <row r="20" spans="1:14" ht="15.75" customHeight="1">
      <c r="A20" s="11">
        <v>170</v>
      </c>
      <c r="B20" s="11">
        <v>2.0699999999999998</v>
      </c>
      <c r="C20" s="11">
        <v>1.6457999999999999</v>
      </c>
      <c r="D20" s="11">
        <v>0.60760999999999998</v>
      </c>
      <c r="E20" s="11">
        <v>3.1983000000000001</v>
      </c>
      <c r="F20" s="11">
        <v>4.4560000000000004</v>
      </c>
      <c r="G20" s="11">
        <v>161.61000000000001</v>
      </c>
      <c r="H20" s="11">
        <v>21.97</v>
      </c>
      <c r="I20" s="11">
        <v>35.21</v>
      </c>
      <c r="J20" s="11">
        <v>235.75</v>
      </c>
      <c r="K20" s="11">
        <v>7.3202999999999996</v>
      </c>
      <c r="L20" s="11">
        <v>13.295</v>
      </c>
      <c r="M20" s="11">
        <v>1.7489000000000001E-2</v>
      </c>
      <c r="N20" s="2" t="s">
        <v>538</v>
      </c>
    </row>
    <row r="21" spans="1:14" ht="15.75" customHeight="1">
      <c r="A21" s="11">
        <v>175</v>
      </c>
      <c r="B21" s="11">
        <v>2.0699999999999998</v>
      </c>
      <c r="C21" s="11">
        <v>1.5803</v>
      </c>
      <c r="D21" s="11">
        <v>0.63278999999999996</v>
      </c>
      <c r="E21" s="11">
        <v>3.3205</v>
      </c>
      <c r="F21" s="11">
        <v>4.6303000000000001</v>
      </c>
      <c r="G21" s="11">
        <v>162.62</v>
      </c>
      <c r="H21" s="11">
        <v>21.831</v>
      </c>
      <c r="I21" s="11">
        <v>34.543999999999997</v>
      </c>
      <c r="J21" s="11">
        <v>240.71</v>
      </c>
      <c r="K21" s="11">
        <v>6.9241000000000001</v>
      </c>
      <c r="L21" s="11">
        <v>13.625</v>
      </c>
      <c r="M21" s="11">
        <v>1.7842E-2</v>
      </c>
      <c r="N21" s="2" t="s">
        <v>538</v>
      </c>
    </row>
    <row r="22" spans="1:14" ht="15.75" customHeight="1">
      <c r="A22" s="11">
        <v>180</v>
      </c>
      <c r="B22" s="11">
        <v>2.0699999999999998</v>
      </c>
      <c r="C22" s="11">
        <v>1.5209999999999999</v>
      </c>
      <c r="D22" s="11">
        <v>0.65747</v>
      </c>
      <c r="E22" s="11">
        <v>3.4407000000000001</v>
      </c>
      <c r="F22" s="11">
        <v>4.8015999999999996</v>
      </c>
      <c r="G22" s="11">
        <v>163.58000000000001</v>
      </c>
      <c r="H22" s="11">
        <v>21.713999999999999</v>
      </c>
      <c r="I22" s="11">
        <v>33.988999999999997</v>
      </c>
      <c r="J22" s="11">
        <v>245.47</v>
      </c>
      <c r="K22" s="11">
        <v>6.5646000000000004</v>
      </c>
      <c r="L22" s="11">
        <v>13.952</v>
      </c>
      <c r="M22" s="11">
        <v>1.8204999999999999E-2</v>
      </c>
      <c r="N22" s="2" t="s">
        <v>538</v>
      </c>
    </row>
    <row r="23" spans="1:14" ht="15.75" customHeight="1">
      <c r="A23" s="11">
        <v>185</v>
      </c>
      <c r="B23" s="11">
        <v>2.0699999999999998</v>
      </c>
      <c r="C23" s="11">
        <v>1.4669000000000001</v>
      </c>
      <c r="D23" s="11">
        <v>0.68172999999999995</v>
      </c>
      <c r="E23" s="11">
        <v>3.5592000000000001</v>
      </c>
      <c r="F23" s="11">
        <v>4.9703999999999997</v>
      </c>
      <c r="G23" s="11">
        <v>164.51</v>
      </c>
      <c r="H23" s="11">
        <v>21.614999999999998</v>
      </c>
      <c r="I23" s="11">
        <v>33.521000000000001</v>
      </c>
      <c r="J23" s="11">
        <v>250.05</v>
      </c>
      <c r="K23" s="11">
        <v>6.2363999999999997</v>
      </c>
      <c r="L23" s="11">
        <v>14.276</v>
      </c>
      <c r="M23" s="11">
        <v>1.8574E-2</v>
      </c>
      <c r="N23" s="2" t="s">
        <v>538</v>
      </c>
    </row>
    <row r="24" spans="1:14" ht="15.75" customHeight="1">
      <c r="A24" s="11">
        <v>190</v>
      </c>
      <c r="B24" s="11">
        <v>2.0699999999999998</v>
      </c>
      <c r="C24" s="11">
        <v>1.4172</v>
      </c>
      <c r="D24" s="11">
        <v>0.70564000000000004</v>
      </c>
      <c r="E24" s="11">
        <v>3.6762999999999999</v>
      </c>
      <c r="F24" s="11">
        <v>5.1369999999999996</v>
      </c>
      <c r="G24" s="11">
        <v>165.4</v>
      </c>
      <c r="H24" s="11">
        <v>21.532</v>
      </c>
      <c r="I24" s="11">
        <v>33.122999999999998</v>
      </c>
      <c r="J24" s="11">
        <v>254.47</v>
      </c>
      <c r="K24" s="11">
        <v>5.9356</v>
      </c>
      <c r="L24" s="11">
        <v>14.598000000000001</v>
      </c>
      <c r="M24" s="11">
        <v>1.8949000000000001E-2</v>
      </c>
      <c r="N24" s="2" t="s">
        <v>538</v>
      </c>
    </row>
    <row r="25" spans="1:14" ht="12.3">
      <c r="A25" s="11">
        <v>195</v>
      </c>
      <c r="B25" s="11">
        <v>2.0699999999999998</v>
      </c>
      <c r="C25" s="11">
        <v>1.3713</v>
      </c>
      <c r="D25" s="11">
        <v>0.72923000000000004</v>
      </c>
      <c r="E25" s="11">
        <v>3.7921999999999998</v>
      </c>
      <c r="F25" s="11">
        <v>5.3017000000000003</v>
      </c>
      <c r="G25" s="11">
        <v>166.25</v>
      </c>
      <c r="H25" s="11">
        <v>21.462</v>
      </c>
      <c r="I25" s="11">
        <v>32.78</v>
      </c>
      <c r="J25" s="11">
        <v>258.76</v>
      </c>
      <c r="K25" s="11">
        <v>5.6585000000000001</v>
      </c>
      <c r="L25" s="11">
        <v>14.917</v>
      </c>
      <c r="M25" s="11">
        <v>1.9327E-2</v>
      </c>
      <c r="N25" s="2" t="s">
        <v>538</v>
      </c>
    </row>
    <row r="26" spans="1:14" ht="12.3">
      <c r="A26" s="11">
        <v>200</v>
      </c>
      <c r="B26" s="11">
        <v>2.0699999999999998</v>
      </c>
      <c r="C26" s="11">
        <v>1.3288</v>
      </c>
      <c r="D26" s="11">
        <v>0.75256000000000001</v>
      </c>
      <c r="E26" s="11">
        <v>3.9070999999999998</v>
      </c>
      <c r="F26" s="11">
        <v>5.4648000000000003</v>
      </c>
      <c r="G26" s="11">
        <v>167.08</v>
      </c>
      <c r="H26" s="11">
        <v>21.402000000000001</v>
      </c>
      <c r="I26" s="11">
        <v>32.484000000000002</v>
      </c>
      <c r="J26" s="11">
        <v>262.92</v>
      </c>
      <c r="K26" s="11">
        <v>5.4024000000000001</v>
      </c>
      <c r="L26" s="11">
        <v>15.233000000000001</v>
      </c>
      <c r="M26" s="11">
        <v>1.9709000000000001E-2</v>
      </c>
      <c r="N26" s="2" t="s">
        <v>538</v>
      </c>
    </row>
    <row r="27" spans="1:14" ht="12.3">
      <c r="A27" s="11">
        <v>205</v>
      </c>
      <c r="B27" s="11">
        <v>2.0699999999999998</v>
      </c>
      <c r="C27" s="11">
        <v>1.2892999999999999</v>
      </c>
      <c r="D27" s="11">
        <v>0.77564</v>
      </c>
      <c r="E27" s="11">
        <v>4.0209999999999999</v>
      </c>
      <c r="F27" s="11">
        <v>5.6265999999999998</v>
      </c>
      <c r="G27" s="11">
        <v>167.88</v>
      </c>
      <c r="H27" s="11">
        <v>21.352</v>
      </c>
      <c r="I27" s="11">
        <v>32.225999999999999</v>
      </c>
      <c r="J27" s="11">
        <v>266.97000000000003</v>
      </c>
      <c r="K27" s="11">
        <v>5.1649000000000003</v>
      </c>
      <c r="L27" s="11">
        <v>15.548</v>
      </c>
      <c r="M27" s="11">
        <v>2.0091999999999999E-2</v>
      </c>
      <c r="N27" s="2" t="s">
        <v>538</v>
      </c>
    </row>
    <row r="28" spans="1:14" ht="12.3">
      <c r="A28" s="11">
        <v>210</v>
      </c>
      <c r="B28" s="11">
        <v>2.0699999999999998</v>
      </c>
      <c r="C28" s="11">
        <v>1.2523</v>
      </c>
      <c r="D28" s="11">
        <v>0.79852000000000001</v>
      </c>
      <c r="E28" s="11">
        <v>4.1341999999999999</v>
      </c>
      <c r="F28" s="11">
        <v>5.7872000000000003</v>
      </c>
      <c r="G28" s="11">
        <v>168.65</v>
      </c>
      <c r="H28" s="11">
        <v>21.309000000000001</v>
      </c>
      <c r="I28" s="11">
        <v>32</v>
      </c>
      <c r="J28" s="11">
        <v>270.92</v>
      </c>
      <c r="K28" s="11">
        <v>4.9438000000000004</v>
      </c>
      <c r="L28" s="11">
        <v>15.859</v>
      </c>
      <c r="M28" s="11">
        <v>2.0478E-2</v>
      </c>
      <c r="N28" s="2" t="s">
        <v>538</v>
      </c>
    </row>
    <row r="29" spans="1:14" ht="12.3">
      <c r="A29" s="11">
        <v>215</v>
      </c>
      <c r="B29" s="11">
        <v>2.0699999999999998</v>
      </c>
      <c r="C29" s="11">
        <v>1.2177</v>
      </c>
      <c r="D29" s="11">
        <v>0.82121</v>
      </c>
      <c r="E29" s="11">
        <v>4.2468000000000004</v>
      </c>
      <c r="F29" s="11">
        <v>5.9466999999999999</v>
      </c>
      <c r="G29" s="11">
        <v>169.4</v>
      </c>
      <c r="H29" s="11">
        <v>21.274000000000001</v>
      </c>
      <c r="I29" s="11">
        <v>31.800999999999998</v>
      </c>
      <c r="J29" s="11">
        <v>274.77</v>
      </c>
      <c r="K29" s="11">
        <v>4.7374000000000001</v>
      </c>
      <c r="L29" s="11">
        <v>16.167999999999999</v>
      </c>
      <c r="M29" s="11">
        <v>2.0864000000000001E-2</v>
      </c>
      <c r="N29" s="2" t="s">
        <v>538</v>
      </c>
    </row>
    <row r="30" spans="1:14" ht="12.3">
      <c r="A30" s="11">
        <v>220</v>
      </c>
      <c r="B30" s="11">
        <v>2.0699999999999998</v>
      </c>
      <c r="C30" s="11">
        <v>1.1852</v>
      </c>
      <c r="D30" s="11">
        <v>0.84372999999999998</v>
      </c>
      <c r="E30" s="11">
        <v>4.3586999999999998</v>
      </c>
      <c r="F30" s="11">
        <v>6.1052</v>
      </c>
      <c r="G30" s="11">
        <v>170.13</v>
      </c>
      <c r="H30" s="11">
        <v>21.244</v>
      </c>
      <c r="I30" s="11">
        <v>31.625</v>
      </c>
      <c r="J30" s="11">
        <v>278.52999999999997</v>
      </c>
      <c r="K30" s="11">
        <v>4.5442999999999998</v>
      </c>
      <c r="L30" s="11">
        <v>16.475000000000001</v>
      </c>
      <c r="M30" s="11">
        <v>2.1250999999999999E-2</v>
      </c>
      <c r="N30" s="2" t="s">
        <v>538</v>
      </c>
    </row>
    <row r="31" spans="1:14" ht="12.3">
      <c r="A31" s="11">
        <v>225</v>
      </c>
      <c r="B31" s="11">
        <v>2.0699999999999998</v>
      </c>
      <c r="C31" s="11">
        <v>1.1546000000000001</v>
      </c>
      <c r="D31" s="11">
        <v>0.86609999999999998</v>
      </c>
      <c r="E31" s="11">
        <v>4.4701000000000004</v>
      </c>
      <c r="F31" s="11">
        <v>6.2629000000000001</v>
      </c>
      <c r="G31" s="11">
        <v>170.84</v>
      </c>
      <c r="H31" s="11">
        <v>21.219000000000001</v>
      </c>
      <c r="I31" s="11">
        <v>31.469000000000001</v>
      </c>
      <c r="J31" s="11">
        <v>282.20999999999998</v>
      </c>
      <c r="K31" s="11">
        <v>4.3631000000000002</v>
      </c>
      <c r="L31" s="11">
        <v>16.779</v>
      </c>
      <c r="M31" s="11">
        <v>2.1638000000000001E-2</v>
      </c>
      <c r="N31" s="2" t="s">
        <v>538</v>
      </c>
    </row>
    <row r="32" spans="1:14" ht="12.3">
      <c r="A32" s="11">
        <v>230</v>
      </c>
      <c r="B32" s="11">
        <v>2.0699999999999998</v>
      </c>
      <c r="C32" s="11">
        <v>1.1256999999999999</v>
      </c>
      <c r="D32" s="11">
        <v>0.88832999999999995</v>
      </c>
      <c r="E32" s="11">
        <v>4.5811000000000002</v>
      </c>
      <c r="F32" s="11">
        <v>6.4199000000000002</v>
      </c>
      <c r="G32" s="11">
        <v>171.53</v>
      </c>
      <c r="H32" s="11">
        <v>21.198</v>
      </c>
      <c r="I32" s="11">
        <v>31.33</v>
      </c>
      <c r="J32" s="11">
        <v>285.81</v>
      </c>
      <c r="K32" s="11">
        <v>4.1927000000000003</v>
      </c>
      <c r="L32" s="11">
        <v>17.081</v>
      </c>
      <c r="M32" s="11">
        <v>2.2026E-2</v>
      </c>
      <c r="N32" s="2" t="s">
        <v>538</v>
      </c>
    </row>
    <row r="33" spans="1:14" ht="12.3">
      <c r="A33" s="11">
        <v>235</v>
      </c>
      <c r="B33" s="11">
        <v>2.0699999999999998</v>
      </c>
      <c r="C33" s="11">
        <v>1.0984</v>
      </c>
      <c r="D33" s="11">
        <v>0.91044000000000003</v>
      </c>
      <c r="E33" s="11">
        <v>4.6917</v>
      </c>
      <c r="F33" s="11">
        <v>6.5762999999999998</v>
      </c>
      <c r="G33" s="11">
        <v>172.2</v>
      </c>
      <c r="H33" s="11">
        <v>21.181999999999999</v>
      </c>
      <c r="I33" s="11">
        <v>31.207000000000001</v>
      </c>
      <c r="J33" s="11">
        <v>289.33999999999997</v>
      </c>
      <c r="K33" s="11">
        <v>4.0321999999999996</v>
      </c>
      <c r="L33" s="11">
        <v>17.38</v>
      </c>
      <c r="M33" s="11">
        <v>2.2412999999999999E-2</v>
      </c>
      <c r="N33" s="2" t="s">
        <v>538</v>
      </c>
    </row>
    <row r="34" spans="1:14" ht="12.3">
      <c r="A34" s="11">
        <v>240</v>
      </c>
      <c r="B34" s="11">
        <v>2.0699999999999998</v>
      </c>
      <c r="C34" s="11">
        <v>1.0725</v>
      </c>
      <c r="D34" s="11">
        <v>0.93242999999999998</v>
      </c>
      <c r="E34" s="11">
        <v>4.8018999999999998</v>
      </c>
      <c r="F34" s="11">
        <v>6.7320000000000002</v>
      </c>
      <c r="G34" s="11">
        <v>172.86</v>
      </c>
      <c r="H34" s="11">
        <v>21.17</v>
      </c>
      <c r="I34" s="11">
        <v>31.097000000000001</v>
      </c>
      <c r="J34" s="11">
        <v>292.81</v>
      </c>
      <c r="K34" s="11">
        <v>3.8805000000000001</v>
      </c>
      <c r="L34" s="11">
        <v>17.677</v>
      </c>
      <c r="M34" s="11">
        <v>2.2800000000000001E-2</v>
      </c>
      <c r="N34" s="2" t="s">
        <v>538</v>
      </c>
    </row>
    <row r="35" spans="1:14" ht="12.3">
      <c r="A35" s="11">
        <v>245</v>
      </c>
      <c r="B35" s="11">
        <v>2.0699999999999998</v>
      </c>
      <c r="C35" s="11">
        <v>1.0479000000000001</v>
      </c>
      <c r="D35" s="11">
        <v>0.95431999999999995</v>
      </c>
      <c r="E35" s="11">
        <v>4.9118000000000004</v>
      </c>
      <c r="F35" s="11">
        <v>6.8872999999999998</v>
      </c>
      <c r="G35" s="11">
        <v>173.5</v>
      </c>
      <c r="H35" s="11">
        <v>21.161000000000001</v>
      </c>
      <c r="I35" s="11">
        <v>30.998000000000001</v>
      </c>
      <c r="J35" s="11">
        <v>296.20999999999998</v>
      </c>
      <c r="K35" s="11">
        <v>3.7370999999999999</v>
      </c>
      <c r="L35" s="11">
        <v>17.972000000000001</v>
      </c>
      <c r="M35" s="11">
        <v>2.3186999999999999E-2</v>
      </c>
      <c r="N35" s="2" t="s">
        <v>538</v>
      </c>
    </row>
    <row r="36" spans="1:14" ht="12.3">
      <c r="A36" s="11">
        <v>250</v>
      </c>
      <c r="B36" s="11">
        <v>2.0699999999999998</v>
      </c>
      <c r="C36" s="11">
        <v>1.0245</v>
      </c>
      <c r="D36" s="11">
        <v>0.97611000000000003</v>
      </c>
      <c r="E36" s="11">
        <v>5.0214999999999996</v>
      </c>
      <c r="F36" s="11">
        <v>7.0419999999999998</v>
      </c>
      <c r="G36" s="11">
        <v>174.12</v>
      </c>
      <c r="H36" s="11">
        <v>21.155000000000001</v>
      </c>
      <c r="I36" s="11">
        <v>30.91</v>
      </c>
      <c r="J36" s="11">
        <v>299.56</v>
      </c>
      <c r="K36" s="11">
        <v>3.6011000000000002</v>
      </c>
      <c r="L36" s="11">
        <v>18.265000000000001</v>
      </c>
      <c r="M36" s="11">
        <v>2.3573E-2</v>
      </c>
      <c r="N36" s="2" t="s">
        <v>538</v>
      </c>
    </row>
    <row r="37" spans="1:14" ht="12.3">
      <c r="A37" s="11">
        <v>255</v>
      </c>
      <c r="B37" s="11">
        <v>2.0699999999999998</v>
      </c>
      <c r="C37" s="11">
        <v>1.0022</v>
      </c>
      <c r="D37" s="11">
        <v>0.99782000000000004</v>
      </c>
      <c r="E37" s="11">
        <v>5.1308999999999996</v>
      </c>
      <c r="F37" s="11">
        <v>7.1963999999999997</v>
      </c>
      <c r="G37" s="11">
        <v>174.73</v>
      </c>
      <c r="H37" s="11">
        <v>21.152000000000001</v>
      </c>
      <c r="I37" s="11">
        <v>30.832000000000001</v>
      </c>
      <c r="J37" s="11">
        <v>302.83999999999997</v>
      </c>
      <c r="K37" s="11">
        <v>3.4721000000000002</v>
      </c>
      <c r="L37" s="11">
        <v>18.556000000000001</v>
      </c>
      <c r="M37" s="11">
        <v>2.3959000000000001E-2</v>
      </c>
      <c r="N37" s="2" t="s">
        <v>538</v>
      </c>
    </row>
    <row r="38" spans="1:14" ht="12.3">
      <c r="A38" s="11">
        <v>260</v>
      </c>
      <c r="B38" s="11">
        <v>2.0699999999999998</v>
      </c>
      <c r="C38" s="11">
        <v>0.98092999999999997</v>
      </c>
      <c r="D38" s="11">
        <v>1.0194000000000001</v>
      </c>
      <c r="E38" s="11">
        <v>5.2401</v>
      </c>
      <c r="F38" s="11">
        <v>7.3503999999999996</v>
      </c>
      <c r="G38" s="11">
        <v>175.33</v>
      </c>
      <c r="H38" s="11">
        <v>21.151</v>
      </c>
      <c r="I38" s="11">
        <v>30.762</v>
      </c>
      <c r="J38" s="11">
        <v>306.07</v>
      </c>
      <c r="K38" s="11">
        <v>3.3494000000000002</v>
      </c>
      <c r="L38" s="11">
        <v>18.844999999999999</v>
      </c>
      <c r="M38" s="11">
        <v>2.4343E-2</v>
      </c>
      <c r="N38" s="2" t="s">
        <v>538</v>
      </c>
    </row>
    <row r="39" spans="1:14" ht="12.3">
      <c r="A39" s="11">
        <v>265</v>
      </c>
      <c r="B39" s="11">
        <v>2.0699999999999998</v>
      </c>
      <c r="C39" s="11">
        <v>0.96062000000000003</v>
      </c>
      <c r="D39" s="11">
        <v>1.0409999999999999</v>
      </c>
      <c r="E39" s="11">
        <v>5.3491999999999997</v>
      </c>
      <c r="F39" s="11">
        <v>7.5039999999999996</v>
      </c>
      <c r="G39" s="11">
        <v>175.92</v>
      </c>
      <c r="H39" s="11">
        <v>21.154</v>
      </c>
      <c r="I39" s="11">
        <v>30.7</v>
      </c>
      <c r="J39" s="11">
        <v>309.26</v>
      </c>
      <c r="K39" s="11">
        <v>3.2326000000000001</v>
      </c>
      <c r="L39" s="11">
        <v>19.131</v>
      </c>
      <c r="M39" s="11">
        <v>2.4726999999999999E-2</v>
      </c>
      <c r="N39" s="2" t="s">
        <v>538</v>
      </c>
    </row>
    <row r="40" spans="1:14" ht="12.3">
      <c r="A40" s="11">
        <v>270</v>
      </c>
      <c r="B40" s="11">
        <v>2.0699999999999998</v>
      </c>
      <c r="C40" s="11">
        <v>0.94120000000000004</v>
      </c>
      <c r="D40" s="11">
        <v>1.0625</v>
      </c>
      <c r="E40" s="11">
        <v>5.4581</v>
      </c>
      <c r="F40" s="11">
        <v>7.6574</v>
      </c>
      <c r="G40" s="11">
        <v>176.49</v>
      </c>
      <c r="H40" s="11">
        <v>21.158000000000001</v>
      </c>
      <c r="I40" s="11">
        <v>30.646000000000001</v>
      </c>
      <c r="J40" s="11">
        <v>312.39</v>
      </c>
      <c r="K40" s="11">
        <v>3.1212</v>
      </c>
      <c r="L40" s="11">
        <v>19.416</v>
      </c>
      <c r="M40" s="11">
        <v>2.511E-2</v>
      </c>
      <c r="N40" s="2" t="s">
        <v>538</v>
      </c>
    </row>
    <row r="41" spans="1:14" ht="12.3">
      <c r="A41" s="11">
        <v>275</v>
      </c>
      <c r="B41" s="11">
        <v>2.0699999999999998</v>
      </c>
      <c r="C41" s="11">
        <v>0.92259999999999998</v>
      </c>
      <c r="D41" s="11">
        <v>1.0839000000000001</v>
      </c>
      <c r="E41" s="11">
        <v>5.5667999999999997</v>
      </c>
      <c r="F41" s="11">
        <v>7.8105000000000002</v>
      </c>
      <c r="G41" s="11">
        <v>177.05</v>
      </c>
      <c r="H41" s="11">
        <v>21.164999999999999</v>
      </c>
      <c r="I41" s="11">
        <v>30.597000000000001</v>
      </c>
      <c r="J41" s="11">
        <v>315.48</v>
      </c>
      <c r="K41" s="11">
        <v>3.0150000000000001</v>
      </c>
      <c r="L41" s="11">
        <v>19.698</v>
      </c>
      <c r="M41" s="11">
        <v>2.5492999999999998E-2</v>
      </c>
      <c r="N41" s="2" t="s">
        <v>538</v>
      </c>
    </row>
    <row r="42" spans="1:14" ht="12.3">
      <c r="A42" s="11">
        <v>280</v>
      </c>
      <c r="B42" s="11">
        <v>2.0699999999999998</v>
      </c>
      <c r="C42" s="11">
        <v>0.90478000000000003</v>
      </c>
      <c r="D42" s="11">
        <v>1.1052</v>
      </c>
      <c r="E42" s="11">
        <v>5.6755000000000004</v>
      </c>
      <c r="F42" s="11">
        <v>7.9634</v>
      </c>
      <c r="G42" s="11">
        <v>177.6</v>
      </c>
      <c r="H42" s="11">
        <v>21.173999999999999</v>
      </c>
      <c r="I42" s="11">
        <v>30.555</v>
      </c>
      <c r="J42" s="11">
        <v>318.52</v>
      </c>
      <c r="K42" s="11">
        <v>2.9134000000000002</v>
      </c>
      <c r="L42" s="11">
        <v>19.978999999999999</v>
      </c>
      <c r="M42" s="11">
        <v>2.5874000000000001E-2</v>
      </c>
      <c r="N42" s="2" t="s">
        <v>538</v>
      </c>
    </row>
    <row r="43" spans="1:14" ht="12.3">
      <c r="A43" s="11">
        <v>285</v>
      </c>
      <c r="B43" s="11">
        <v>2.0699999999999998</v>
      </c>
      <c r="C43" s="11">
        <v>0.88766999999999996</v>
      </c>
      <c r="D43" s="11">
        <v>1.1265000000000001</v>
      </c>
      <c r="E43" s="11">
        <v>5.7840999999999996</v>
      </c>
      <c r="F43" s="11">
        <v>8.1159999999999997</v>
      </c>
      <c r="G43" s="11">
        <v>178.14</v>
      </c>
      <c r="H43" s="11">
        <v>21.184999999999999</v>
      </c>
      <c r="I43" s="11">
        <v>30.518000000000001</v>
      </c>
      <c r="J43" s="11">
        <v>321.52</v>
      </c>
      <c r="K43" s="11">
        <v>2.8161999999999998</v>
      </c>
      <c r="L43" s="11">
        <v>20.257000000000001</v>
      </c>
      <c r="M43" s="11">
        <v>2.6254E-2</v>
      </c>
      <c r="N43" s="2" t="s">
        <v>538</v>
      </c>
    </row>
    <row r="44" spans="1:14" ht="12.3">
      <c r="A44" s="11">
        <v>290</v>
      </c>
      <c r="B44" s="11">
        <v>2.0699999999999998</v>
      </c>
      <c r="C44" s="11">
        <v>0.87124000000000001</v>
      </c>
      <c r="D44" s="11">
        <v>1.1477999999999999</v>
      </c>
      <c r="E44" s="11">
        <v>5.8925999999999998</v>
      </c>
      <c r="F44" s="11">
        <v>8.2684999999999995</v>
      </c>
      <c r="G44" s="11">
        <v>178.68</v>
      </c>
      <c r="H44" s="11">
        <v>21.198</v>
      </c>
      <c r="I44" s="11">
        <v>30.486999999999998</v>
      </c>
      <c r="J44" s="11">
        <v>324.48</v>
      </c>
      <c r="K44" s="11">
        <v>2.7231000000000001</v>
      </c>
      <c r="L44" s="11">
        <v>20.533999999999999</v>
      </c>
      <c r="M44" s="11">
        <v>2.6633E-2</v>
      </c>
      <c r="N44" s="2" t="s">
        <v>538</v>
      </c>
    </row>
    <row r="45" spans="1:14" ht="12.3">
      <c r="A45" s="11">
        <v>295</v>
      </c>
      <c r="B45" s="11">
        <v>2.0699999999999998</v>
      </c>
      <c r="C45" s="11">
        <v>0.85543999999999998</v>
      </c>
      <c r="D45" s="11">
        <v>1.169</v>
      </c>
      <c r="E45" s="11">
        <v>6.0011000000000001</v>
      </c>
      <c r="F45" s="11">
        <v>8.4208999999999996</v>
      </c>
      <c r="G45" s="11">
        <v>179.2</v>
      </c>
      <c r="H45" s="11">
        <v>21.213000000000001</v>
      </c>
      <c r="I45" s="11">
        <v>30.46</v>
      </c>
      <c r="J45" s="11">
        <v>327.39</v>
      </c>
      <c r="K45" s="11">
        <v>2.6339000000000001</v>
      </c>
      <c r="L45" s="11">
        <v>20.809000000000001</v>
      </c>
      <c r="M45" s="11">
        <v>2.7011E-2</v>
      </c>
      <c r="N45" s="2" t="s">
        <v>538</v>
      </c>
    </row>
    <row r="46" spans="1:14" ht="12.3">
      <c r="A46" s="11">
        <v>300</v>
      </c>
      <c r="B46" s="11">
        <v>2.0699999999999998</v>
      </c>
      <c r="C46" s="11">
        <v>0.84023999999999999</v>
      </c>
      <c r="D46" s="11">
        <v>1.1900999999999999</v>
      </c>
      <c r="E46" s="11">
        <v>6.1096000000000004</v>
      </c>
      <c r="F46" s="11">
        <v>8.5731999999999999</v>
      </c>
      <c r="G46" s="11">
        <v>179.71</v>
      </c>
      <c r="H46" s="11">
        <v>21.23</v>
      </c>
      <c r="I46" s="11">
        <v>30.437999999999999</v>
      </c>
      <c r="J46" s="11">
        <v>330.27</v>
      </c>
      <c r="K46" s="11">
        <v>2.5482999999999998</v>
      </c>
      <c r="L46" s="11">
        <v>21.082000000000001</v>
      </c>
      <c r="M46" s="11">
        <v>2.7387999999999999E-2</v>
      </c>
      <c r="N46" s="2" t="s">
        <v>538</v>
      </c>
    </row>
    <row r="47" spans="1:14" ht="12.3">
      <c r="A47" s="11">
        <v>305</v>
      </c>
      <c r="B47" s="11">
        <v>2.0699999999999998</v>
      </c>
      <c r="C47" s="11">
        <v>0.8256</v>
      </c>
      <c r="D47" s="11">
        <v>1.2112000000000001</v>
      </c>
      <c r="E47" s="11">
        <v>6.218</v>
      </c>
      <c r="F47" s="11">
        <v>8.7253000000000007</v>
      </c>
      <c r="G47" s="11">
        <v>180.21</v>
      </c>
      <c r="H47" s="11">
        <v>21.248999999999999</v>
      </c>
      <c r="I47" s="11">
        <v>30.42</v>
      </c>
      <c r="J47" s="11">
        <v>333.12</v>
      </c>
      <c r="K47" s="11">
        <v>2.4661</v>
      </c>
      <c r="L47" s="11">
        <v>21.353000000000002</v>
      </c>
      <c r="M47" s="11">
        <v>2.7764E-2</v>
      </c>
      <c r="N47" s="2" t="s">
        <v>538</v>
      </c>
    </row>
    <row r="48" spans="1:14" ht="12.3">
      <c r="A48" s="11">
        <v>310</v>
      </c>
      <c r="B48" s="11">
        <v>2.0699999999999998</v>
      </c>
      <c r="C48" s="11">
        <v>0.81149000000000004</v>
      </c>
      <c r="D48" s="11">
        <v>1.2323</v>
      </c>
      <c r="E48" s="11">
        <v>6.3265000000000002</v>
      </c>
      <c r="F48" s="11">
        <v>8.8773999999999997</v>
      </c>
      <c r="G48" s="11">
        <v>180.71</v>
      </c>
      <c r="H48" s="11">
        <v>21.268999999999998</v>
      </c>
      <c r="I48" s="11">
        <v>30.405999999999999</v>
      </c>
      <c r="J48" s="11">
        <v>335.93</v>
      </c>
      <c r="K48" s="11">
        <v>2.3871000000000002</v>
      </c>
      <c r="L48" s="11">
        <v>21.623000000000001</v>
      </c>
      <c r="M48" s="11">
        <v>2.8138E-2</v>
      </c>
      <c r="N48" s="2" t="s">
        <v>538</v>
      </c>
    </row>
    <row r="49" spans="1:14" ht="12.3">
      <c r="A49" s="11">
        <v>315</v>
      </c>
      <c r="B49" s="11">
        <v>2.0699999999999998</v>
      </c>
      <c r="C49" s="11">
        <v>0.79786999999999997</v>
      </c>
      <c r="D49" s="11">
        <v>1.2533000000000001</v>
      </c>
      <c r="E49" s="11">
        <v>6.4349999999999996</v>
      </c>
      <c r="F49" s="11">
        <v>9.0294000000000008</v>
      </c>
      <c r="G49" s="11">
        <v>181.19</v>
      </c>
      <c r="H49" s="11">
        <v>21.291</v>
      </c>
      <c r="I49" s="11">
        <v>30.395</v>
      </c>
      <c r="J49" s="11">
        <v>338.7</v>
      </c>
      <c r="K49" s="11">
        <v>2.3111999999999999</v>
      </c>
      <c r="L49" s="11">
        <v>21.89</v>
      </c>
      <c r="M49" s="11">
        <v>2.8511999999999999E-2</v>
      </c>
      <c r="N49" s="2" t="s">
        <v>538</v>
      </c>
    </row>
    <row r="50" spans="1:14" ht="12.3">
      <c r="A50" s="11">
        <v>320</v>
      </c>
      <c r="B50" s="11">
        <v>2.0699999999999998</v>
      </c>
      <c r="C50" s="11">
        <v>0.78473000000000004</v>
      </c>
      <c r="D50" s="11">
        <v>1.2743</v>
      </c>
      <c r="E50" s="11">
        <v>6.5434999999999999</v>
      </c>
      <c r="F50" s="11">
        <v>9.1813000000000002</v>
      </c>
      <c r="G50" s="11">
        <v>181.67</v>
      </c>
      <c r="H50" s="11">
        <v>21.315000000000001</v>
      </c>
      <c r="I50" s="11">
        <v>30.388000000000002</v>
      </c>
      <c r="J50" s="11">
        <v>341.44</v>
      </c>
      <c r="K50" s="11">
        <v>2.238</v>
      </c>
      <c r="L50" s="11">
        <v>22.155999999999999</v>
      </c>
      <c r="M50" s="11">
        <v>2.8885000000000001E-2</v>
      </c>
      <c r="N50" s="2" t="s">
        <v>538</v>
      </c>
    </row>
    <row r="51" spans="1:14" ht="12.3">
      <c r="A51" s="11">
        <v>325</v>
      </c>
      <c r="B51" s="11">
        <v>2.0699999999999998</v>
      </c>
      <c r="C51" s="11">
        <v>0.77202999999999999</v>
      </c>
      <c r="D51" s="11">
        <v>1.2952999999999999</v>
      </c>
      <c r="E51" s="11">
        <v>6.6520000000000001</v>
      </c>
      <c r="F51" s="11">
        <v>9.3331999999999997</v>
      </c>
      <c r="G51" s="11">
        <v>182.14</v>
      </c>
      <c r="H51" s="11">
        <v>21.341000000000001</v>
      </c>
      <c r="I51" s="11">
        <v>30.385000000000002</v>
      </c>
      <c r="J51" s="11">
        <v>344.15</v>
      </c>
      <c r="K51" s="11">
        <v>2.1676000000000002</v>
      </c>
      <c r="L51" s="11">
        <v>22.420999999999999</v>
      </c>
      <c r="M51" s="11">
        <v>2.9256000000000001E-2</v>
      </c>
      <c r="N51" s="2" t="s">
        <v>538</v>
      </c>
    </row>
    <row r="52" spans="1:14" ht="12.3">
      <c r="A52" s="11">
        <v>330</v>
      </c>
      <c r="B52" s="11">
        <v>2.0699999999999998</v>
      </c>
      <c r="C52" s="11">
        <v>0.75975999999999999</v>
      </c>
      <c r="D52" s="11">
        <v>1.3162</v>
      </c>
      <c r="E52" s="11">
        <v>6.7606000000000002</v>
      </c>
      <c r="F52" s="11">
        <v>9.4852000000000007</v>
      </c>
      <c r="G52" s="11">
        <v>182.61</v>
      </c>
      <c r="H52" s="11">
        <v>21.367000000000001</v>
      </c>
      <c r="I52" s="11">
        <v>30.384</v>
      </c>
      <c r="J52" s="11">
        <v>346.82</v>
      </c>
      <c r="K52" s="11">
        <v>2.0996999999999999</v>
      </c>
      <c r="L52" s="11">
        <v>22.683</v>
      </c>
      <c r="M52" s="11">
        <v>2.9627000000000001E-2</v>
      </c>
      <c r="N52" s="2" t="s">
        <v>538</v>
      </c>
    </row>
    <row r="53" spans="1:14" ht="12.3">
      <c r="A53" s="11">
        <v>335</v>
      </c>
      <c r="B53" s="11">
        <v>2.0699999999999998</v>
      </c>
      <c r="C53" s="11">
        <v>0.74789000000000005</v>
      </c>
      <c r="D53" s="11">
        <v>1.3371</v>
      </c>
      <c r="E53" s="11">
        <v>6.8693</v>
      </c>
      <c r="F53" s="11">
        <v>9.6371000000000002</v>
      </c>
      <c r="G53" s="11">
        <v>183.06</v>
      </c>
      <c r="H53" s="11">
        <v>21.396000000000001</v>
      </c>
      <c r="I53" s="11">
        <v>30.387</v>
      </c>
      <c r="J53" s="11">
        <v>349.47</v>
      </c>
      <c r="K53" s="11">
        <v>2.0341999999999998</v>
      </c>
      <c r="L53" s="11">
        <v>22.945</v>
      </c>
      <c r="M53" s="11">
        <v>2.9995999999999998E-2</v>
      </c>
      <c r="N53" s="2" t="s">
        <v>538</v>
      </c>
    </row>
    <row r="54" spans="1:14" ht="12.3">
      <c r="A54" s="11">
        <v>340</v>
      </c>
      <c r="B54" s="11">
        <v>2.0699999999999998</v>
      </c>
      <c r="C54" s="11">
        <v>0.73638999999999999</v>
      </c>
      <c r="D54" s="11">
        <v>1.3580000000000001</v>
      </c>
      <c r="E54" s="11">
        <v>6.9779999999999998</v>
      </c>
      <c r="F54" s="11">
        <v>9.7889999999999997</v>
      </c>
      <c r="G54" s="11">
        <v>183.51</v>
      </c>
      <c r="H54" s="11">
        <v>21.425000000000001</v>
      </c>
      <c r="I54" s="11">
        <v>30.391999999999999</v>
      </c>
      <c r="J54" s="11">
        <v>352.09</v>
      </c>
      <c r="K54" s="11">
        <v>1.9711000000000001</v>
      </c>
      <c r="L54" s="11">
        <v>23.204000000000001</v>
      </c>
      <c r="M54" s="11">
        <v>3.0363999999999999E-2</v>
      </c>
      <c r="N54" s="2" t="s">
        <v>538</v>
      </c>
    </row>
    <row r="55" spans="1:14" ht="12.3">
      <c r="A55" s="11">
        <v>345</v>
      </c>
      <c r="B55" s="11">
        <v>2.0699999999999998</v>
      </c>
      <c r="C55" s="11">
        <v>0.72526999999999997</v>
      </c>
      <c r="D55" s="11">
        <v>1.3788</v>
      </c>
      <c r="E55" s="11">
        <v>7.0869</v>
      </c>
      <c r="F55" s="11">
        <v>9.9410000000000007</v>
      </c>
      <c r="G55" s="11">
        <v>183.96</v>
      </c>
      <c r="H55" s="11">
        <v>21.456</v>
      </c>
      <c r="I55" s="11">
        <v>30.4</v>
      </c>
      <c r="J55" s="11">
        <v>354.68</v>
      </c>
      <c r="K55" s="11">
        <v>1.9100999999999999</v>
      </c>
      <c r="L55" s="11">
        <v>23.462</v>
      </c>
      <c r="M55" s="11">
        <v>3.0731000000000001E-2</v>
      </c>
      <c r="N55" s="2" t="s">
        <v>538</v>
      </c>
    </row>
    <row r="56" spans="1:14" ht="12.3">
      <c r="A56" s="11">
        <v>350</v>
      </c>
      <c r="B56" s="11">
        <v>2.0699999999999998</v>
      </c>
      <c r="C56" s="11">
        <v>0.71448</v>
      </c>
      <c r="D56" s="11">
        <v>1.3996</v>
      </c>
      <c r="E56" s="11">
        <v>7.1958000000000002</v>
      </c>
      <c r="F56" s="11">
        <v>10.093</v>
      </c>
      <c r="G56" s="11">
        <v>184.39</v>
      </c>
      <c r="H56" s="11">
        <v>21.489000000000001</v>
      </c>
      <c r="I56" s="11">
        <v>30.41</v>
      </c>
      <c r="J56" s="11">
        <v>357.24</v>
      </c>
      <c r="K56" s="11">
        <v>1.8512</v>
      </c>
      <c r="L56" s="11">
        <v>23.719000000000001</v>
      </c>
      <c r="M56" s="11">
        <v>3.1097E-2</v>
      </c>
      <c r="N56" s="2" t="s">
        <v>538</v>
      </c>
    </row>
    <row r="57" spans="1:14" ht="12.3">
      <c r="A57" s="11">
        <v>355</v>
      </c>
      <c r="B57" s="11">
        <v>2.0699999999999998</v>
      </c>
      <c r="C57" s="11">
        <v>0.70403000000000004</v>
      </c>
      <c r="D57" s="11">
        <v>1.4204000000000001</v>
      </c>
      <c r="E57" s="11">
        <v>7.3048999999999999</v>
      </c>
      <c r="F57" s="11">
        <v>10.244999999999999</v>
      </c>
      <c r="G57" s="11">
        <v>184.83</v>
      </c>
      <c r="H57" s="11">
        <v>21.521999999999998</v>
      </c>
      <c r="I57" s="11">
        <v>30.422999999999998</v>
      </c>
      <c r="J57" s="11">
        <v>359.78</v>
      </c>
      <c r="K57" s="11">
        <v>1.7942</v>
      </c>
      <c r="L57" s="11">
        <v>23.972999999999999</v>
      </c>
      <c r="M57" s="11">
        <v>3.1461999999999997E-2</v>
      </c>
      <c r="N57" s="2" t="s">
        <v>538</v>
      </c>
    </row>
    <row r="58" spans="1:14" ht="12.3">
      <c r="A58" s="11">
        <v>360</v>
      </c>
      <c r="B58" s="11">
        <v>2.0699999999999998</v>
      </c>
      <c r="C58" s="11">
        <v>0.69388000000000005</v>
      </c>
      <c r="D58" s="11">
        <v>1.4412</v>
      </c>
      <c r="E58" s="11">
        <v>7.4141000000000004</v>
      </c>
      <c r="F58" s="11">
        <v>10.397</v>
      </c>
      <c r="G58" s="11">
        <v>185.25</v>
      </c>
      <c r="H58" s="11">
        <v>21.556999999999999</v>
      </c>
      <c r="I58" s="11">
        <v>30.437999999999999</v>
      </c>
      <c r="J58" s="11">
        <v>362.28</v>
      </c>
      <c r="K58" s="11">
        <v>1.7392000000000001</v>
      </c>
      <c r="L58" s="11">
        <v>24.227</v>
      </c>
      <c r="M58" s="11">
        <v>3.1826E-2</v>
      </c>
      <c r="N58" s="2" t="s">
        <v>538</v>
      </c>
    </row>
    <row r="59" spans="1:14" ht="12.3">
      <c r="A59" s="11">
        <v>365</v>
      </c>
      <c r="B59" s="11">
        <v>2.0699999999999998</v>
      </c>
      <c r="C59" s="11">
        <v>0.68403999999999998</v>
      </c>
      <c r="D59" s="11">
        <v>1.4619</v>
      </c>
      <c r="E59" s="11">
        <v>7.5233999999999996</v>
      </c>
      <c r="F59" s="11">
        <v>10.548999999999999</v>
      </c>
      <c r="G59" s="11">
        <v>185.67</v>
      </c>
      <c r="H59" s="11">
        <v>21.593</v>
      </c>
      <c r="I59" s="11">
        <v>30.454999999999998</v>
      </c>
      <c r="J59" s="11">
        <v>364.77</v>
      </c>
      <c r="K59" s="11">
        <v>1.6859</v>
      </c>
      <c r="L59" s="11">
        <v>24.478999999999999</v>
      </c>
      <c r="M59" s="11">
        <v>3.2188000000000001E-2</v>
      </c>
      <c r="N59" s="2" t="s">
        <v>538</v>
      </c>
    </row>
    <row r="60" spans="1:14" ht="12.3">
      <c r="A60" s="11">
        <v>370</v>
      </c>
      <c r="B60" s="11">
        <v>2.0699999999999998</v>
      </c>
      <c r="C60" s="11">
        <v>0.67447999999999997</v>
      </c>
      <c r="D60" s="11">
        <v>1.4825999999999999</v>
      </c>
      <c r="E60" s="11">
        <v>7.6327999999999996</v>
      </c>
      <c r="F60" s="11">
        <v>10.702</v>
      </c>
      <c r="G60" s="11">
        <v>186.09</v>
      </c>
      <c r="H60" s="11">
        <v>21.63</v>
      </c>
      <c r="I60" s="11">
        <v>30.474</v>
      </c>
      <c r="J60" s="11">
        <v>367.23</v>
      </c>
      <c r="K60" s="11">
        <v>1.6344000000000001</v>
      </c>
      <c r="L60" s="11">
        <v>24.728999999999999</v>
      </c>
      <c r="M60" s="11">
        <v>3.2550000000000003E-2</v>
      </c>
      <c r="N60" s="2" t="s">
        <v>538</v>
      </c>
    </row>
    <row r="61" spans="1:14" ht="12.3">
      <c r="A61" s="11">
        <v>375</v>
      </c>
      <c r="B61" s="11">
        <v>2.0699999999999998</v>
      </c>
      <c r="C61" s="11">
        <v>0.66518999999999995</v>
      </c>
      <c r="D61" s="11">
        <v>1.5033000000000001</v>
      </c>
      <c r="E61" s="11">
        <v>7.7423999999999999</v>
      </c>
      <c r="F61" s="11">
        <v>10.853999999999999</v>
      </c>
      <c r="G61" s="11">
        <v>186.49</v>
      </c>
      <c r="H61" s="11">
        <v>21.667999999999999</v>
      </c>
      <c r="I61" s="11">
        <v>30.495000000000001</v>
      </c>
      <c r="J61" s="11">
        <v>369.66</v>
      </c>
      <c r="K61" s="11">
        <v>1.5845</v>
      </c>
      <c r="L61" s="11">
        <v>24.978000000000002</v>
      </c>
      <c r="M61" s="11">
        <v>3.2910000000000002E-2</v>
      </c>
      <c r="N61" s="2" t="s">
        <v>538</v>
      </c>
    </row>
    <row r="62" spans="1:14" ht="12.3">
      <c r="A62" s="11">
        <v>380</v>
      </c>
      <c r="B62" s="11">
        <v>2.0699999999999998</v>
      </c>
      <c r="C62" s="11">
        <v>0.65617000000000003</v>
      </c>
      <c r="D62" s="11">
        <v>1.524</v>
      </c>
      <c r="E62" s="11">
        <v>7.8521000000000001</v>
      </c>
      <c r="F62" s="11">
        <v>11.007</v>
      </c>
      <c r="G62" s="11">
        <v>186.9</v>
      </c>
      <c r="H62" s="11">
        <v>21.707000000000001</v>
      </c>
      <c r="I62" s="11">
        <v>30.516999999999999</v>
      </c>
      <c r="J62" s="11">
        <v>372.08</v>
      </c>
      <c r="K62" s="11">
        <v>1.5362</v>
      </c>
      <c r="L62" s="11">
        <v>25.225999999999999</v>
      </c>
      <c r="M62" s="11">
        <v>3.3269E-2</v>
      </c>
      <c r="N62" s="2" t="s">
        <v>538</v>
      </c>
    </row>
    <row r="63" spans="1:14" ht="12.3">
      <c r="A63" s="11">
        <v>385</v>
      </c>
      <c r="B63" s="11">
        <v>2.0699999999999998</v>
      </c>
      <c r="C63" s="11">
        <v>0.64739000000000002</v>
      </c>
      <c r="D63" s="11">
        <v>1.5447</v>
      </c>
      <c r="E63" s="11">
        <v>7.9619999999999997</v>
      </c>
      <c r="F63" s="11">
        <v>11.159000000000001</v>
      </c>
      <c r="G63" s="11">
        <v>187.3</v>
      </c>
      <c r="H63" s="11">
        <v>21.747</v>
      </c>
      <c r="I63" s="11">
        <v>30.542000000000002</v>
      </c>
      <c r="J63" s="11">
        <v>374.47</v>
      </c>
      <c r="K63" s="11">
        <v>1.4894000000000001</v>
      </c>
      <c r="L63" s="11">
        <v>25.472000000000001</v>
      </c>
      <c r="M63" s="11">
        <v>3.3626999999999997E-2</v>
      </c>
      <c r="N63" s="2" t="s">
        <v>538</v>
      </c>
    </row>
    <row r="64" spans="1:14" ht="12.3">
      <c r="A64" s="11">
        <v>390</v>
      </c>
      <c r="B64" s="11">
        <v>2.0699999999999998</v>
      </c>
      <c r="C64" s="11">
        <v>0.63885000000000003</v>
      </c>
      <c r="D64" s="11">
        <v>1.5652999999999999</v>
      </c>
      <c r="E64" s="11">
        <v>8.0719999999999992</v>
      </c>
      <c r="F64" s="11">
        <v>11.311999999999999</v>
      </c>
      <c r="G64" s="11">
        <v>187.69</v>
      </c>
      <c r="H64" s="11">
        <v>21.788</v>
      </c>
      <c r="I64" s="11">
        <v>30.568000000000001</v>
      </c>
      <c r="J64" s="11">
        <v>376.83</v>
      </c>
      <c r="K64" s="11">
        <v>1.444</v>
      </c>
      <c r="L64" s="11">
        <v>25.716999999999999</v>
      </c>
      <c r="M64" s="11">
        <v>3.3984E-2</v>
      </c>
      <c r="N64" s="2" t="s">
        <v>538</v>
      </c>
    </row>
    <row r="65" spans="1:14" ht="12.3">
      <c r="A65" s="11">
        <v>395</v>
      </c>
      <c r="B65" s="11">
        <v>2.0699999999999998</v>
      </c>
      <c r="C65" s="11">
        <v>0.63053999999999999</v>
      </c>
      <c r="D65" s="11">
        <v>1.5859000000000001</v>
      </c>
      <c r="E65" s="11">
        <v>8.1821999999999999</v>
      </c>
      <c r="F65" s="11">
        <v>11.465</v>
      </c>
      <c r="G65" s="11">
        <v>188.08</v>
      </c>
      <c r="H65" s="11">
        <v>21.83</v>
      </c>
      <c r="I65" s="11">
        <v>30.594999999999999</v>
      </c>
      <c r="J65" s="11">
        <v>379.18</v>
      </c>
      <c r="K65" s="11">
        <v>1.4</v>
      </c>
      <c r="L65" s="11">
        <v>25.960999999999999</v>
      </c>
      <c r="M65" s="11">
        <v>3.4340000000000002E-2</v>
      </c>
      <c r="N65" s="2" t="s">
        <v>538</v>
      </c>
    </row>
    <row r="66" spans="1:14" ht="12.3">
      <c r="A66" s="11">
        <v>400</v>
      </c>
      <c r="B66" s="11">
        <v>2.0699999999999998</v>
      </c>
      <c r="C66" s="11">
        <v>0.62246000000000001</v>
      </c>
      <c r="D66" s="11">
        <v>1.6065</v>
      </c>
      <c r="E66" s="11">
        <v>8.2926000000000002</v>
      </c>
      <c r="F66" s="11">
        <v>11.618</v>
      </c>
      <c r="G66" s="11">
        <v>188.47</v>
      </c>
      <c r="H66" s="11">
        <v>21.872</v>
      </c>
      <c r="I66" s="11">
        <v>30.623999999999999</v>
      </c>
      <c r="J66" s="11">
        <v>381.51</v>
      </c>
      <c r="K66" s="11">
        <v>1.3573999999999999</v>
      </c>
      <c r="L66" s="11">
        <v>26.202999999999999</v>
      </c>
      <c r="M66" s="11">
        <v>3.4694000000000003E-2</v>
      </c>
      <c r="N66" s="2" t="s">
        <v>538</v>
      </c>
    </row>
    <row r="67" spans="1:14" ht="12.3">
      <c r="A67" s="11">
        <v>405</v>
      </c>
      <c r="B67" s="11">
        <v>2.0699999999999998</v>
      </c>
      <c r="C67" s="11">
        <v>0.61458000000000002</v>
      </c>
      <c r="D67" s="11">
        <v>1.6271</v>
      </c>
      <c r="E67" s="11">
        <v>8.4032</v>
      </c>
      <c r="F67" s="11">
        <v>11.771000000000001</v>
      </c>
      <c r="G67" s="11">
        <v>188.85</v>
      </c>
      <c r="H67" s="11">
        <v>21.916</v>
      </c>
      <c r="I67" s="11">
        <v>30.655000000000001</v>
      </c>
      <c r="J67" s="11">
        <v>383.81</v>
      </c>
      <c r="K67" s="11">
        <v>1.3160000000000001</v>
      </c>
      <c r="L67" s="11">
        <v>26.443999999999999</v>
      </c>
      <c r="M67" s="11">
        <v>3.5048000000000003E-2</v>
      </c>
      <c r="N67" s="2" t="s">
        <v>538</v>
      </c>
    </row>
    <row r="68" spans="1:14" ht="12.3">
      <c r="A68" s="11">
        <v>410</v>
      </c>
      <c r="B68" s="11">
        <v>2.0699999999999998</v>
      </c>
      <c r="C68" s="11">
        <v>0.6069</v>
      </c>
      <c r="D68" s="11">
        <v>1.6476999999999999</v>
      </c>
      <c r="E68" s="11">
        <v>8.5138999999999996</v>
      </c>
      <c r="F68" s="11">
        <v>11.925000000000001</v>
      </c>
      <c r="G68" s="11">
        <v>189.22</v>
      </c>
      <c r="H68" s="11">
        <v>21.96</v>
      </c>
      <c r="I68" s="11">
        <v>30.686</v>
      </c>
      <c r="J68" s="11">
        <v>386.1</v>
      </c>
      <c r="K68" s="11">
        <v>1.2758</v>
      </c>
      <c r="L68" s="11">
        <v>26.684000000000001</v>
      </c>
      <c r="M68" s="11">
        <v>3.5401000000000002E-2</v>
      </c>
      <c r="N68" s="2" t="s">
        <v>538</v>
      </c>
    </row>
    <row r="69" spans="1:14" ht="12.3">
      <c r="A69" s="11">
        <v>415</v>
      </c>
      <c r="B69" s="11">
        <v>2.0699999999999998</v>
      </c>
      <c r="C69" s="11">
        <v>0.59941999999999995</v>
      </c>
      <c r="D69" s="11">
        <v>1.6682999999999999</v>
      </c>
      <c r="E69" s="11">
        <v>8.6249000000000002</v>
      </c>
      <c r="F69" s="11">
        <v>12.077999999999999</v>
      </c>
      <c r="G69" s="11">
        <v>189.6</v>
      </c>
      <c r="H69" s="11">
        <v>22.004000000000001</v>
      </c>
      <c r="I69" s="11">
        <v>30.719000000000001</v>
      </c>
      <c r="J69" s="11">
        <v>388.37</v>
      </c>
      <c r="K69" s="11">
        <v>1.2367999999999999</v>
      </c>
      <c r="L69" s="11">
        <v>26.922000000000001</v>
      </c>
      <c r="M69" s="11">
        <v>3.5751999999999999E-2</v>
      </c>
      <c r="N69" s="2" t="s">
        <v>538</v>
      </c>
    </row>
    <row r="70" spans="1:14" ht="12.3">
      <c r="A70" s="11">
        <v>420</v>
      </c>
      <c r="B70" s="11">
        <v>2.0699999999999998</v>
      </c>
      <c r="C70" s="11">
        <v>0.59213000000000005</v>
      </c>
      <c r="D70" s="11">
        <v>1.6888000000000001</v>
      </c>
      <c r="E70" s="11">
        <v>8.7360000000000007</v>
      </c>
      <c r="F70" s="11">
        <v>12.231999999999999</v>
      </c>
      <c r="G70" s="11">
        <v>189.96</v>
      </c>
      <c r="H70" s="11">
        <v>22.05</v>
      </c>
      <c r="I70" s="11">
        <v>30.753</v>
      </c>
      <c r="J70" s="11">
        <v>390.61</v>
      </c>
      <c r="K70" s="11">
        <v>1.1990000000000001</v>
      </c>
      <c r="L70" s="11">
        <v>27.16</v>
      </c>
      <c r="M70" s="11">
        <v>3.6103000000000003E-2</v>
      </c>
      <c r="N70" s="2" t="s">
        <v>538</v>
      </c>
    </row>
    <row r="71" spans="1:14" ht="12.3">
      <c r="A71" s="11">
        <v>425</v>
      </c>
      <c r="B71" s="11">
        <v>2.0699999999999998</v>
      </c>
      <c r="C71" s="11">
        <v>0.58501000000000003</v>
      </c>
      <c r="D71" s="11">
        <v>1.7094</v>
      </c>
      <c r="E71" s="11">
        <v>8.8473000000000006</v>
      </c>
      <c r="F71" s="11">
        <v>12.385999999999999</v>
      </c>
      <c r="G71" s="11">
        <v>190.33</v>
      </c>
      <c r="H71" s="11">
        <v>22.096</v>
      </c>
      <c r="I71" s="11">
        <v>30.788</v>
      </c>
      <c r="J71" s="11">
        <v>392.84</v>
      </c>
      <c r="K71" s="11">
        <v>1.1621999999999999</v>
      </c>
      <c r="L71" s="11">
        <v>27.396000000000001</v>
      </c>
      <c r="M71" s="11">
        <v>3.6451999999999998E-2</v>
      </c>
      <c r="N71" s="2" t="s">
        <v>538</v>
      </c>
    </row>
    <row r="72" spans="1:14" ht="12.3">
      <c r="A72" s="11">
        <v>430</v>
      </c>
      <c r="B72" s="11">
        <v>2.0699999999999998</v>
      </c>
      <c r="C72" s="11">
        <v>0.57806999999999997</v>
      </c>
      <c r="D72" s="11">
        <v>1.7299</v>
      </c>
      <c r="E72" s="11">
        <v>8.9588999999999999</v>
      </c>
      <c r="F72" s="11">
        <v>12.54</v>
      </c>
      <c r="G72" s="11">
        <v>190.69</v>
      </c>
      <c r="H72" s="11">
        <v>22.141999999999999</v>
      </c>
      <c r="I72" s="11">
        <v>30.823</v>
      </c>
      <c r="J72" s="11">
        <v>395.06</v>
      </c>
      <c r="K72" s="11">
        <v>1.1265000000000001</v>
      </c>
      <c r="L72" s="11">
        <v>27.63</v>
      </c>
      <c r="M72" s="11">
        <v>3.6801E-2</v>
      </c>
      <c r="N72" s="2" t="s">
        <v>538</v>
      </c>
    </row>
    <row r="73" spans="1:14" ht="12.3">
      <c r="A73" s="11">
        <v>435</v>
      </c>
      <c r="B73" s="11">
        <v>2.0699999999999998</v>
      </c>
      <c r="C73" s="11">
        <v>0.57130000000000003</v>
      </c>
      <c r="D73" s="11">
        <v>1.7504</v>
      </c>
      <c r="E73" s="11">
        <v>9.0706000000000007</v>
      </c>
      <c r="F73" s="11">
        <v>12.694000000000001</v>
      </c>
      <c r="G73" s="11">
        <v>191.04</v>
      </c>
      <c r="H73" s="11">
        <v>22.189</v>
      </c>
      <c r="I73" s="11">
        <v>30.86</v>
      </c>
      <c r="J73" s="11">
        <v>397.25</v>
      </c>
      <c r="K73" s="11">
        <v>1.0918000000000001</v>
      </c>
      <c r="L73" s="11">
        <v>27.864000000000001</v>
      </c>
      <c r="M73" s="11">
        <v>3.7148E-2</v>
      </c>
      <c r="N73" s="2" t="s">
        <v>538</v>
      </c>
    </row>
    <row r="74" spans="1:14" ht="12.3">
      <c r="A74" s="11">
        <v>440</v>
      </c>
      <c r="B74" s="11">
        <v>2.0699999999999998</v>
      </c>
      <c r="C74" s="11">
        <v>0.56467999999999996</v>
      </c>
      <c r="D74" s="11">
        <v>1.7708999999999999</v>
      </c>
      <c r="E74" s="11">
        <v>9.1826000000000008</v>
      </c>
      <c r="F74" s="11">
        <v>12.848000000000001</v>
      </c>
      <c r="G74" s="11">
        <v>191.4</v>
      </c>
      <c r="H74" s="11">
        <v>22.236000000000001</v>
      </c>
      <c r="I74" s="11">
        <v>30.898</v>
      </c>
      <c r="J74" s="11">
        <v>399.43</v>
      </c>
      <c r="K74" s="11">
        <v>1.0580000000000001</v>
      </c>
      <c r="L74" s="11">
        <v>28.096</v>
      </c>
      <c r="M74" s="11">
        <v>3.7494E-2</v>
      </c>
      <c r="N74" s="2" t="s">
        <v>538</v>
      </c>
    </row>
    <row r="75" spans="1:14" ht="12.3">
      <c r="A75" s="11">
        <v>445</v>
      </c>
      <c r="B75" s="11">
        <v>2.0699999999999998</v>
      </c>
      <c r="C75" s="11">
        <v>0.55822000000000005</v>
      </c>
      <c r="D75" s="11">
        <v>1.7914000000000001</v>
      </c>
      <c r="E75" s="11">
        <v>9.2948000000000004</v>
      </c>
      <c r="F75" s="11">
        <v>13.003</v>
      </c>
      <c r="G75" s="11">
        <v>191.75</v>
      </c>
      <c r="H75" s="11">
        <v>22.283999999999999</v>
      </c>
      <c r="I75" s="11">
        <v>30.936</v>
      </c>
      <c r="J75" s="11">
        <v>401.59</v>
      </c>
      <c r="K75" s="11">
        <v>1.0251999999999999</v>
      </c>
      <c r="L75" s="11">
        <v>28.327999999999999</v>
      </c>
      <c r="M75" s="11">
        <v>3.7839999999999999E-2</v>
      </c>
      <c r="N75" s="2" t="s">
        <v>538</v>
      </c>
    </row>
    <row r="76" spans="1:14" ht="12.3">
      <c r="A76" s="11">
        <v>450</v>
      </c>
      <c r="B76" s="11">
        <v>2.0699999999999998</v>
      </c>
      <c r="C76" s="11">
        <v>0.55191000000000001</v>
      </c>
      <c r="D76" s="11">
        <v>1.8119000000000001</v>
      </c>
      <c r="E76" s="11">
        <v>9.4070999999999998</v>
      </c>
      <c r="F76" s="11">
        <v>13.157999999999999</v>
      </c>
      <c r="G76" s="11">
        <v>192.09</v>
      </c>
      <c r="H76" s="11">
        <v>22.332000000000001</v>
      </c>
      <c r="I76" s="11">
        <v>30.975000000000001</v>
      </c>
      <c r="J76" s="11">
        <v>403.74</v>
      </c>
      <c r="K76" s="11">
        <v>0.99331000000000003</v>
      </c>
      <c r="L76" s="11">
        <v>28.558</v>
      </c>
      <c r="M76" s="11">
        <v>3.8184000000000003E-2</v>
      </c>
      <c r="N76" s="2" t="s">
        <v>538</v>
      </c>
    </row>
    <row r="77" spans="1:14" ht="12.3">
      <c r="A77" s="11">
        <v>455</v>
      </c>
      <c r="B77" s="11">
        <v>2.0699999999999998</v>
      </c>
      <c r="C77" s="11">
        <v>0.54574999999999996</v>
      </c>
      <c r="D77" s="11">
        <v>1.8323</v>
      </c>
      <c r="E77" s="11">
        <v>9.5198</v>
      </c>
      <c r="F77" s="11">
        <v>13.313000000000001</v>
      </c>
      <c r="G77" s="11">
        <v>192.44</v>
      </c>
      <c r="H77" s="11">
        <v>22.381</v>
      </c>
      <c r="I77" s="11">
        <v>31.015000000000001</v>
      </c>
      <c r="J77" s="11">
        <v>405.87</v>
      </c>
      <c r="K77" s="11">
        <v>0.96226999999999996</v>
      </c>
      <c r="L77" s="11">
        <v>28.786999999999999</v>
      </c>
      <c r="M77" s="11">
        <v>3.8528E-2</v>
      </c>
      <c r="N77" s="2" t="s">
        <v>538</v>
      </c>
    </row>
    <row r="78" spans="1:14" ht="12.3">
      <c r="A78" s="11">
        <v>460</v>
      </c>
      <c r="B78" s="11">
        <v>2.0699999999999998</v>
      </c>
      <c r="C78" s="11">
        <v>0.53971999999999998</v>
      </c>
      <c r="D78" s="11">
        <v>1.8528</v>
      </c>
      <c r="E78" s="11">
        <v>9.6326000000000001</v>
      </c>
      <c r="F78" s="11">
        <v>13.468</v>
      </c>
      <c r="G78" s="11">
        <v>192.77</v>
      </c>
      <c r="H78" s="11">
        <v>22.43</v>
      </c>
      <c r="I78" s="11">
        <v>31.056000000000001</v>
      </c>
      <c r="J78" s="11">
        <v>407.98</v>
      </c>
      <c r="K78" s="11">
        <v>0.93206999999999995</v>
      </c>
      <c r="L78" s="11">
        <v>29.015000000000001</v>
      </c>
      <c r="M78" s="11">
        <v>3.8870000000000002E-2</v>
      </c>
      <c r="N78" s="2" t="s">
        <v>538</v>
      </c>
    </row>
    <row r="79" spans="1:14" ht="12.3">
      <c r="A79" s="11">
        <v>465</v>
      </c>
      <c r="B79" s="11">
        <v>2.0699999999999998</v>
      </c>
      <c r="C79" s="11">
        <v>0.53383000000000003</v>
      </c>
      <c r="D79" s="11">
        <v>1.8733</v>
      </c>
      <c r="E79" s="11">
        <v>9.7455999999999996</v>
      </c>
      <c r="F79" s="11">
        <v>13.622999999999999</v>
      </c>
      <c r="G79" s="11">
        <v>193.11</v>
      </c>
      <c r="H79" s="11">
        <v>22.478999999999999</v>
      </c>
      <c r="I79" s="11">
        <v>31.097000000000001</v>
      </c>
      <c r="J79" s="11">
        <v>410.08</v>
      </c>
      <c r="K79" s="11">
        <v>0.90268000000000004</v>
      </c>
      <c r="L79" s="11">
        <v>29.242000000000001</v>
      </c>
      <c r="M79" s="11">
        <v>3.9211999999999997E-2</v>
      </c>
      <c r="N79" s="2" t="s">
        <v>538</v>
      </c>
    </row>
    <row r="80" spans="1:14" ht="12.3">
      <c r="A80" s="11">
        <v>470</v>
      </c>
      <c r="B80" s="11">
        <v>2.0699999999999998</v>
      </c>
      <c r="C80" s="11">
        <v>0.52807000000000004</v>
      </c>
      <c r="D80" s="11">
        <v>1.8936999999999999</v>
      </c>
      <c r="E80" s="11">
        <v>9.8589000000000002</v>
      </c>
      <c r="F80" s="11">
        <v>13.779</v>
      </c>
      <c r="G80" s="11">
        <v>193.44</v>
      </c>
      <c r="H80" s="11">
        <v>22.527999999999999</v>
      </c>
      <c r="I80" s="11">
        <v>31.138000000000002</v>
      </c>
      <c r="J80" s="11">
        <v>412.17</v>
      </c>
      <c r="K80" s="11">
        <v>0.87407000000000001</v>
      </c>
      <c r="L80" s="11">
        <v>29.466999999999999</v>
      </c>
      <c r="M80" s="11">
        <v>3.9551999999999997E-2</v>
      </c>
      <c r="N80" s="2" t="s">
        <v>538</v>
      </c>
    </row>
    <row r="81" spans="1:14" ht="12.3">
      <c r="A81" s="11">
        <v>475</v>
      </c>
      <c r="B81" s="11">
        <v>2.0699999999999998</v>
      </c>
      <c r="C81" s="11">
        <v>0.52242999999999995</v>
      </c>
      <c r="D81" s="11">
        <v>1.9140999999999999</v>
      </c>
      <c r="E81" s="11">
        <v>9.9724000000000004</v>
      </c>
      <c r="F81" s="11">
        <v>13.935</v>
      </c>
      <c r="G81" s="11">
        <v>193.77</v>
      </c>
      <c r="H81" s="11">
        <v>22.577999999999999</v>
      </c>
      <c r="I81" s="11">
        <v>31.181000000000001</v>
      </c>
      <c r="J81" s="11">
        <v>414.24</v>
      </c>
      <c r="K81" s="11">
        <v>0.84621000000000002</v>
      </c>
      <c r="L81" s="11">
        <v>29.692</v>
      </c>
      <c r="M81" s="11">
        <v>3.9891999999999997E-2</v>
      </c>
      <c r="N81" s="2" t="s">
        <v>538</v>
      </c>
    </row>
    <row r="82" spans="1:14" ht="12.3">
      <c r="A82" s="11">
        <v>480</v>
      </c>
      <c r="B82" s="11">
        <v>2.0699999999999998</v>
      </c>
      <c r="C82" s="11">
        <v>0.51692000000000005</v>
      </c>
      <c r="D82" s="11">
        <v>1.9345000000000001</v>
      </c>
      <c r="E82" s="11">
        <v>10.086</v>
      </c>
      <c r="F82" s="11">
        <v>14.090999999999999</v>
      </c>
      <c r="G82" s="11">
        <v>194.1</v>
      </c>
      <c r="H82" s="11">
        <v>22.626999999999999</v>
      </c>
      <c r="I82" s="11">
        <v>31.222999999999999</v>
      </c>
      <c r="J82" s="11">
        <v>416.3</v>
      </c>
      <c r="K82" s="11">
        <v>0.81908999999999998</v>
      </c>
      <c r="L82" s="11">
        <v>29.916</v>
      </c>
      <c r="M82" s="11">
        <v>4.0231000000000003E-2</v>
      </c>
      <c r="N82" s="2" t="s">
        <v>538</v>
      </c>
    </row>
    <row r="83" spans="1:14" ht="12.3">
      <c r="A83" s="11">
        <v>485</v>
      </c>
      <c r="B83" s="11">
        <v>2.0699999999999998</v>
      </c>
      <c r="C83" s="11">
        <v>0.51151999999999997</v>
      </c>
      <c r="D83" s="11">
        <v>1.9550000000000001</v>
      </c>
      <c r="E83" s="11">
        <v>10.199999999999999</v>
      </c>
      <c r="F83" s="11">
        <v>14.247</v>
      </c>
      <c r="G83" s="11">
        <v>194.42</v>
      </c>
      <c r="H83" s="11">
        <v>22.677</v>
      </c>
      <c r="I83" s="11">
        <v>31.265999999999998</v>
      </c>
      <c r="J83" s="11">
        <v>418.34</v>
      </c>
      <c r="K83" s="11">
        <v>0.79266000000000003</v>
      </c>
      <c r="L83" s="11">
        <v>30.138000000000002</v>
      </c>
      <c r="M83" s="11">
        <v>4.0568E-2</v>
      </c>
      <c r="N83" s="2" t="s">
        <v>538</v>
      </c>
    </row>
    <row r="84" spans="1:14" ht="12.3">
      <c r="A84" s="11">
        <v>490</v>
      </c>
      <c r="B84" s="11">
        <v>2.0699999999999998</v>
      </c>
      <c r="C84" s="11">
        <v>0.50624000000000002</v>
      </c>
      <c r="D84" s="11">
        <v>1.9754</v>
      </c>
      <c r="E84" s="11">
        <v>10.314</v>
      </c>
      <c r="F84" s="11">
        <v>14.403</v>
      </c>
      <c r="G84" s="11">
        <v>194.74</v>
      </c>
      <c r="H84" s="11">
        <v>22.727</v>
      </c>
      <c r="I84" s="11">
        <v>31.309000000000001</v>
      </c>
      <c r="J84" s="11">
        <v>420.38</v>
      </c>
      <c r="K84" s="11">
        <v>0.76692000000000005</v>
      </c>
      <c r="L84" s="11">
        <v>30.36</v>
      </c>
      <c r="M84" s="11">
        <v>4.0904999999999997E-2</v>
      </c>
      <c r="N84" s="2" t="s">
        <v>538</v>
      </c>
    </row>
    <row r="85" spans="1:14" ht="12.3">
      <c r="A85" s="11">
        <v>495</v>
      </c>
      <c r="B85" s="11">
        <v>2.0699999999999998</v>
      </c>
      <c r="C85" s="11">
        <v>0.50105999999999995</v>
      </c>
      <c r="D85" s="11">
        <v>1.9958</v>
      </c>
      <c r="E85" s="11">
        <v>10.429</v>
      </c>
      <c r="F85" s="11">
        <v>14.56</v>
      </c>
      <c r="G85" s="11">
        <v>195.06</v>
      </c>
      <c r="H85" s="11">
        <v>22.777000000000001</v>
      </c>
      <c r="I85" s="11">
        <v>31.353000000000002</v>
      </c>
      <c r="J85" s="11">
        <v>422.39</v>
      </c>
      <c r="K85" s="11">
        <v>0.74184000000000005</v>
      </c>
      <c r="L85" s="11">
        <v>30.58</v>
      </c>
      <c r="M85" s="11">
        <v>4.1241E-2</v>
      </c>
      <c r="N85" s="2" t="s">
        <v>538</v>
      </c>
    </row>
    <row r="86" spans="1:14" ht="12.3">
      <c r="A86" s="11">
        <v>500</v>
      </c>
      <c r="B86" s="11">
        <v>2.0699999999999998</v>
      </c>
      <c r="C86" s="11">
        <v>0.49598999999999999</v>
      </c>
      <c r="D86" s="11">
        <v>2.0162</v>
      </c>
      <c r="E86" s="11">
        <v>10.542999999999999</v>
      </c>
      <c r="F86" s="11">
        <v>14.717000000000001</v>
      </c>
      <c r="G86" s="11">
        <v>195.38</v>
      </c>
      <c r="H86" s="11">
        <v>22.827999999999999</v>
      </c>
      <c r="I86" s="11">
        <v>31.396999999999998</v>
      </c>
      <c r="J86" s="11">
        <v>424.4</v>
      </c>
      <c r="K86" s="11">
        <v>0.71740000000000004</v>
      </c>
      <c r="L86" s="11">
        <v>30.8</v>
      </c>
      <c r="M86" s="11">
        <v>4.1576000000000002E-2</v>
      </c>
      <c r="N86" s="2" t="s">
        <v>538</v>
      </c>
    </row>
    <row r="87" spans="1:14" ht="12.3">
      <c r="A87" s="11">
        <v>505</v>
      </c>
      <c r="B87" s="11">
        <v>2.0699999999999998</v>
      </c>
      <c r="C87" s="11">
        <v>0.49103000000000002</v>
      </c>
      <c r="D87" s="11">
        <v>2.0365000000000002</v>
      </c>
      <c r="E87" s="11">
        <v>10.657999999999999</v>
      </c>
      <c r="F87" s="11">
        <v>14.874000000000001</v>
      </c>
      <c r="G87" s="11">
        <v>195.69</v>
      </c>
      <c r="H87" s="11">
        <v>22.878</v>
      </c>
      <c r="I87" s="11">
        <v>31.440999999999999</v>
      </c>
      <c r="J87" s="11">
        <v>426.39</v>
      </c>
      <c r="K87" s="11">
        <v>0.69357000000000002</v>
      </c>
      <c r="L87" s="11">
        <v>31.018999999999998</v>
      </c>
      <c r="M87" s="11">
        <v>4.1910000000000003E-2</v>
      </c>
      <c r="N87" s="2" t="s">
        <v>538</v>
      </c>
    </row>
    <row r="88" spans="1:14" ht="12.3">
      <c r="A88" s="11">
        <v>510</v>
      </c>
      <c r="B88" s="11">
        <v>2.0699999999999998</v>
      </c>
      <c r="C88" s="11">
        <v>0.48616999999999999</v>
      </c>
      <c r="D88" s="11">
        <v>2.0569000000000002</v>
      </c>
      <c r="E88" s="11">
        <v>10.773</v>
      </c>
      <c r="F88" s="11">
        <v>15.031000000000001</v>
      </c>
      <c r="G88" s="11">
        <v>196</v>
      </c>
      <c r="H88" s="11">
        <v>22.928000000000001</v>
      </c>
      <c r="I88" s="11">
        <v>31.484999999999999</v>
      </c>
      <c r="J88" s="11">
        <v>428.37</v>
      </c>
      <c r="K88" s="11">
        <v>0.67032999999999998</v>
      </c>
      <c r="L88" s="11">
        <v>31.236000000000001</v>
      </c>
      <c r="M88" s="11">
        <v>4.2243999999999997E-2</v>
      </c>
      <c r="N88" s="2" t="s">
        <v>538</v>
      </c>
    </row>
    <row r="89" spans="1:14" ht="12.3">
      <c r="A89" s="11">
        <v>515</v>
      </c>
      <c r="B89" s="11">
        <v>2.0699999999999998</v>
      </c>
      <c r="C89" s="11">
        <v>0.48139999999999999</v>
      </c>
      <c r="D89" s="11">
        <v>2.0773000000000001</v>
      </c>
      <c r="E89" s="11">
        <v>10.888999999999999</v>
      </c>
      <c r="F89" s="11">
        <v>15.189</v>
      </c>
      <c r="G89" s="11">
        <v>196.31</v>
      </c>
      <c r="H89" s="11">
        <v>22.978000000000002</v>
      </c>
      <c r="I89" s="11">
        <v>31.53</v>
      </c>
      <c r="J89" s="11">
        <v>430.34</v>
      </c>
      <c r="K89" s="11">
        <v>0.64766999999999997</v>
      </c>
      <c r="L89" s="11">
        <v>31.452999999999999</v>
      </c>
      <c r="M89" s="11">
        <v>4.2576000000000003E-2</v>
      </c>
      <c r="N89" s="2" t="s">
        <v>538</v>
      </c>
    </row>
    <row r="90" spans="1:14" ht="12.3">
      <c r="A90" s="11">
        <v>520</v>
      </c>
      <c r="B90" s="11">
        <v>2.0699999999999998</v>
      </c>
      <c r="C90" s="11">
        <v>0.47672999999999999</v>
      </c>
      <c r="D90" s="11">
        <v>2.0975999999999999</v>
      </c>
      <c r="E90" s="11">
        <v>11.004</v>
      </c>
      <c r="F90" s="11">
        <v>15.347</v>
      </c>
      <c r="G90" s="11">
        <v>196.61</v>
      </c>
      <c r="H90" s="11">
        <v>23.027999999999999</v>
      </c>
      <c r="I90" s="11">
        <v>31.574000000000002</v>
      </c>
      <c r="J90" s="11">
        <v>432.3</v>
      </c>
      <c r="K90" s="11">
        <v>0.62556999999999996</v>
      </c>
      <c r="L90" s="11">
        <v>31.669</v>
      </c>
      <c r="M90" s="11">
        <v>4.2908000000000002E-2</v>
      </c>
      <c r="N90" s="2" t="s">
        <v>538</v>
      </c>
    </row>
    <row r="91" spans="1:14" ht="12.3">
      <c r="A91" s="11">
        <v>525</v>
      </c>
      <c r="B91" s="11">
        <v>2.0699999999999998</v>
      </c>
      <c r="C91" s="11">
        <v>0.47214</v>
      </c>
      <c r="D91" s="11">
        <v>2.1179999999999999</v>
      </c>
      <c r="E91" s="11">
        <v>11.12</v>
      </c>
      <c r="F91" s="11">
        <v>15.505000000000001</v>
      </c>
      <c r="G91" s="11">
        <v>196.92</v>
      </c>
      <c r="H91" s="11">
        <v>23.077999999999999</v>
      </c>
      <c r="I91" s="11">
        <v>31.619</v>
      </c>
      <c r="J91" s="11">
        <v>434.25</v>
      </c>
      <c r="K91" s="11">
        <v>0.60402</v>
      </c>
      <c r="L91" s="11">
        <v>31.884</v>
      </c>
      <c r="M91" s="11">
        <v>4.3239E-2</v>
      </c>
      <c r="N91" s="2" t="s">
        <v>538</v>
      </c>
    </row>
    <row r="92" spans="1:14" ht="12.3">
      <c r="A92" s="11">
        <v>530</v>
      </c>
      <c r="B92" s="11">
        <v>2.0699999999999998</v>
      </c>
      <c r="C92" s="11">
        <v>0.46765000000000001</v>
      </c>
      <c r="D92" s="11">
        <v>2.1383000000000001</v>
      </c>
      <c r="E92" s="11">
        <v>11.236000000000001</v>
      </c>
      <c r="F92" s="11">
        <v>15.663</v>
      </c>
      <c r="G92" s="11">
        <v>197.21</v>
      </c>
      <c r="H92" s="11">
        <v>23.128</v>
      </c>
      <c r="I92" s="11">
        <v>31.664000000000001</v>
      </c>
      <c r="J92" s="11">
        <v>436.19</v>
      </c>
      <c r="K92" s="11">
        <v>0.58298000000000005</v>
      </c>
      <c r="L92" s="11">
        <v>32.097999999999999</v>
      </c>
      <c r="M92" s="11">
        <v>4.3568000000000003E-2</v>
      </c>
      <c r="N92" s="2" t="s">
        <v>538</v>
      </c>
    </row>
    <row r="93" spans="1:14" ht="12.3">
      <c r="A93" s="11">
        <v>535</v>
      </c>
      <c r="B93" s="11">
        <v>2.0699999999999998</v>
      </c>
      <c r="C93" s="11">
        <v>0.46323999999999999</v>
      </c>
      <c r="D93" s="11">
        <v>2.1587000000000001</v>
      </c>
      <c r="E93" s="11">
        <v>11.353</v>
      </c>
      <c r="F93" s="11">
        <v>15.821</v>
      </c>
      <c r="G93" s="11">
        <v>197.51</v>
      </c>
      <c r="H93" s="11">
        <v>23.178000000000001</v>
      </c>
      <c r="I93" s="11">
        <v>31.709</v>
      </c>
      <c r="J93" s="11">
        <v>438.11</v>
      </c>
      <c r="K93" s="11">
        <v>0.56245000000000001</v>
      </c>
      <c r="L93" s="11">
        <v>32.311</v>
      </c>
      <c r="M93" s="11">
        <v>4.3898E-2</v>
      </c>
      <c r="N93" s="2" t="s">
        <v>538</v>
      </c>
    </row>
    <row r="94" spans="1:14" ht="12.3">
      <c r="A94" s="11">
        <v>540</v>
      </c>
      <c r="B94" s="11">
        <v>2.0699999999999998</v>
      </c>
      <c r="C94" s="11">
        <v>0.45891999999999999</v>
      </c>
      <c r="D94" s="11">
        <v>2.1789999999999998</v>
      </c>
      <c r="E94" s="11">
        <v>11.468999999999999</v>
      </c>
      <c r="F94" s="11">
        <v>15.98</v>
      </c>
      <c r="G94" s="11">
        <v>197.81</v>
      </c>
      <c r="H94" s="11">
        <v>23.228000000000002</v>
      </c>
      <c r="I94" s="11">
        <v>31.754000000000001</v>
      </c>
      <c r="J94" s="11">
        <v>440.02</v>
      </c>
      <c r="K94" s="11">
        <v>0.54240999999999995</v>
      </c>
      <c r="L94" s="11">
        <v>32.523000000000003</v>
      </c>
      <c r="M94" s="11">
        <v>4.4226000000000001E-2</v>
      </c>
      <c r="N94" s="2" t="s">
        <v>538</v>
      </c>
    </row>
    <row r="95" spans="1:14" ht="12.3">
      <c r="A95" s="11">
        <v>545</v>
      </c>
      <c r="B95" s="11">
        <v>2.0699999999999998</v>
      </c>
      <c r="C95" s="11">
        <v>0.45467999999999997</v>
      </c>
      <c r="D95" s="11">
        <v>2.1993999999999998</v>
      </c>
      <c r="E95" s="11">
        <v>11.586</v>
      </c>
      <c r="F95" s="11">
        <v>16.138999999999999</v>
      </c>
      <c r="G95" s="11">
        <v>198.1</v>
      </c>
      <c r="H95" s="11">
        <v>23.277999999999999</v>
      </c>
      <c r="I95" s="11">
        <v>31.798999999999999</v>
      </c>
      <c r="J95" s="11">
        <v>441.93</v>
      </c>
      <c r="K95" s="11">
        <v>0.52285000000000004</v>
      </c>
      <c r="L95" s="11">
        <v>32.734000000000002</v>
      </c>
      <c r="M95" s="11">
        <v>4.4553000000000002E-2</v>
      </c>
      <c r="N95" s="2" t="s">
        <v>538</v>
      </c>
    </row>
    <row r="96" spans="1:14" ht="12.3">
      <c r="A96" s="11">
        <v>550</v>
      </c>
      <c r="B96" s="11">
        <v>2.0699999999999998</v>
      </c>
      <c r="C96" s="11">
        <v>0.45051000000000002</v>
      </c>
      <c r="D96" s="11">
        <v>2.2197</v>
      </c>
      <c r="E96" s="11">
        <v>11.702999999999999</v>
      </c>
      <c r="F96" s="11">
        <v>16.297999999999998</v>
      </c>
      <c r="G96" s="11">
        <v>198.39</v>
      </c>
      <c r="H96" s="11">
        <v>23.327000000000002</v>
      </c>
      <c r="I96" s="11">
        <v>31.844000000000001</v>
      </c>
      <c r="J96" s="11">
        <v>443.82</v>
      </c>
      <c r="K96" s="11">
        <v>0.50375000000000003</v>
      </c>
      <c r="L96" s="11">
        <v>32.944000000000003</v>
      </c>
      <c r="M96" s="11">
        <v>4.4880000000000003E-2</v>
      </c>
      <c r="N96" s="2" t="s">
        <v>538</v>
      </c>
    </row>
    <row r="97" spans="1:14" ht="12.3">
      <c r="A97" s="11">
        <v>555</v>
      </c>
      <c r="B97" s="11">
        <v>2.0699999999999998</v>
      </c>
      <c r="C97" s="11">
        <v>0.44642999999999999</v>
      </c>
      <c r="D97" s="11">
        <v>2.2400000000000002</v>
      </c>
      <c r="E97" s="11">
        <v>11.82</v>
      </c>
      <c r="F97" s="11">
        <v>16.457000000000001</v>
      </c>
      <c r="G97" s="11">
        <v>198.68</v>
      </c>
      <c r="H97" s="11">
        <v>23.376999999999999</v>
      </c>
      <c r="I97" s="11">
        <v>31.888999999999999</v>
      </c>
      <c r="J97" s="11">
        <v>445.71</v>
      </c>
      <c r="K97" s="11">
        <v>0.48509999999999998</v>
      </c>
      <c r="L97" s="11">
        <v>33.154000000000003</v>
      </c>
      <c r="M97" s="11">
        <v>4.5206000000000003E-2</v>
      </c>
      <c r="N97" s="2" t="s">
        <v>538</v>
      </c>
    </row>
    <row r="98" spans="1:14" ht="12.3">
      <c r="A98" s="11">
        <v>560</v>
      </c>
      <c r="B98" s="11">
        <v>2.0699999999999998</v>
      </c>
      <c r="C98" s="11">
        <v>0.44241000000000003</v>
      </c>
      <c r="D98" s="11">
        <v>2.2603</v>
      </c>
      <c r="E98" s="11">
        <v>11.938000000000001</v>
      </c>
      <c r="F98" s="11">
        <v>16.617000000000001</v>
      </c>
      <c r="G98" s="11">
        <v>198.97</v>
      </c>
      <c r="H98" s="11">
        <v>23.425999999999998</v>
      </c>
      <c r="I98" s="11">
        <v>31.934000000000001</v>
      </c>
      <c r="J98" s="11">
        <v>447.58</v>
      </c>
      <c r="K98" s="11">
        <v>0.46688000000000002</v>
      </c>
      <c r="L98" s="11">
        <v>33.363</v>
      </c>
      <c r="M98" s="11">
        <v>4.5531000000000002E-2</v>
      </c>
      <c r="N98" s="2" t="s">
        <v>538</v>
      </c>
    </row>
    <row r="99" spans="1:14" ht="12.3">
      <c r="A99" s="11">
        <v>565</v>
      </c>
      <c r="B99" s="11">
        <v>2.0699999999999998</v>
      </c>
      <c r="C99" s="11">
        <v>0.43847000000000003</v>
      </c>
      <c r="D99" s="11">
        <v>2.2806000000000002</v>
      </c>
      <c r="E99" s="11">
        <v>12.055999999999999</v>
      </c>
      <c r="F99" s="11">
        <v>16.777000000000001</v>
      </c>
      <c r="G99" s="11">
        <v>199.25</v>
      </c>
      <c r="H99" s="11">
        <v>23.475000000000001</v>
      </c>
      <c r="I99" s="11">
        <v>31.978999999999999</v>
      </c>
      <c r="J99" s="11">
        <v>449.45</v>
      </c>
      <c r="K99" s="11">
        <v>0.44907999999999998</v>
      </c>
      <c r="L99" s="11">
        <v>33.57</v>
      </c>
      <c r="M99" s="11">
        <v>4.5855E-2</v>
      </c>
      <c r="N99" s="2" t="s">
        <v>538</v>
      </c>
    </row>
    <row r="100" spans="1:14" ht="12.3">
      <c r="A100" s="11">
        <v>570</v>
      </c>
      <c r="B100" s="11">
        <v>2.0699999999999998</v>
      </c>
      <c r="C100" s="11">
        <v>0.43459999999999999</v>
      </c>
      <c r="D100" s="11">
        <v>2.3010000000000002</v>
      </c>
      <c r="E100" s="11">
        <v>12.173999999999999</v>
      </c>
      <c r="F100" s="11">
        <v>16.937000000000001</v>
      </c>
      <c r="G100" s="11">
        <v>199.53</v>
      </c>
      <c r="H100" s="11">
        <v>23.524000000000001</v>
      </c>
      <c r="I100" s="11">
        <v>32.024000000000001</v>
      </c>
      <c r="J100" s="11">
        <v>451.3</v>
      </c>
      <c r="K100" s="11">
        <v>0.43169000000000002</v>
      </c>
      <c r="L100" s="11">
        <v>33.777000000000001</v>
      </c>
      <c r="M100" s="11">
        <v>4.6178999999999998E-2</v>
      </c>
      <c r="N100" s="2" t="s">
        <v>538</v>
      </c>
    </row>
    <row r="101" spans="1:14" ht="12.3">
      <c r="A101" s="11">
        <v>575</v>
      </c>
      <c r="B101" s="11">
        <v>2.0699999999999998</v>
      </c>
      <c r="C101" s="11">
        <v>0.43080000000000002</v>
      </c>
      <c r="D101" s="11">
        <v>2.3212999999999999</v>
      </c>
      <c r="E101" s="11">
        <v>12.292</v>
      </c>
      <c r="F101" s="11">
        <v>17.097000000000001</v>
      </c>
      <c r="G101" s="11">
        <v>199.81</v>
      </c>
      <c r="H101" s="11">
        <v>23.571999999999999</v>
      </c>
      <c r="I101" s="11">
        <v>32.069000000000003</v>
      </c>
      <c r="J101" s="11">
        <v>453.15</v>
      </c>
      <c r="K101" s="11">
        <v>0.41470000000000001</v>
      </c>
      <c r="L101" s="11">
        <v>33.984000000000002</v>
      </c>
      <c r="M101" s="11">
        <v>4.6501000000000001E-2</v>
      </c>
      <c r="N101" s="2" t="s">
        <v>538</v>
      </c>
    </row>
    <row r="102" spans="1:14" ht="12.3">
      <c r="A102" s="11">
        <v>580</v>
      </c>
      <c r="B102" s="11">
        <v>2.0699999999999998</v>
      </c>
      <c r="C102" s="11">
        <v>0.42707000000000001</v>
      </c>
      <c r="D102" s="11">
        <v>2.3416000000000001</v>
      </c>
      <c r="E102" s="11">
        <v>12.41</v>
      </c>
      <c r="F102" s="11">
        <v>17.257000000000001</v>
      </c>
      <c r="G102" s="11">
        <v>200.09</v>
      </c>
      <c r="H102" s="11">
        <v>23.620999999999999</v>
      </c>
      <c r="I102" s="11">
        <v>32.113</v>
      </c>
      <c r="J102" s="11">
        <v>454.98</v>
      </c>
      <c r="K102" s="11">
        <v>0.39809</v>
      </c>
      <c r="L102" s="11">
        <v>34.189</v>
      </c>
      <c r="M102" s="11">
        <v>4.6822999999999997E-2</v>
      </c>
      <c r="N102" s="2" t="s">
        <v>538</v>
      </c>
    </row>
    <row r="103" spans="1:14" ht="12.3">
      <c r="A103" s="11">
        <v>585</v>
      </c>
      <c r="B103" s="11">
        <v>2.0699999999999998</v>
      </c>
      <c r="C103" s="11">
        <v>0.4234</v>
      </c>
      <c r="D103" s="11">
        <v>2.3618000000000001</v>
      </c>
      <c r="E103" s="11">
        <v>12.529</v>
      </c>
      <c r="F103" s="11">
        <v>17.417999999999999</v>
      </c>
      <c r="G103" s="11">
        <v>200.37</v>
      </c>
      <c r="H103" s="11">
        <v>23.669</v>
      </c>
      <c r="I103" s="11">
        <v>32.158000000000001</v>
      </c>
      <c r="J103" s="11">
        <v>456.81</v>
      </c>
      <c r="K103" s="11">
        <v>0.38185000000000002</v>
      </c>
      <c r="L103" s="11">
        <v>34.393999999999998</v>
      </c>
      <c r="M103" s="11">
        <v>4.7144999999999999E-2</v>
      </c>
      <c r="N103" s="2" t="s">
        <v>538</v>
      </c>
    </row>
    <row r="104" spans="1:14" ht="12.3">
      <c r="A104" s="11">
        <v>590</v>
      </c>
      <c r="B104" s="11">
        <v>2.0699999999999998</v>
      </c>
      <c r="C104" s="11">
        <v>0.41979</v>
      </c>
      <c r="D104" s="11">
        <v>2.3820999999999999</v>
      </c>
      <c r="E104" s="11">
        <v>12.648</v>
      </c>
      <c r="F104" s="11">
        <v>17.579000000000001</v>
      </c>
      <c r="G104" s="11">
        <v>200.64</v>
      </c>
      <c r="H104" s="11">
        <v>23.716999999999999</v>
      </c>
      <c r="I104" s="11">
        <v>32.201999999999998</v>
      </c>
      <c r="J104" s="11">
        <v>458.63</v>
      </c>
      <c r="K104" s="11">
        <v>0.36597000000000002</v>
      </c>
      <c r="L104" s="11">
        <v>34.597000000000001</v>
      </c>
      <c r="M104" s="11">
        <v>4.7465E-2</v>
      </c>
      <c r="N104" s="2" t="s">
        <v>538</v>
      </c>
    </row>
    <row r="105" spans="1:14" ht="12.3">
      <c r="A105" s="11">
        <v>595</v>
      </c>
      <c r="B105" s="11">
        <v>2.0699999999999998</v>
      </c>
      <c r="C105" s="11">
        <v>0.41625000000000001</v>
      </c>
      <c r="D105" s="11">
        <v>2.4024000000000001</v>
      </c>
      <c r="E105" s="11">
        <v>12.766999999999999</v>
      </c>
      <c r="F105" s="11">
        <v>17.739999999999998</v>
      </c>
      <c r="G105" s="11">
        <v>200.91</v>
      </c>
      <c r="H105" s="11">
        <v>23.763999999999999</v>
      </c>
      <c r="I105" s="11">
        <v>32.246000000000002</v>
      </c>
      <c r="J105" s="11">
        <v>460.44</v>
      </c>
      <c r="K105" s="11">
        <v>0.35044999999999998</v>
      </c>
      <c r="L105" s="11">
        <v>34.799999999999997</v>
      </c>
      <c r="M105" s="11">
        <v>4.7785000000000001E-2</v>
      </c>
      <c r="N105" s="2" t="s">
        <v>538</v>
      </c>
    </row>
    <row r="106" spans="1:14" ht="12.3">
      <c r="A106" s="11">
        <v>600</v>
      </c>
      <c r="B106" s="11">
        <v>2.0699999999999998</v>
      </c>
      <c r="C106" s="11">
        <v>0.41276000000000002</v>
      </c>
      <c r="D106" s="11">
        <v>2.4226999999999999</v>
      </c>
      <c r="E106" s="11">
        <v>12.885999999999999</v>
      </c>
      <c r="F106" s="11">
        <v>17.901</v>
      </c>
      <c r="G106" s="11">
        <v>201.18</v>
      </c>
      <c r="H106" s="11">
        <v>23.812000000000001</v>
      </c>
      <c r="I106" s="11">
        <v>32.29</v>
      </c>
      <c r="J106" s="11">
        <v>462.25</v>
      </c>
      <c r="K106" s="11">
        <v>0.33526</v>
      </c>
      <c r="L106" s="11">
        <v>35.003</v>
      </c>
      <c r="M106" s="11">
        <v>4.8104000000000001E-2</v>
      </c>
      <c r="N106" s="2" t="s">
        <v>538</v>
      </c>
    </row>
    <row r="107" spans="1:14" ht="12.3">
      <c r="A107" s="11">
        <v>605</v>
      </c>
      <c r="B107" s="11">
        <v>2.0699999999999998</v>
      </c>
      <c r="C107" s="11">
        <v>0.40933999999999998</v>
      </c>
      <c r="D107" s="11">
        <v>2.4430000000000001</v>
      </c>
      <c r="E107" s="11">
        <v>13.006</v>
      </c>
      <c r="F107" s="11">
        <v>18.062999999999999</v>
      </c>
      <c r="G107" s="11">
        <v>201.45</v>
      </c>
      <c r="H107" s="11">
        <v>23.859000000000002</v>
      </c>
      <c r="I107" s="11">
        <v>32.334000000000003</v>
      </c>
      <c r="J107" s="11">
        <v>464.04</v>
      </c>
      <c r="K107" s="11">
        <v>0.32040999999999997</v>
      </c>
      <c r="L107" s="11">
        <v>35.204000000000001</v>
      </c>
      <c r="M107" s="11">
        <v>4.8422E-2</v>
      </c>
      <c r="N107" s="2" t="s">
        <v>538</v>
      </c>
    </row>
    <row r="108" spans="1:14" ht="12.3">
      <c r="A108" s="11">
        <v>610</v>
      </c>
      <c r="B108" s="11">
        <v>2.0699999999999998</v>
      </c>
      <c r="C108" s="11">
        <v>0.40597</v>
      </c>
      <c r="D108" s="11">
        <v>2.4632999999999998</v>
      </c>
      <c r="E108" s="11">
        <v>13.125999999999999</v>
      </c>
      <c r="F108" s="11">
        <v>18.225000000000001</v>
      </c>
      <c r="G108" s="11">
        <v>201.72</v>
      </c>
      <c r="H108" s="11">
        <v>23.905999999999999</v>
      </c>
      <c r="I108" s="11">
        <v>32.378</v>
      </c>
      <c r="J108" s="11">
        <v>465.83</v>
      </c>
      <c r="K108" s="11">
        <v>0.30587999999999999</v>
      </c>
      <c r="L108" s="11">
        <v>35.405000000000001</v>
      </c>
      <c r="M108" s="11">
        <v>4.8739999999999999E-2</v>
      </c>
      <c r="N108" s="2" t="s">
        <v>538</v>
      </c>
    </row>
    <row r="109" spans="1:14" ht="12.3">
      <c r="A109" s="11">
        <v>615</v>
      </c>
      <c r="B109" s="11">
        <v>2.0699999999999998</v>
      </c>
      <c r="C109" s="11">
        <v>0.40265000000000001</v>
      </c>
      <c r="D109" s="11">
        <v>2.4834999999999998</v>
      </c>
      <c r="E109" s="11">
        <v>13.246</v>
      </c>
      <c r="F109" s="11">
        <v>18.387</v>
      </c>
      <c r="G109" s="11">
        <v>201.98</v>
      </c>
      <c r="H109" s="11">
        <v>23.952000000000002</v>
      </c>
      <c r="I109" s="11">
        <v>32.420999999999999</v>
      </c>
      <c r="J109" s="11">
        <v>467.61</v>
      </c>
      <c r="K109" s="11">
        <v>0.29165999999999997</v>
      </c>
      <c r="L109" s="11">
        <v>35.604999999999997</v>
      </c>
      <c r="M109" s="11">
        <v>4.9057000000000003E-2</v>
      </c>
      <c r="N109" s="2" t="s">
        <v>538</v>
      </c>
    </row>
    <row r="110" spans="1:14" ht="12.3">
      <c r="A110" s="11">
        <v>620</v>
      </c>
      <c r="B110" s="11">
        <v>2.0699999999999998</v>
      </c>
      <c r="C110" s="11">
        <v>0.39939000000000002</v>
      </c>
      <c r="D110" s="11">
        <v>2.5038</v>
      </c>
      <c r="E110" s="11">
        <v>13.366</v>
      </c>
      <c r="F110" s="11">
        <v>18.548999999999999</v>
      </c>
      <c r="G110" s="11">
        <v>202.24</v>
      </c>
      <c r="H110" s="11">
        <v>23.998000000000001</v>
      </c>
      <c r="I110" s="11">
        <v>32.465000000000003</v>
      </c>
      <c r="J110" s="11">
        <v>469.38</v>
      </c>
      <c r="K110" s="11">
        <v>0.27775</v>
      </c>
      <c r="L110" s="11">
        <v>35.804000000000002</v>
      </c>
      <c r="M110" s="11">
        <v>4.9373E-2</v>
      </c>
      <c r="N110" s="2" t="s">
        <v>538</v>
      </c>
    </row>
    <row r="111" spans="1:14" ht="12.3">
      <c r="A111" s="11">
        <v>625</v>
      </c>
      <c r="B111" s="11">
        <v>2.0699999999999998</v>
      </c>
      <c r="C111" s="11">
        <v>0.39618999999999999</v>
      </c>
      <c r="D111" s="11">
        <v>2.5240999999999998</v>
      </c>
      <c r="E111" s="11">
        <v>13.486000000000001</v>
      </c>
      <c r="F111" s="11">
        <v>18.710999999999999</v>
      </c>
      <c r="G111" s="11">
        <v>202.5</v>
      </c>
      <c r="H111" s="11">
        <v>24.044</v>
      </c>
      <c r="I111" s="11">
        <v>32.508000000000003</v>
      </c>
      <c r="J111" s="11">
        <v>471.14</v>
      </c>
      <c r="K111" s="11">
        <v>0.26412999999999998</v>
      </c>
      <c r="L111" s="11">
        <v>36.003</v>
      </c>
      <c r="M111" s="11">
        <v>4.9688999999999997E-2</v>
      </c>
      <c r="N111" s="2" t="s">
        <v>538</v>
      </c>
    </row>
    <row r="112" spans="1:14" ht="12.3">
      <c r="A112" s="11">
        <v>630</v>
      </c>
      <c r="B112" s="11">
        <v>2.0699999999999998</v>
      </c>
      <c r="C112" s="11">
        <v>0.39302999999999999</v>
      </c>
      <c r="D112" s="11">
        <v>2.5442999999999998</v>
      </c>
      <c r="E112" s="11">
        <v>13.606999999999999</v>
      </c>
      <c r="F112" s="11">
        <v>18.873999999999999</v>
      </c>
      <c r="G112" s="11">
        <v>202.76</v>
      </c>
      <c r="H112" s="11">
        <v>24.09</v>
      </c>
      <c r="I112" s="11">
        <v>32.549999999999997</v>
      </c>
      <c r="J112" s="11">
        <v>472.9</v>
      </c>
      <c r="K112" s="11">
        <v>0.25080000000000002</v>
      </c>
      <c r="L112" s="11">
        <v>36.201000000000001</v>
      </c>
      <c r="M112" s="11">
        <v>5.0004E-2</v>
      </c>
      <c r="N112" s="2" t="s">
        <v>538</v>
      </c>
    </row>
    <row r="113" spans="1:14" ht="12.3">
      <c r="A113" s="11">
        <v>635</v>
      </c>
      <c r="B113" s="11">
        <v>2.0699999999999998</v>
      </c>
      <c r="C113" s="11">
        <v>0.38993</v>
      </c>
      <c r="D113" s="11">
        <v>2.5646</v>
      </c>
      <c r="E113" s="11">
        <v>13.728</v>
      </c>
      <c r="F113" s="11">
        <v>19.036999999999999</v>
      </c>
      <c r="G113" s="11">
        <v>203.02</v>
      </c>
      <c r="H113" s="11">
        <v>24.135000000000002</v>
      </c>
      <c r="I113" s="11">
        <v>32.593000000000004</v>
      </c>
      <c r="J113" s="11">
        <v>474.64</v>
      </c>
      <c r="K113" s="11">
        <v>0.23774999999999999</v>
      </c>
      <c r="L113" s="11">
        <v>36.398000000000003</v>
      </c>
      <c r="M113" s="11">
        <v>5.0318000000000002E-2</v>
      </c>
      <c r="N113" s="2" t="s">
        <v>538</v>
      </c>
    </row>
    <row r="114" spans="1:14" ht="12.3">
      <c r="A114" s="11">
        <v>640</v>
      </c>
      <c r="B114" s="11">
        <v>2.0699999999999998</v>
      </c>
      <c r="C114" s="11">
        <v>0.38686999999999999</v>
      </c>
      <c r="D114" s="11">
        <v>2.5848</v>
      </c>
      <c r="E114" s="11">
        <v>13.849</v>
      </c>
      <c r="F114" s="11">
        <v>19.2</v>
      </c>
      <c r="G114" s="11">
        <v>203.28</v>
      </c>
      <c r="H114" s="11">
        <v>24.18</v>
      </c>
      <c r="I114" s="11">
        <v>32.634999999999998</v>
      </c>
      <c r="J114" s="11">
        <v>476.39</v>
      </c>
      <c r="K114" s="11">
        <v>0.22497</v>
      </c>
      <c r="L114" s="11">
        <v>36.594000000000001</v>
      </c>
      <c r="M114" s="11">
        <v>5.0631000000000002E-2</v>
      </c>
      <c r="N114" s="2" t="s">
        <v>538</v>
      </c>
    </row>
    <row r="115" spans="1:14" ht="12.3">
      <c r="A115" s="11">
        <v>645</v>
      </c>
      <c r="B115" s="11">
        <v>2.0699999999999998</v>
      </c>
      <c r="C115" s="11">
        <v>0.38386999999999999</v>
      </c>
      <c r="D115" s="11">
        <v>2.6051000000000002</v>
      </c>
      <c r="E115" s="11">
        <v>13.971</v>
      </c>
      <c r="F115" s="11">
        <v>19.363</v>
      </c>
      <c r="G115" s="11">
        <v>203.53</v>
      </c>
      <c r="H115" s="11">
        <v>24.225000000000001</v>
      </c>
      <c r="I115" s="11">
        <v>32.677</v>
      </c>
      <c r="J115" s="11">
        <v>478.12</v>
      </c>
      <c r="K115" s="11">
        <v>0.21245</v>
      </c>
      <c r="L115" s="11">
        <v>36.79</v>
      </c>
      <c r="M115" s="11">
        <v>5.0944000000000003E-2</v>
      </c>
      <c r="N115" s="2" t="s">
        <v>538</v>
      </c>
    </row>
    <row r="116" spans="1:14" ht="12.3">
      <c r="A116" s="11">
        <v>650</v>
      </c>
      <c r="B116" s="11">
        <v>2.0699999999999998</v>
      </c>
      <c r="C116" s="11">
        <v>0.38091000000000003</v>
      </c>
      <c r="D116" s="11">
        <v>2.6253000000000002</v>
      </c>
      <c r="E116" s="11">
        <v>14.092000000000001</v>
      </c>
      <c r="F116" s="11">
        <v>19.527000000000001</v>
      </c>
      <c r="G116" s="11">
        <v>203.78</v>
      </c>
      <c r="H116" s="11">
        <v>24.268999999999998</v>
      </c>
      <c r="I116" s="11">
        <v>32.719000000000001</v>
      </c>
      <c r="J116" s="11">
        <v>479.85</v>
      </c>
      <c r="K116" s="11">
        <v>0.20019000000000001</v>
      </c>
      <c r="L116" s="11">
        <v>36.984999999999999</v>
      </c>
      <c r="M116" s="11">
        <v>5.1256000000000003E-2</v>
      </c>
      <c r="N116" s="2" t="s">
        <v>538</v>
      </c>
    </row>
    <row r="117" spans="1:14" ht="12.3">
      <c r="A117" s="11">
        <v>655</v>
      </c>
      <c r="B117" s="11">
        <v>2.0699999999999998</v>
      </c>
      <c r="C117" s="11">
        <v>0.37798999999999999</v>
      </c>
      <c r="D117" s="11">
        <v>2.6456</v>
      </c>
      <c r="E117" s="11">
        <v>14.214</v>
      </c>
      <c r="F117" s="11">
        <v>19.690000000000001</v>
      </c>
      <c r="G117" s="11">
        <v>204.03</v>
      </c>
      <c r="H117" s="11">
        <v>24.312999999999999</v>
      </c>
      <c r="I117" s="11">
        <v>32.761000000000003</v>
      </c>
      <c r="J117" s="11">
        <v>481.57</v>
      </c>
      <c r="K117" s="11">
        <v>0.18817999999999999</v>
      </c>
      <c r="L117" s="11">
        <v>37.179000000000002</v>
      </c>
      <c r="M117" s="11">
        <v>5.1568000000000003E-2</v>
      </c>
      <c r="N117" s="2" t="s">
        <v>538</v>
      </c>
    </row>
    <row r="118" spans="1:14" ht="12.3">
      <c r="A118" s="11">
        <v>660</v>
      </c>
      <c r="B118" s="11">
        <v>2.0699999999999998</v>
      </c>
      <c r="C118" s="11">
        <v>0.37512000000000001</v>
      </c>
      <c r="D118" s="11">
        <v>2.6657999999999999</v>
      </c>
      <c r="E118" s="11">
        <v>14.336</v>
      </c>
      <c r="F118" s="11">
        <v>19.853999999999999</v>
      </c>
      <c r="G118" s="11">
        <v>204.28</v>
      </c>
      <c r="H118" s="11">
        <v>24.356999999999999</v>
      </c>
      <c r="I118" s="11">
        <v>32.802</v>
      </c>
      <c r="J118" s="11">
        <v>483.28</v>
      </c>
      <c r="K118" s="11">
        <v>0.17641000000000001</v>
      </c>
      <c r="L118" s="11">
        <v>37.372999999999998</v>
      </c>
      <c r="M118" s="11">
        <v>5.1879000000000002E-2</v>
      </c>
      <c r="N118" s="2" t="s">
        <v>538</v>
      </c>
    </row>
    <row r="119" spans="1:14" ht="12.3">
      <c r="A119" s="11">
        <v>665</v>
      </c>
      <c r="B119" s="11">
        <v>2.0699999999999998</v>
      </c>
      <c r="C119" s="11">
        <v>0.37230000000000002</v>
      </c>
      <c r="D119" s="11">
        <v>2.6859999999999999</v>
      </c>
      <c r="E119" s="11">
        <v>14.458</v>
      </c>
      <c r="F119" s="11">
        <v>20.018000000000001</v>
      </c>
      <c r="G119" s="11">
        <v>204.53</v>
      </c>
      <c r="H119" s="11">
        <v>24.4</v>
      </c>
      <c r="I119" s="11">
        <v>32.843000000000004</v>
      </c>
      <c r="J119" s="11">
        <v>484.98</v>
      </c>
      <c r="K119" s="11">
        <v>0.16488</v>
      </c>
      <c r="L119" s="11">
        <v>37.566000000000003</v>
      </c>
      <c r="M119" s="11">
        <v>5.2188999999999999E-2</v>
      </c>
      <c r="N119" s="2" t="s">
        <v>538</v>
      </c>
    </row>
    <row r="120" spans="1:14" ht="12.3">
      <c r="A120" s="11">
        <v>670</v>
      </c>
      <c r="B120" s="11">
        <v>2.0699999999999998</v>
      </c>
      <c r="C120" s="11">
        <v>0.36951000000000001</v>
      </c>
      <c r="D120" s="11">
        <v>2.7063000000000001</v>
      </c>
      <c r="E120" s="11">
        <v>14.581</v>
      </c>
      <c r="F120" s="11">
        <v>20.183</v>
      </c>
      <c r="G120" s="11">
        <v>204.78</v>
      </c>
      <c r="H120" s="11">
        <v>24.443000000000001</v>
      </c>
      <c r="I120" s="11">
        <v>32.884</v>
      </c>
      <c r="J120" s="11">
        <v>486.68</v>
      </c>
      <c r="K120" s="11">
        <v>0.15357999999999999</v>
      </c>
      <c r="L120" s="11">
        <v>37.758000000000003</v>
      </c>
      <c r="M120" s="11">
        <v>5.2498999999999997E-2</v>
      </c>
      <c r="N120" s="2" t="s">
        <v>538</v>
      </c>
    </row>
    <row r="121" spans="1:14" ht="12.3">
      <c r="A121" s="11">
        <v>675</v>
      </c>
      <c r="B121" s="11">
        <v>2.0699999999999998</v>
      </c>
      <c r="C121" s="11">
        <v>0.36676999999999998</v>
      </c>
      <c r="D121" s="11">
        <v>2.7265000000000001</v>
      </c>
      <c r="E121" s="11">
        <v>14.702999999999999</v>
      </c>
      <c r="F121" s="11">
        <v>20.347000000000001</v>
      </c>
      <c r="G121" s="11">
        <v>205.02</v>
      </c>
      <c r="H121" s="11">
        <v>24.486000000000001</v>
      </c>
      <c r="I121" s="11">
        <v>32.923999999999999</v>
      </c>
      <c r="J121" s="11">
        <v>488.38</v>
      </c>
      <c r="K121" s="11">
        <v>0.14251</v>
      </c>
      <c r="L121" s="11">
        <v>37.950000000000003</v>
      </c>
      <c r="M121" s="11">
        <v>5.2808000000000001E-2</v>
      </c>
      <c r="N121" s="2" t="s">
        <v>538</v>
      </c>
    </row>
    <row r="122" spans="1:14" ht="12.3">
      <c r="A122" s="11">
        <v>680</v>
      </c>
      <c r="B122" s="11">
        <v>2.0699999999999998</v>
      </c>
      <c r="C122" s="11">
        <v>0.36407</v>
      </c>
      <c r="D122" s="11">
        <v>2.7467000000000001</v>
      </c>
      <c r="E122" s="11">
        <v>14.826000000000001</v>
      </c>
      <c r="F122" s="11">
        <v>20.512</v>
      </c>
      <c r="G122" s="11">
        <v>205.26</v>
      </c>
      <c r="H122" s="11">
        <v>24.527999999999999</v>
      </c>
      <c r="I122" s="11">
        <v>32.963999999999999</v>
      </c>
      <c r="J122" s="11">
        <v>490.06</v>
      </c>
      <c r="K122" s="11">
        <v>0.13164999999999999</v>
      </c>
      <c r="L122" s="11">
        <v>38.140999999999998</v>
      </c>
      <c r="M122" s="11">
        <v>5.3115999999999997E-2</v>
      </c>
      <c r="N122" s="2" t="s">
        <v>538</v>
      </c>
    </row>
    <row r="123" spans="1:14" ht="12.3">
      <c r="A123" s="11">
        <v>685</v>
      </c>
      <c r="B123" s="11">
        <v>2.0699999999999998</v>
      </c>
      <c r="C123" s="11">
        <v>0.36141000000000001</v>
      </c>
      <c r="D123" s="11">
        <v>2.7669999999999999</v>
      </c>
      <c r="E123" s="11">
        <v>14.949</v>
      </c>
      <c r="F123" s="11">
        <v>20.677</v>
      </c>
      <c r="G123" s="11">
        <v>205.51</v>
      </c>
      <c r="H123" s="11">
        <v>24.57</v>
      </c>
      <c r="I123" s="11">
        <v>33.003999999999998</v>
      </c>
      <c r="J123" s="11">
        <v>491.74</v>
      </c>
      <c r="K123" s="11">
        <v>0.121</v>
      </c>
      <c r="L123" s="11">
        <v>38.332000000000001</v>
      </c>
      <c r="M123" s="11">
        <v>5.3423999999999999E-2</v>
      </c>
      <c r="N123" s="2" t="s">
        <v>538</v>
      </c>
    </row>
    <row r="124" spans="1:14" ht="12.3">
      <c r="A124" s="11">
        <v>690</v>
      </c>
      <c r="B124" s="11">
        <v>2.0699999999999998</v>
      </c>
      <c r="C124" s="11">
        <v>0.35877999999999999</v>
      </c>
      <c r="D124" s="11">
        <v>2.7871999999999999</v>
      </c>
      <c r="E124" s="11">
        <v>15.071999999999999</v>
      </c>
      <c r="F124" s="11">
        <v>20.841999999999999</v>
      </c>
      <c r="G124" s="11">
        <v>205.75</v>
      </c>
      <c r="H124" s="11">
        <v>24.611999999999998</v>
      </c>
      <c r="I124" s="11">
        <v>33.043999999999997</v>
      </c>
      <c r="J124" s="11">
        <v>493.42</v>
      </c>
      <c r="K124" s="11">
        <v>0.11056000000000001</v>
      </c>
      <c r="L124" s="11">
        <v>38.521000000000001</v>
      </c>
      <c r="M124" s="11">
        <v>5.3731000000000001E-2</v>
      </c>
      <c r="N124" s="2" t="s">
        <v>538</v>
      </c>
    </row>
    <row r="125" spans="1:14" ht="12.3">
      <c r="A125" s="11">
        <v>695</v>
      </c>
      <c r="B125" s="11">
        <v>2.0699999999999998</v>
      </c>
      <c r="C125" s="11">
        <v>0.35620000000000002</v>
      </c>
      <c r="D125" s="11">
        <v>2.8073999999999999</v>
      </c>
      <c r="E125" s="11">
        <v>15.196</v>
      </c>
      <c r="F125" s="11">
        <v>21.007000000000001</v>
      </c>
      <c r="G125" s="11">
        <v>205.99</v>
      </c>
      <c r="H125" s="11">
        <v>24.652999999999999</v>
      </c>
      <c r="I125" s="11">
        <v>33.082999999999998</v>
      </c>
      <c r="J125" s="11">
        <v>495.08</v>
      </c>
      <c r="K125" s="11">
        <v>0.10032000000000001</v>
      </c>
      <c r="L125" s="11">
        <v>38.710999999999999</v>
      </c>
      <c r="M125" s="11">
        <v>5.4038000000000003E-2</v>
      </c>
      <c r="N125" s="2" t="s">
        <v>538</v>
      </c>
    </row>
    <row r="126" spans="1:14" ht="12.3">
      <c r="A126" s="11">
        <v>700</v>
      </c>
      <c r="B126" s="11">
        <v>2.0699999999999998</v>
      </c>
      <c r="C126" s="11">
        <v>0.35365000000000002</v>
      </c>
      <c r="D126" s="11">
        <v>2.8275999999999999</v>
      </c>
      <c r="E126" s="11">
        <v>15.32</v>
      </c>
      <c r="F126" s="11">
        <v>21.172999999999998</v>
      </c>
      <c r="G126" s="11">
        <v>206.22</v>
      </c>
      <c r="H126" s="11">
        <v>24.693999999999999</v>
      </c>
      <c r="I126" s="11">
        <v>33.122</v>
      </c>
      <c r="J126" s="11">
        <v>496.75</v>
      </c>
      <c r="K126" s="11">
        <v>9.0283000000000002E-2</v>
      </c>
      <c r="L126" s="11">
        <v>38.899000000000001</v>
      </c>
      <c r="M126" s="11">
        <v>5.4344000000000003E-2</v>
      </c>
      <c r="N126" s="2" t="s">
        <v>538</v>
      </c>
    </row>
    <row r="127" spans="1:14" ht="12.3">
      <c r="A127" s="11">
        <v>705</v>
      </c>
      <c r="B127" s="11">
        <v>2.0699999999999998</v>
      </c>
      <c r="C127" s="11">
        <v>0.35114000000000001</v>
      </c>
      <c r="D127" s="11">
        <v>2.8477999999999999</v>
      </c>
      <c r="E127" s="11">
        <v>15.443</v>
      </c>
      <c r="F127" s="11">
        <v>21.338000000000001</v>
      </c>
      <c r="G127" s="11">
        <v>206.46</v>
      </c>
      <c r="H127" s="11">
        <v>24.734999999999999</v>
      </c>
      <c r="I127" s="11">
        <v>33.161000000000001</v>
      </c>
      <c r="J127" s="11">
        <v>498.4</v>
      </c>
      <c r="K127" s="11">
        <v>8.0433000000000004E-2</v>
      </c>
      <c r="L127" s="11">
        <v>39.087000000000003</v>
      </c>
      <c r="M127" s="11">
        <v>5.4649999999999997E-2</v>
      </c>
      <c r="N127" s="2" t="s">
        <v>538</v>
      </c>
    </row>
    <row r="128" spans="1:14" ht="12.3">
      <c r="A128" s="11">
        <v>710</v>
      </c>
      <c r="B128" s="11">
        <v>2.0699999999999998</v>
      </c>
      <c r="C128" s="11">
        <v>0.34866999999999998</v>
      </c>
      <c r="D128" s="11">
        <v>2.8681000000000001</v>
      </c>
      <c r="E128" s="11">
        <v>15.567</v>
      </c>
      <c r="F128" s="11">
        <v>21.504000000000001</v>
      </c>
      <c r="G128" s="11">
        <v>206.69</v>
      </c>
      <c r="H128" s="11">
        <v>24.774999999999999</v>
      </c>
      <c r="I128" s="11">
        <v>33.198999999999998</v>
      </c>
      <c r="J128" s="11">
        <v>500.05</v>
      </c>
      <c r="K128" s="11">
        <v>7.0768999999999999E-2</v>
      </c>
      <c r="L128" s="11">
        <v>39.274999999999999</v>
      </c>
      <c r="M128" s="11">
        <v>5.4954000000000003E-2</v>
      </c>
      <c r="N128" s="2" t="s">
        <v>538</v>
      </c>
    </row>
    <row r="129" spans="1:14" ht="12.3">
      <c r="A129" s="11">
        <v>715</v>
      </c>
      <c r="B129" s="11">
        <v>2.0699999999999998</v>
      </c>
      <c r="C129" s="11">
        <v>0.34622999999999998</v>
      </c>
      <c r="D129" s="11">
        <v>2.8883000000000001</v>
      </c>
      <c r="E129" s="11">
        <v>15.692</v>
      </c>
      <c r="F129" s="11">
        <v>21.67</v>
      </c>
      <c r="G129" s="11">
        <v>206.93</v>
      </c>
      <c r="H129" s="11">
        <v>24.815000000000001</v>
      </c>
      <c r="I129" s="11">
        <v>33.237000000000002</v>
      </c>
      <c r="J129" s="11">
        <v>501.7</v>
      </c>
      <c r="K129" s="11">
        <v>6.1287000000000001E-2</v>
      </c>
      <c r="L129" s="11">
        <v>39.460999999999999</v>
      </c>
      <c r="M129" s="11">
        <v>5.5259000000000003E-2</v>
      </c>
      <c r="N129" s="2" t="s">
        <v>538</v>
      </c>
    </row>
    <row r="130" spans="1:14" ht="12.3">
      <c r="A130" s="11">
        <v>720</v>
      </c>
      <c r="B130" s="11">
        <v>2.0699999999999998</v>
      </c>
      <c r="C130" s="11">
        <v>0.34382000000000001</v>
      </c>
      <c r="D130" s="11">
        <v>2.9085000000000001</v>
      </c>
      <c r="E130" s="11">
        <v>15.816000000000001</v>
      </c>
      <c r="F130" s="11">
        <v>21.837</v>
      </c>
      <c r="G130" s="11">
        <v>207.16</v>
      </c>
      <c r="H130" s="11">
        <v>24.855</v>
      </c>
      <c r="I130" s="11">
        <v>33.274999999999999</v>
      </c>
      <c r="J130" s="11">
        <v>503.33</v>
      </c>
      <c r="K130" s="11">
        <v>5.1982E-2</v>
      </c>
      <c r="L130" s="11">
        <v>39.648000000000003</v>
      </c>
      <c r="M130" s="11">
        <v>5.5563000000000001E-2</v>
      </c>
      <c r="N130" s="2" t="s">
        <v>538</v>
      </c>
    </row>
    <row r="131" spans="1:14" ht="12.3">
      <c r="A131" s="11">
        <v>725</v>
      </c>
      <c r="B131" s="11">
        <v>2.0699999999999998</v>
      </c>
      <c r="C131" s="11">
        <v>0.34144999999999998</v>
      </c>
      <c r="D131" s="11">
        <v>2.9287000000000001</v>
      </c>
      <c r="E131" s="11">
        <v>15.941000000000001</v>
      </c>
      <c r="F131" s="11">
        <v>22.003</v>
      </c>
      <c r="G131" s="11">
        <v>207.39</v>
      </c>
      <c r="H131" s="11">
        <v>24.893999999999998</v>
      </c>
      <c r="I131" s="11">
        <v>33.311999999999998</v>
      </c>
      <c r="J131" s="11">
        <v>504.97</v>
      </c>
      <c r="K131" s="11">
        <v>4.2849999999999999E-2</v>
      </c>
      <c r="L131" s="11">
        <v>39.832999999999998</v>
      </c>
      <c r="M131" s="11">
        <v>5.5865999999999999E-2</v>
      </c>
      <c r="N131" s="2" t="s">
        <v>538</v>
      </c>
    </row>
    <row r="132" spans="1:14" ht="12.3">
      <c r="A132" s="11">
        <v>730</v>
      </c>
      <c r="B132" s="11">
        <v>2.0699999999999998</v>
      </c>
      <c r="C132" s="11">
        <v>0.33911000000000002</v>
      </c>
      <c r="D132" s="11">
        <v>2.9489000000000001</v>
      </c>
      <c r="E132" s="11">
        <v>16.065999999999999</v>
      </c>
      <c r="F132" s="11">
        <v>22.17</v>
      </c>
      <c r="G132" s="11">
        <v>207.62</v>
      </c>
      <c r="H132" s="11">
        <v>24.933</v>
      </c>
      <c r="I132" s="11">
        <v>33.348999999999997</v>
      </c>
      <c r="J132" s="11">
        <v>506.59</v>
      </c>
      <c r="K132" s="11">
        <v>3.3885999999999999E-2</v>
      </c>
      <c r="L132" s="11">
        <v>40.018000000000001</v>
      </c>
      <c r="M132" s="11">
        <v>5.6168000000000003E-2</v>
      </c>
      <c r="N132" s="2" t="s">
        <v>538</v>
      </c>
    </row>
    <row r="133" spans="1:14" ht="12.3">
      <c r="A133" s="11">
        <v>735</v>
      </c>
      <c r="B133" s="11">
        <v>2.0699999999999998</v>
      </c>
      <c r="C133" s="11">
        <v>0.33679999999999999</v>
      </c>
      <c r="D133" s="11">
        <v>2.9691000000000001</v>
      </c>
      <c r="E133" s="11">
        <v>16.190999999999999</v>
      </c>
      <c r="F133" s="11">
        <v>22.337</v>
      </c>
      <c r="G133" s="11">
        <v>207.84</v>
      </c>
      <c r="H133" s="11">
        <v>24.971</v>
      </c>
      <c r="I133" s="11">
        <v>33.386000000000003</v>
      </c>
      <c r="J133" s="11">
        <v>508.21</v>
      </c>
      <c r="K133" s="11">
        <v>2.5086000000000001E-2</v>
      </c>
      <c r="L133" s="11">
        <v>40.203000000000003</v>
      </c>
      <c r="M133" s="11">
        <v>5.6469999999999999E-2</v>
      </c>
      <c r="N133" s="2" t="s">
        <v>538</v>
      </c>
    </row>
    <row r="134" spans="1:14" ht="12.3">
      <c r="A134" s="11">
        <v>740</v>
      </c>
      <c r="B134" s="11">
        <v>2.0699999999999998</v>
      </c>
      <c r="C134" s="11">
        <v>0.33452999999999999</v>
      </c>
      <c r="D134" s="11">
        <v>2.9893000000000001</v>
      </c>
      <c r="E134" s="11">
        <v>16.315999999999999</v>
      </c>
      <c r="F134" s="11">
        <v>22.504000000000001</v>
      </c>
      <c r="G134" s="11">
        <v>208.07</v>
      </c>
      <c r="H134" s="11">
        <v>25.009</v>
      </c>
      <c r="I134" s="11">
        <v>33.423000000000002</v>
      </c>
      <c r="J134" s="11">
        <v>509.83</v>
      </c>
      <c r="K134" s="11">
        <v>1.6445999999999999E-2</v>
      </c>
      <c r="L134" s="11">
        <v>40.387</v>
      </c>
      <c r="M134" s="11">
        <v>5.6772000000000003E-2</v>
      </c>
      <c r="N134" s="2" t="s">
        <v>538</v>
      </c>
    </row>
    <row r="135" spans="1:14" ht="12.3">
      <c r="A135" s="11">
        <v>745</v>
      </c>
      <c r="B135" s="11">
        <v>2.0699999999999998</v>
      </c>
      <c r="C135" s="11">
        <v>0.33228000000000002</v>
      </c>
      <c r="D135" s="11">
        <v>3.0095000000000001</v>
      </c>
      <c r="E135" s="11">
        <v>16.440999999999999</v>
      </c>
      <c r="F135" s="11">
        <v>22.670999999999999</v>
      </c>
      <c r="G135" s="11">
        <v>208.3</v>
      </c>
      <c r="H135" s="11">
        <v>25.047000000000001</v>
      </c>
      <c r="I135" s="11">
        <v>33.459000000000003</v>
      </c>
      <c r="J135" s="11">
        <v>511.44</v>
      </c>
      <c r="K135" s="11">
        <v>7.9620999999999997E-3</v>
      </c>
      <c r="L135" s="11">
        <v>40.57</v>
      </c>
      <c r="M135" s="11">
        <v>5.7072999999999999E-2</v>
      </c>
      <c r="N135" s="2" t="s">
        <v>538</v>
      </c>
    </row>
    <row r="136" spans="1:14" ht="12.3">
      <c r="A136" s="11">
        <v>750</v>
      </c>
      <c r="B136" s="11">
        <v>2.0699999999999998</v>
      </c>
      <c r="C136" s="11">
        <v>0.33006000000000002</v>
      </c>
      <c r="D136" s="11">
        <v>3.0297000000000001</v>
      </c>
      <c r="E136" s="11">
        <v>16.567</v>
      </c>
      <c r="F136" s="11">
        <v>22.838000000000001</v>
      </c>
      <c r="G136" s="11">
        <v>208.52</v>
      </c>
      <c r="H136" s="11">
        <v>25.085000000000001</v>
      </c>
      <c r="I136" s="11">
        <v>33.494999999999997</v>
      </c>
      <c r="J136" s="11">
        <v>513.04</v>
      </c>
      <c r="K136" s="11">
        <v>-3.6924000000000001E-4</v>
      </c>
      <c r="L136" s="11">
        <v>40.753</v>
      </c>
      <c r="M136" s="11">
        <v>5.7373E-2</v>
      </c>
      <c r="N136" s="2" t="s">
        <v>538</v>
      </c>
    </row>
    <row r="137" spans="1:14" ht="12.3">
      <c r="A137" s="11">
        <v>755</v>
      </c>
      <c r="B137" s="11">
        <v>2.0699999999999998</v>
      </c>
      <c r="C137" s="11">
        <v>0.32788</v>
      </c>
      <c r="D137" s="11">
        <v>3.0499000000000001</v>
      </c>
      <c r="E137" s="11">
        <v>16.693000000000001</v>
      </c>
      <c r="F137" s="11">
        <v>23.006</v>
      </c>
      <c r="G137" s="11">
        <v>208.74</v>
      </c>
      <c r="H137" s="11">
        <v>25.122</v>
      </c>
      <c r="I137" s="11">
        <v>33.53</v>
      </c>
      <c r="J137" s="11">
        <v>514.64</v>
      </c>
      <c r="K137" s="11">
        <v>-8.5520000000000006E-3</v>
      </c>
      <c r="L137" s="11">
        <v>40.935000000000002</v>
      </c>
      <c r="M137" s="11">
        <v>5.7673000000000002E-2</v>
      </c>
      <c r="N137" s="2" t="s">
        <v>538</v>
      </c>
    </row>
    <row r="138" spans="1:14" ht="12.3">
      <c r="A138" s="11">
        <v>760</v>
      </c>
      <c r="B138" s="11">
        <v>2.0699999999999998</v>
      </c>
      <c r="C138" s="11">
        <v>0.32572000000000001</v>
      </c>
      <c r="D138" s="11">
        <v>3.0701000000000001</v>
      </c>
      <c r="E138" s="11">
        <v>16.818000000000001</v>
      </c>
      <c r="F138" s="11">
        <v>23.173999999999999</v>
      </c>
      <c r="G138" s="11">
        <v>208.96</v>
      </c>
      <c r="H138" s="11">
        <v>25.158999999999999</v>
      </c>
      <c r="I138" s="11">
        <v>33.566000000000003</v>
      </c>
      <c r="J138" s="11">
        <v>516.24</v>
      </c>
      <c r="K138" s="11">
        <v>-1.6590000000000001E-2</v>
      </c>
      <c r="L138" s="11">
        <v>41.116999999999997</v>
      </c>
      <c r="M138" s="11">
        <v>5.7972999999999997E-2</v>
      </c>
      <c r="N138" s="2" t="s">
        <v>538</v>
      </c>
    </row>
    <row r="139" spans="1:14" ht="12.3">
      <c r="A139" s="11">
        <v>765</v>
      </c>
      <c r="B139" s="11">
        <v>2.0699999999999998</v>
      </c>
      <c r="C139" s="11">
        <v>0.32358999999999999</v>
      </c>
      <c r="D139" s="11">
        <v>3.0903</v>
      </c>
      <c r="E139" s="11">
        <v>16.945</v>
      </c>
      <c r="F139" s="11">
        <v>23.341000000000001</v>
      </c>
      <c r="G139" s="11">
        <v>209.18</v>
      </c>
      <c r="H139" s="11">
        <v>25.195</v>
      </c>
      <c r="I139" s="11">
        <v>33.600999999999999</v>
      </c>
      <c r="J139" s="11">
        <v>517.83000000000004</v>
      </c>
      <c r="K139" s="11">
        <v>-2.4486000000000001E-2</v>
      </c>
      <c r="L139" s="11">
        <v>41.298000000000002</v>
      </c>
      <c r="M139" s="11">
        <v>5.8271999999999997E-2</v>
      </c>
      <c r="N139" s="2" t="s">
        <v>538</v>
      </c>
    </row>
    <row r="140" spans="1:14" ht="12.3">
      <c r="A140" s="11">
        <v>770</v>
      </c>
      <c r="B140" s="11">
        <v>2.0699999999999998</v>
      </c>
      <c r="C140" s="11">
        <v>0.32149</v>
      </c>
      <c r="D140" s="11">
        <v>3.1105</v>
      </c>
      <c r="E140" s="11">
        <v>17.071000000000002</v>
      </c>
      <c r="F140" s="11">
        <v>23.51</v>
      </c>
      <c r="G140" s="11">
        <v>209.4</v>
      </c>
      <c r="H140" s="11">
        <v>25.231000000000002</v>
      </c>
      <c r="I140" s="11">
        <v>33.634999999999998</v>
      </c>
      <c r="J140" s="11">
        <v>519.41</v>
      </c>
      <c r="K140" s="11">
        <v>-3.2244000000000002E-2</v>
      </c>
      <c r="L140" s="11">
        <v>41.478999999999999</v>
      </c>
      <c r="M140" s="11">
        <v>5.8569999999999997E-2</v>
      </c>
      <c r="N140" s="2" t="s">
        <v>538</v>
      </c>
    </row>
    <row r="141" spans="1:14" ht="12.3">
      <c r="A141" s="11">
        <v>775</v>
      </c>
      <c r="B141" s="11">
        <v>2.0699999999999998</v>
      </c>
      <c r="C141" s="11">
        <v>0.31941999999999998</v>
      </c>
      <c r="D141" s="11">
        <v>3.1307</v>
      </c>
      <c r="E141" s="11">
        <v>17.196999999999999</v>
      </c>
      <c r="F141" s="11">
        <v>23.678000000000001</v>
      </c>
      <c r="G141" s="11">
        <v>209.62</v>
      </c>
      <c r="H141" s="11">
        <v>25.266999999999999</v>
      </c>
      <c r="I141" s="11">
        <v>33.67</v>
      </c>
      <c r="J141" s="11">
        <v>520.99</v>
      </c>
      <c r="K141" s="11">
        <v>-3.9867E-2</v>
      </c>
      <c r="L141" s="11">
        <v>41.658999999999999</v>
      </c>
      <c r="M141" s="11">
        <v>5.8867999999999997E-2</v>
      </c>
      <c r="N141" s="2" t="s">
        <v>538</v>
      </c>
    </row>
    <row r="142" spans="1:14" ht="12.3">
      <c r="A142" s="11">
        <v>780</v>
      </c>
      <c r="B142" s="11">
        <v>2.0699999999999998</v>
      </c>
      <c r="C142" s="11">
        <v>0.31736999999999999</v>
      </c>
      <c r="D142" s="11">
        <v>3.1509</v>
      </c>
      <c r="E142" s="11">
        <v>17.324000000000002</v>
      </c>
      <c r="F142" s="11">
        <v>23.846</v>
      </c>
      <c r="G142" s="11">
        <v>209.84</v>
      </c>
      <c r="H142" s="11">
        <v>25.302</v>
      </c>
      <c r="I142" s="11">
        <v>33.704000000000001</v>
      </c>
      <c r="J142" s="11">
        <v>522.55999999999995</v>
      </c>
      <c r="K142" s="11">
        <v>-4.7357999999999997E-2</v>
      </c>
      <c r="L142" s="11">
        <v>41.838999999999999</v>
      </c>
      <c r="M142" s="11">
        <v>5.9165000000000002E-2</v>
      </c>
      <c r="N142" s="2" t="s">
        <v>538</v>
      </c>
    </row>
    <row r="143" spans="1:14" ht="12.3">
      <c r="A143" s="11">
        <v>785</v>
      </c>
      <c r="B143" s="11">
        <v>2.0699999999999998</v>
      </c>
      <c r="C143" s="11">
        <v>0.31535000000000002</v>
      </c>
      <c r="D143" s="11">
        <v>3.1711</v>
      </c>
      <c r="E143" s="11">
        <v>17.451000000000001</v>
      </c>
      <c r="F143" s="11">
        <v>24.015000000000001</v>
      </c>
      <c r="G143" s="11">
        <v>210.05</v>
      </c>
      <c r="H143" s="11">
        <v>25.338000000000001</v>
      </c>
      <c r="I143" s="11">
        <v>33.738</v>
      </c>
      <c r="J143" s="11">
        <v>524.13</v>
      </c>
      <c r="K143" s="11">
        <v>-5.4719999999999998E-2</v>
      </c>
      <c r="L143" s="11">
        <v>42.018000000000001</v>
      </c>
      <c r="M143" s="11">
        <v>5.9462000000000001E-2</v>
      </c>
      <c r="N143" s="2" t="s">
        <v>538</v>
      </c>
    </row>
    <row r="144" spans="1:14" ht="12.3">
      <c r="A144" s="11">
        <v>790</v>
      </c>
      <c r="B144" s="11">
        <v>2.0699999999999998</v>
      </c>
      <c r="C144" s="11">
        <v>0.31336000000000003</v>
      </c>
      <c r="D144" s="11">
        <v>3.1911999999999998</v>
      </c>
      <c r="E144" s="11">
        <v>17.577999999999999</v>
      </c>
      <c r="F144" s="11">
        <v>24.184000000000001</v>
      </c>
      <c r="G144" s="11">
        <v>210.27</v>
      </c>
      <c r="H144" s="11">
        <v>25.372</v>
      </c>
      <c r="I144" s="11">
        <v>33.771000000000001</v>
      </c>
      <c r="J144" s="11">
        <v>525.70000000000005</v>
      </c>
      <c r="K144" s="11">
        <v>-6.1956999999999998E-2</v>
      </c>
      <c r="L144" s="11">
        <v>42.197000000000003</v>
      </c>
      <c r="M144" s="11">
        <v>5.9757999999999999E-2</v>
      </c>
      <c r="N144" s="2" t="s">
        <v>538</v>
      </c>
    </row>
    <row r="145" spans="1:14" ht="12.3">
      <c r="A145" s="11">
        <v>795</v>
      </c>
      <c r="B145" s="11">
        <v>2.0699999999999998</v>
      </c>
      <c r="C145" s="11">
        <v>0.31139</v>
      </c>
      <c r="D145" s="11">
        <v>3.2113999999999998</v>
      </c>
      <c r="E145" s="11">
        <v>17.704999999999998</v>
      </c>
      <c r="F145" s="11">
        <v>24.353000000000002</v>
      </c>
      <c r="G145" s="11">
        <v>210.48</v>
      </c>
      <c r="H145" s="11">
        <v>25.407</v>
      </c>
      <c r="I145" s="11">
        <v>33.804000000000002</v>
      </c>
      <c r="J145" s="11">
        <v>527.26</v>
      </c>
      <c r="K145" s="11">
        <v>-6.9070999999999994E-2</v>
      </c>
      <c r="L145" s="11">
        <v>42.375</v>
      </c>
      <c r="M145" s="11">
        <v>6.0054000000000003E-2</v>
      </c>
      <c r="N145" s="2" t="s">
        <v>538</v>
      </c>
    </row>
    <row r="146" spans="1:14" ht="12.3">
      <c r="A146" s="11">
        <v>800</v>
      </c>
      <c r="B146" s="11">
        <v>2.0699999999999998</v>
      </c>
      <c r="C146" s="11">
        <v>0.30943999999999999</v>
      </c>
      <c r="D146" s="11">
        <v>3.2315999999999998</v>
      </c>
      <c r="E146" s="11">
        <v>17.832000000000001</v>
      </c>
      <c r="F146" s="11">
        <v>24.521999999999998</v>
      </c>
      <c r="G146" s="11">
        <v>210.69</v>
      </c>
      <c r="H146" s="11">
        <v>25.440999999999999</v>
      </c>
      <c r="I146" s="11">
        <v>33.837000000000003</v>
      </c>
      <c r="J146" s="11">
        <v>528.80999999999995</v>
      </c>
      <c r="K146" s="11">
        <v>-7.6065999999999995E-2</v>
      </c>
      <c r="L146" s="11">
        <v>42.552</v>
      </c>
      <c r="M146" s="11">
        <v>6.0349E-2</v>
      </c>
      <c r="N146" s="2" t="s">
        <v>538</v>
      </c>
    </row>
    <row r="147" spans="1:14" ht="12.3">
      <c r="A147" s="11">
        <v>805</v>
      </c>
      <c r="B147" s="11">
        <v>2.0699999999999998</v>
      </c>
      <c r="C147" s="11">
        <v>0.30752000000000002</v>
      </c>
      <c r="D147" s="11">
        <v>3.2517999999999998</v>
      </c>
      <c r="E147" s="11">
        <v>17.96</v>
      </c>
      <c r="F147" s="11">
        <v>24.690999999999999</v>
      </c>
      <c r="G147" s="11">
        <v>210.9</v>
      </c>
      <c r="H147" s="11">
        <v>25.475000000000001</v>
      </c>
      <c r="I147" s="11">
        <v>33.869999999999997</v>
      </c>
      <c r="J147" s="11">
        <v>530.36</v>
      </c>
      <c r="K147" s="11">
        <v>-8.2943000000000003E-2</v>
      </c>
      <c r="L147" s="11">
        <v>42.728999999999999</v>
      </c>
      <c r="M147" s="11">
        <v>6.0644000000000003E-2</v>
      </c>
      <c r="N147" s="2" t="s">
        <v>538</v>
      </c>
    </row>
    <row r="148" spans="1:14" ht="12.3">
      <c r="A148" s="11">
        <v>810</v>
      </c>
      <c r="B148" s="11">
        <v>2.0699999999999998</v>
      </c>
      <c r="C148" s="11">
        <v>0.30563000000000001</v>
      </c>
      <c r="D148" s="11">
        <v>3.2719999999999998</v>
      </c>
      <c r="E148" s="11">
        <v>18.087</v>
      </c>
      <c r="F148" s="11">
        <v>24.86</v>
      </c>
      <c r="G148" s="11">
        <v>211.11</v>
      </c>
      <c r="H148" s="11">
        <v>25.507999999999999</v>
      </c>
      <c r="I148" s="11">
        <v>33.902000000000001</v>
      </c>
      <c r="J148" s="11">
        <v>531.91</v>
      </c>
      <c r="K148" s="11">
        <v>-8.9704999999999993E-2</v>
      </c>
      <c r="L148" s="11">
        <v>42.905999999999999</v>
      </c>
      <c r="M148" s="11">
        <v>6.0939E-2</v>
      </c>
      <c r="N148" s="2" t="s">
        <v>538</v>
      </c>
    </row>
    <row r="149" spans="1:14" ht="12.3">
      <c r="A149" s="11">
        <v>815</v>
      </c>
      <c r="B149" s="11">
        <v>2.0699999999999998</v>
      </c>
      <c r="C149" s="11">
        <v>0.30375000000000002</v>
      </c>
      <c r="D149" s="11">
        <v>3.2921</v>
      </c>
      <c r="E149" s="11">
        <v>18.215</v>
      </c>
      <c r="F149" s="11">
        <v>25.03</v>
      </c>
      <c r="G149" s="11">
        <v>211.32</v>
      </c>
      <c r="H149" s="11">
        <v>25.542000000000002</v>
      </c>
      <c r="I149" s="11">
        <v>33.933999999999997</v>
      </c>
      <c r="J149" s="11">
        <v>533.45000000000005</v>
      </c>
      <c r="K149" s="11">
        <v>-9.6355999999999997E-2</v>
      </c>
      <c r="L149" s="11">
        <v>43.082000000000001</v>
      </c>
      <c r="M149" s="11">
        <v>6.1233000000000003E-2</v>
      </c>
      <c r="N149" s="2" t="s">
        <v>538</v>
      </c>
    </row>
    <row r="150" spans="1:14" ht="12.3">
      <c r="A150" s="11">
        <v>820</v>
      </c>
      <c r="B150" s="11">
        <v>2.0699999999999998</v>
      </c>
      <c r="C150" s="11">
        <v>0.3019</v>
      </c>
      <c r="D150" s="11">
        <v>3.3123</v>
      </c>
      <c r="E150" s="11">
        <v>18.343</v>
      </c>
      <c r="F150" s="11">
        <v>25.2</v>
      </c>
      <c r="G150" s="11">
        <v>211.53</v>
      </c>
      <c r="H150" s="11">
        <v>25.574000000000002</v>
      </c>
      <c r="I150" s="11">
        <v>33.966000000000001</v>
      </c>
      <c r="J150" s="11">
        <v>534.98</v>
      </c>
      <c r="K150" s="11">
        <v>-0.10290000000000001</v>
      </c>
      <c r="L150" s="11">
        <v>43.258000000000003</v>
      </c>
      <c r="M150" s="11">
        <v>6.1525999999999997E-2</v>
      </c>
      <c r="N150" s="2" t="s">
        <v>538</v>
      </c>
    </row>
    <row r="151" spans="1:14" ht="12.3">
      <c r="A151" s="11">
        <v>825</v>
      </c>
      <c r="B151" s="11">
        <v>2.0699999999999998</v>
      </c>
      <c r="C151" s="11">
        <v>0.30008000000000001</v>
      </c>
      <c r="D151" s="11">
        <v>3.3325</v>
      </c>
      <c r="E151" s="11">
        <v>18.471</v>
      </c>
      <c r="F151" s="11">
        <v>25.37</v>
      </c>
      <c r="G151" s="11">
        <v>211.74</v>
      </c>
      <c r="H151" s="11">
        <v>25.606999999999999</v>
      </c>
      <c r="I151" s="11">
        <v>33.997</v>
      </c>
      <c r="J151" s="11">
        <v>536.52</v>
      </c>
      <c r="K151" s="11">
        <v>-0.10933</v>
      </c>
      <c r="L151" s="11">
        <v>43.433</v>
      </c>
      <c r="M151" s="11">
        <v>6.1818999999999999E-2</v>
      </c>
      <c r="N151" s="2" t="s">
        <v>538</v>
      </c>
    </row>
    <row r="152" spans="1:14" ht="12.3">
      <c r="A152" s="11">
        <v>830</v>
      </c>
      <c r="B152" s="11">
        <v>2.0699999999999998</v>
      </c>
      <c r="C152" s="11">
        <v>0.29826999999999998</v>
      </c>
      <c r="D152" s="11">
        <v>3.3527</v>
      </c>
      <c r="E152" s="11">
        <v>18.600000000000001</v>
      </c>
      <c r="F152" s="11">
        <v>25.54</v>
      </c>
      <c r="G152" s="11">
        <v>211.94</v>
      </c>
      <c r="H152" s="11">
        <v>25.638999999999999</v>
      </c>
      <c r="I152" s="11">
        <v>34.029000000000003</v>
      </c>
      <c r="J152" s="11">
        <v>538.04</v>
      </c>
      <c r="K152" s="11">
        <v>-0.11566</v>
      </c>
      <c r="L152" s="11">
        <v>43.607999999999997</v>
      </c>
      <c r="M152" s="11">
        <v>6.2112000000000001E-2</v>
      </c>
      <c r="N152" s="2" t="s">
        <v>538</v>
      </c>
    </row>
    <row r="153" spans="1:14" ht="12.3">
      <c r="A153" s="11">
        <v>835</v>
      </c>
      <c r="B153" s="11">
        <v>2.0699999999999998</v>
      </c>
      <c r="C153" s="11">
        <v>0.29648999999999998</v>
      </c>
      <c r="D153" s="11">
        <v>3.3727999999999998</v>
      </c>
      <c r="E153" s="11">
        <v>18.728000000000002</v>
      </c>
      <c r="F153" s="11">
        <v>25.71</v>
      </c>
      <c r="G153" s="11">
        <v>212.15</v>
      </c>
      <c r="H153" s="11">
        <v>25.670999999999999</v>
      </c>
      <c r="I153" s="11">
        <v>34.06</v>
      </c>
      <c r="J153" s="11">
        <v>539.57000000000005</v>
      </c>
      <c r="K153" s="11">
        <v>-0.12189</v>
      </c>
      <c r="L153" s="11">
        <v>43.781999999999996</v>
      </c>
      <c r="M153" s="11">
        <v>6.2404000000000001E-2</v>
      </c>
      <c r="N153" s="2" t="s">
        <v>538</v>
      </c>
    </row>
    <row r="154" spans="1:14" ht="12.3">
      <c r="A154" s="11">
        <v>840</v>
      </c>
      <c r="B154" s="11">
        <v>2.0699999999999998</v>
      </c>
      <c r="C154" s="11">
        <v>0.29471999999999998</v>
      </c>
      <c r="D154" s="11">
        <v>3.3929999999999998</v>
      </c>
      <c r="E154" s="11">
        <v>18.856999999999999</v>
      </c>
      <c r="F154" s="11">
        <v>25.88</v>
      </c>
      <c r="G154" s="11">
        <v>212.35</v>
      </c>
      <c r="H154" s="11">
        <v>25.702999999999999</v>
      </c>
      <c r="I154" s="11">
        <v>34.090000000000003</v>
      </c>
      <c r="J154" s="11">
        <v>541.08000000000004</v>
      </c>
      <c r="K154" s="11">
        <v>-0.12801999999999999</v>
      </c>
      <c r="L154" s="11">
        <v>43.956000000000003</v>
      </c>
      <c r="M154" s="11">
        <v>6.2695000000000001E-2</v>
      </c>
      <c r="N154" s="2" t="s">
        <v>538</v>
      </c>
    </row>
    <row r="155" spans="1:14" ht="12.3">
      <c r="A155" s="11">
        <v>845</v>
      </c>
      <c r="B155" s="11">
        <v>2.0699999999999998</v>
      </c>
      <c r="C155" s="11">
        <v>0.29298000000000002</v>
      </c>
      <c r="D155" s="11">
        <v>3.4131999999999998</v>
      </c>
      <c r="E155" s="11">
        <v>18.986000000000001</v>
      </c>
      <c r="F155" s="11">
        <v>26.050999999999998</v>
      </c>
      <c r="G155" s="11">
        <v>212.55</v>
      </c>
      <c r="H155" s="11">
        <v>25.734000000000002</v>
      </c>
      <c r="I155" s="11">
        <v>34.119999999999997</v>
      </c>
      <c r="J155" s="11">
        <v>542.6</v>
      </c>
      <c r="K155" s="11">
        <v>-0.13405</v>
      </c>
      <c r="L155" s="11">
        <v>44.13</v>
      </c>
      <c r="M155" s="11">
        <v>6.2986E-2</v>
      </c>
      <c r="N155" s="2" t="s">
        <v>538</v>
      </c>
    </row>
    <row r="156" spans="1:14" ht="12.3">
      <c r="A156" s="11">
        <v>850</v>
      </c>
      <c r="B156" s="11">
        <v>2.0699999999999998</v>
      </c>
      <c r="C156" s="11">
        <v>0.29126000000000002</v>
      </c>
      <c r="D156" s="11">
        <v>3.4333999999999998</v>
      </c>
      <c r="E156" s="11">
        <v>19.114000000000001</v>
      </c>
      <c r="F156" s="11">
        <v>26.222000000000001</v>
      </c>
      <c r="G156" s="11">
        <v>212.75</v>
      </c>
      <c r="H156" s="11">
        <v>25.765000000000001</v>
      </c>
      <c r="I156" s="11">
        <v>34.15</v>
      </c>
      <c r="J156" s="11">
        <v>544.11</v>
      </c>
      <c r="K156" s="11">
        <v>-0.13997999999999999</v>
      </c>
      <c r="L156" s="11">
        <v>44.302</v>
      </c>
      <c r="M156" s="11">
        <v>6.3277E-2</v>
      </c>
      <c r="N156" s="2" t="s">
        <v>538</v>
      </c>
    </row>
    <row r="157" spans="1:14" ht="12.3">
      <c r="A157" s="11">
        <v>855</v>
      </c>
      <c r="B157" s="11">
        <v>2.0699999999999998</v>
      </c>
      <c r="C157" s="11">
        <v>0.28955999999999998</v>
      </c>
      <c r="D157" s="11">
        <v>3.4535</v>
      </c>
      <c r="E157" s="11">
        <v>19.244</v>
      </c>
      <c r="F157" s="11">
        <v>26.391999999999999</v>
      </c>
      <c r="G157" s="11">
        <v>212.95</v>
      </c>
      <c r="H157" s="11">
        <v>25.795999999999999</v>
      </c>
      <c r="I157" s="11">
        <v>34.18</v>
      </c>
      <c r="J157" s="11">
        <v>545.61</v>
      </c>
      <c r="K157" s="11">
        <v>-0.14582000000000001</v>
      </c>
      <c r="L157" s="11">
        <v>44.475000000000001</v>
      </c>
      <c r="M157" s="11">
        <v>6.3566999999999999E-2</v>
      </c>
      <c r="N157" s="2" t="s">
        <v>538</v>
      </c>
    </row>
    <row r="158" spans="1:14" ht="12.3">
      <c r="A158" s="11">
        <v>860</v>
      </c>
      <c r="B158" s="11">
        <v>2.0699999999999998</v>
      </c>
      <c r="C158" s="11">
        <v>0.28788000000000002</v>
      </c>
      <c r="D158" s="11">
        <v>3.4737</v>
      </c>
      <c r="E158" s="11">
        <v>19.373000000000001</v>
      </c>
      <c r="F158" s="11">
        <v>26.562999999999999</v>
      </c>
      <c r="G158" s="11">
        <v>213.15</v>
      </c>
      <c r="H158" s="11">
        <v>25.827000000000002</v>
      </c>
      <c r="I158" s="11">
        <v>34.21</v>
      </c>
      <c r="J158" s="11">
        <v>547.11</v>
      </c>
      <c r="K158" s="11">
        <v>-0.15157000000000001</v>
      </c>
      <c r="L158" s="11">
        <v>44.646999999999998</v>
      </c>
      <c r="M158" s="11">
        <v>6.3856999999999997E-2</v>
      </c>
      <c r="N158" s="2" t="s">
        <v>538</v>
      </c>
    </row>
    <row r="159" spans="1:14" ht="12.3">
      <c r="A159" s="11">
        <v>865</v>
      </c>
      <c r="B159" s="11">
        <v>2.0699999999999998</v>
      </c>
      <c r="C159" s="11">
        <v>0.28621999999999997</v>
      </c>
      <c r="D159" s="11">
        <v>3.4937999999999998</v>
      </c>
      <c r="E159" s="11">
        <v>19.501999999999999</v>
      </c>
      <c r="F159" s="11">
        <v>26.734000000000002</v>
      </c>
      <c r="G159" s="11">
        <v>213.35</v>
      </c>
      <c r="H159" s="11">
        <v>25.856999999999999</v>
      </c>
      <c r="I159" s="11">
        <v>34.238999999999997</v>
      </c>
      <c r="J159" s="11">
        <v>548.61</v>
      </c>
      <c r="K159" s="11">
        <v>-0.15723000000000001</v>
      </c>
      <c r="L159" s="11">
        <v>44.819000000000003</v>
      </c>
      <c r="M159" s="11">
        <v>6.4146999999999996E-2</v>
      </c>
      <c r="N159" s="2" t="s">
        <v>538</v>
      </c>
    </row>
    <row r="160" spans="1:14" ht="12.3">
      <c r="A160" s="11">
        <v>870</v>
      </c>
      <c r="B160" s="11">
        <v>2.0699999999999998</v>
      </c>
      <c r="C160" s="11">
        <v>0.28456999999999999</v>
      </c>
      <c r="D160" s="11">
        <v>3.5139999999999998</v>
      </c>
      <c r="E160" s="11">
        <v>19.632000000000001</v>
      </c>
      <c r="F160" s="11">
        <v>26.905999999999999</v>
      </c>
      <c r="G160" s="11">
        <v>213.55</v>
      </c>
      <c r="H160" s="11">
        <v>25.887</v>
      </c>
      <c r="I160" s="11">
        <v>34.268000000000001</v>
      </c>
      <c r="J160" s="11">
        <v>550.1</v>
      </c>
      <c r="K160" s="11">
        <v>-0.16281000000000001</v>
      </c>
      <c r="L160" s="11">
        <v>44.99</v>
      </c>
      <c r="M160" s="11">
        <v>6.4435999999999993E-2</v>
      </c>
      <c r="N160" s="2" t="s">
        <v>538</v>
      </c>
    </row>
    <row r="161" spans="1:14" ht="12.3">
      <c r="A161" s="11">
        <v>875</v>
      </c>
      <c r="B161" s="11">
        <v>2.0699999999999998</v>
      </c>
      <c r="C161" s="11">
        <v>0.28294999999999998</v>
      </c>
      <c r="D161" s="11">
        <v>3.5341999999999998</v>
      </c>
      <c r="E161" s="11">
        <v>19.760999999999999</v>
      </c>
      <c r="F161" s="11">
        <v>27.077000000000002</v>
      </c>
      <c r="G161" s="11">
        <v>213.75</v>
      </c>
      <c r="H161" s="11">
        <v>25.916</v>
      </c>
      <c r="I161" s="11">
        <v>34.296999999999997</v>
      </c>
      <c r="J161" s="11">
        <v>551.59</v>
      </c>
      <c r="K161" s="11">
        <v>-0.16829</v>
      </c>
      <c r="L161" s="11">
        <v>45.161000000000001</v>
      </c>
      <c r="M161" s="11">
        <v>6.4724000000000004E-2</v>
      </c>
      <c r="N161" s="2" t="s">
        <v>538</v>
      </c>
    </row>
    <row r="162" spans="1:14" ht="12.3">
      <c r="A162" s="11">
        <v>880</v>
      </c>
      <c r="B162" s="11">
        <v>2.0699999999999998</v>
      </c>
      <c r="C162" s="11">
        <v>0.28134999999999999</v>
      </c>
      <c r="D162" s="11">
        <v>3.5543</v>
      </c>
      <c r="E162" s="11">
        <v>19.890999999999998</v>
      </c>
      <c r="F162" s="11">
        <v>27.248999999999999</v>
      </c>
      <c r="G162" s="11">
        <v>213.94</v>
      </c>
      <c r="H162" s="11">
        <v>25.946000000000002</v>
      </c>
      <c r="I162" s="11">
        <v>34.325000000000003</v>
      </c>
      <c r="J162" s="11">
        <v>553.08000000000004</v>
      </c>
      <c r="K162" s="11">
        <v>-0.17369000000000001</v>
      </c>
      <c r="L162" s="11">
        <v>45.331000000000003</v>
      </c>
      <c r="M162" s="11">
        <v>6.5012E-2</v>
      </c>
      <c r="N162" s="2" t="s">
        <v>538</v>
      </c>
    </row>
    <row r="163" spans="1:14" ht="12.3">
      <c r="A163" s="11">
        <v>885</v>
      </c>
      <c r="B163" s="11">
        <v>2.0699999999999998</v>
      </c>
      <c r="C163" s="11">
        <v>0.27976000000000001</v>
      </c>
      <c r="D163" s="11">
        <v>3.5745</v>
      </c>
      <c r="E163" s="11">
        <v>20.021000000000001</v>
      </c>
      <c r="F163" s="11">
        <v>27.42</v>
      </c>
      <c r="G163" s="11">
        <v>214.14</v>
      </c>
      <c r="H163" s="11">
        <v>25.975000000000001</v>
      </c>
      <c r="I163" s="11">
        <v>34.353000000000002</v>
      </c>
      <c r="J163" s="11">
        <v>554.55999999999995</v>
      </c>
      <c r="K163" s="11">
        <v>-0.17901</v>
      </c>
      <c r="L163" s="11">
        <v>45.500999999999998</v>
      </c>
      <c r="M163" s="11">
        <v>6.5299999999999997E-2</v>
      </c>
      <c r="N163" s="2" t="s">
        <v>538</v>
      </c>
    </row>
    <row r="164" spans="1:14" ht="12.3">
      <c r="A164" s="11">
        <v>890</v>
      </c>
      <c r="B164" s="11">
        <v>2.0699999999999998</v>
      </c>
      <c r="C164" s="11">
        <v>0.27818999999999999</v>
      </c>
      <c r="D164" s="11">
        <v>3.5947</v>
      </c>
      <c r="E164" s="11">
        <v>20.151</v>
      </c>
      <c r="F164" s="11">
        <v>27.591999999999999</v>
      </c>
      <c r="G164" s="11">
        <v>214.33</v>
      </c>
      <c r="H164" s="11">
        <v>26.003</v>
      </c>
      <c r="I164" s="11">
        <v>34.381</v>
      </c>
      <c r="J164" s="11">
        <v>556.04</v>
      </c>
      <c r="K164" s="11">
        <v>-0.18425</v>
      </c>
      <c r="L164" s="11">
        <v>45.67</v>
      </c>
      <c r="M164" s="11">
        <v>6.5587000000000006E-2</v>
      </c>
      <c r="N164" s="2" t="s">
        <v>538</v>
      </c>
    </row>
    <row r="165" spans="1:14" ht="12.3">
      <c r="A165" s="11">
        <v>895</v>
      </c>
      <c r="B165" s="11">
        <v>2.0699999999999998</v>
      </c>
      <c r="C165" s="11">
        <v>0.27664</v>
      </c>
      <c r="D165" s="11">
        <v>3.6147999999999998</v>
      </c>
      <c r="E165" s="11">
        <v>20.280999999999999</v>
      </c>
      <c r="F165" s="11">
        <v>27.763999999999999</v>
      </c>
      <c r="G165" s="11">
        <v>214.52</v>
      </c>
      <c r="H165" s="11">
        <v>26.032</v>
      </c>
      <c r="I165" s="11">
        <v>34.408999999999999</v>
      </c>
      <c r="J165" s="11">
        <v>557.51</v>
      </c>
      <c r="K165" s="11">
        <v>-0.18942000000000001</v>
      </c>
      <c r="L165" s="11">
        <v>45.838999999999999</v>
      </c>
      <c r="M165" s="11">
        <v>6.5874000000000002E-2</v>
      </c>
      <c r="N165" s="2" t="s">
        <v>538</v>
      </c>
    </row>
    <row r="166" spans="1:14" ht="12.3">
      <c r="A166" s="11">
        <v>900</v>
      </c>
      <c r="B166" s="11">
        <v>2.0699999999999998</v>
      </c>
      <c r="C166" s="11">
        <v>0.27511000000000002</v>
      </c>
      <c r="D166" s="11">
        <v>3.6349999999999998</v>
      </c>
      <c r="E166" s="11">
        <v>20.411999999999999</v>
      </c>
      <c r="F166" s="11">
        <v>27.936</v>
      </c>
      <c r="G166" s="11">
        <v>214.71</v>
      </c>
      <c r="H166" s="11">
        <v>26.06</v>
      </c>
      <c r="I166" s="11">
        <v>34.436</v>
      </c>
      <c r="J166" s="11">
        <v>558.98</v>
      </c>
      <c r="K166" s="11">
        <v>-0.19450000000000001</v>
      </c>
      <c r="L166" s="11">
        <v>46.008000000000003</v>
      </c>
      <c r="M166" s="11">
        <v>6.6160999999999998E-2</v>
      </c>
      <c r="N166" s="2" t="s">
        <v>538</v>
      </c>
    </row>
    <row r="167" spans="1:14" ht="12.3">
      <c r="A167" s="11">
        <v>905</v>
      </c>
      <c r="B167" s="11">
        <v>2.0699999999999998</v>
      </c>
      <c r="C167" s="11">
        <v>0.27359</v>
      </c>
      <c r="D167" s="11">
        <v>3.6551</v>
      </c>
      <c r="E167" s="11">
        <v>20.542000000000002</v>
      </c>
      <c r="F167" s="11">
        <v>28.109000000000002</v>
      </c>
      <c r="G167" s="11">
        <v>214.91</v>
      </c>
      <c r="H167" s="11">
        <v>26.088000000000001</v>
      </c>
      <c r="I167" s="11">
        <v>34.463000000000001</v>
      </c>
      <c r="J167" s="11">
        <v>560.44000000000005</v>
      </c>
      <c r="K167" s="11">
        <v>-0.19950999999999999</v>
      </c>
      <c r="L167" s="11">
        <v>46.176000000000002</v>
      </c>
      <c r="M167" s="11">
        <v>6.6447000000000006E-2</v>
      </c>
      <c r="N167" s="2" t="s">
        <v>538</v>
      </c>
    </row>
    <row r="168" spans="1:14" ht="12.3">
      <c r="A168" s="11">
        <v>910</v>
      </c>
      <c r="B168" s="11">
        <v>2.0699999999999998</v>
      </c>
      <c r="C168" s="11">
        <v>0.27209</v>
      </c>
      <c r="D168" s="11">
        <v>3.6753</v>
      </c>
      <c r="E168" s="11">
        <v>20.672999999999998</v>
      </c>
      <c r="F168" s="11">
        <v>28.280999999999999</v>
      </c>
      <c r="G168" s="11">
        <v>215.1</v>
      </c>
      <c r="H168" s="11">
        <v>26.116</v>
      </c>
      <c r="I168" s="11">
        <v>34.49</v>
      </c>
      <c r="J168" s="11">
        <v>561.9</v>
      </c>
      <c r="K168" s="11">
        <v>-0.20444000000000001</v>
      </c>
      <c r="L168" s="11">
        <v>46.344000000000001</v>
      </c>
      <c r="M168" s="11">
        <v>6.6733000000000001E-2</v>
      </c>
      <c r="N168" s="2" t="s">
        <v>538</v>
      </c>
    </row>
    <row r="169" spans="1:14" ht="12.3">
      <c r="A169" s="11">
        <v>915</v>
      </c>
      <c r="B169" s="11">
        <v>2.0699999999999998</v>
      </c>
      <c r="C169" s="11">
        <v>0.27060000000000001</v>
      </c>
      <c r="D169" s="11">
        <v>3.6953999999999998</v>
      </c>
      <c r="E169" s="11">
        <v>20.803999999999998</v>
      </c>
      <c r="F169" s="11">
        <v>28.452999999999999</v>
      </c>
      <c r="G169" s="11">
        <v>215.28</v>
      </c>
      <c r="H169" s="11">
        <v>26.143000000000001</v>
      </c>
      <c r="I169" s="11">
        <v>34.517000000000003</v>
      </c>
      <c r="J169" s="11">
        <v>563.36</v>
      </c>
      <c r="K169" s="11">
        <v>-0.20930000000000001</v>
      </c>
      <c r="L169" s="11">
        <v>46.512</v>
      </c>
      <c r="M169" s="11">
        <v>6.7017999999999994E-2</v>
      </c>
      <c r="N169" s="2" t="s">
        <v>538</v>
      </c>
    </row>
    <row r="170" spans="1:14" ht="12.3">
      <c r="A170" s="11">
        <v>920</v>
      </c>
      <c r="B170" s="11">
        <v>2.0699999999999998</v>
      </c>
      <c r="C170" s="11">
        <v>0.26913999999999999</v>
      </c>
      <c r="D170" s="11">
        <v>3.7155999999999998</v>
      </c>
      <c r="E170" s="11">
        <v>20.934999999999999</v>
      </c>
      <c r="F170" s="11">
        <v>28.626000000000001</v>
      </c>
      <c r="G170" s="11">
        <v>215.47</v>
      </c>
      <c r="H170" s="11">
        <v>26.17</v>
      </c>
      <c r="I170" s="11">
        <v>34.542999999999999</v>
      </c>
      <c r="J170" s="11">
        <v>564.80999999999995</v>
      </c>
      <c r="K170" s="11">
        <v>-0.21409</v>
      </c>
      <c r="L170" s="11">
        <v>46.679000000000002</v>
      </c>
      <c r="M170" s="11">
        <v>6.7303000000000002E-2</v>
      </c>
      <c r="N170" s="2" t="s">
        <v>538</v>
      </c>
    </row>
    <row r="171" spans="1:14" ht="12.3">
      <c r="A171" s="11">
        <v>925</v>
      </c>
      <c r="B171" s="11">
        <v>2.0699999999999998</v>
      </c>
      <c r="C171" s="11">
        <v>0.26767999999999997</v>
      </c>
      <c r="D171" s="11">
        <v>3.7357</v>
      </c>
      <c r="E171" s="11">
        <v>21.065999999999999</v>
      </c>
      <c r="F171" s="11">
        <v>28.798999999999999</v>
      </c>
      <c r="G171" s="11">
        <v>215.66</v>
      </c>
      <c r="H171" s="11">
        <v>26.196999999999999</v>
      </c>
      <c r="I171" s="11">
        <v>34.569000000000003</v>
      </c>
      <c r="J171" s="11">
        <v>566.26</v>
      </c>
      <c r="K171" s="11">
        <v>-0.21881</v>
      </c>
      <c r="L171" s="11">
        <v>46.844999999999999</v>
      </c>
      <c r="M171" s="11">
        <v>6.7586999999999994E-2</v>
      </c>
      <c r="N171" s="2" t="s">
        <v>538</v>
      </c>
    </row>
    <row r="172" spans="1:14" ht="12.3">
      <c r="A172" s="11">
        <v>930</v>
      </c>
      <c r="B172" s="11">
        <v>2.0699999999999998</v>
      </c>
      <c r="C172" s="11">
        <v>0.26624999999999999</v>
      </c>
      <c r="D172" s="11">
        <v>3.7559</v>
      </c>
      <c r="E172" s="11">
        <v>21.196999999999999</v>
      </c>
      <c r="F172" s="11">
        <v>28.972000000000001</v>
      </c>
      <c r="G172" s="11">
        <v>215.85</v>
      </c>
      <c r="H172" s="11">
        <v>26.224</v>
      </c>
      <c r="I172" s="11">
        <v>34.594999999999999</v>
      </c>
      <c r="J172" s="11">
        <v>567.71</v>
      </c>
      <c r="K172" s="11">
        <v>-0.22347</v>
      </c>
      <c r="L172" s="11">
        <v>47.012</v>
      </c>
      <c r="M172" s="11">
        <v>6.7871000000000001E-2</v>
      </c>
      <c r="N172" s="2" t="s">
        <v>538</v>
      </c>
    </row>
    <row r="173" spans="1:14" ht="12.3">
      <c r="A173" s="11">
        <v>935</v>
      </c>
      <c r="B173" s="11">
        <v>2.0699999999999998</v>
      </c>
      <c r="C173" s="11">
        <v>0.26483000000000001</v>
      </c>
      <c r="D173" s="11">
        <v>3.7761</v>
      </c>
      <c r="E173" s="11">
        <v>21.327999999999999</v>
      </c>
      <c r="F173" s="11">
        <v>29.145</v>
      </c>
      <c r="G173" s="11">
        <v>216.03</v>
      </c>
      <c r="H173" s="11">
        <v>26.251000000000001</v>
      </c>
      <c r="I173" s="11">
        <v>34.621000000000002</v>
      </c>
      <c r="J173" s="11">
        <v>569.15</v>
      </c>
      <c r="K173" s="11">
        <v>-0.22805</v>
      </c>
      <c r="L173" s="11">
        <v>47.177999999999997</v>
      </c>
      <c r="M173" s="11">
        <v>6.8154999999999993E-2</v>
      </c>
      <c r="N173" s="2" t="s">
        <v>538</v>
      </c>
    </row>
    <row r="174" spans="1:14" ht="12.3">
      <c r="A174" s="11">
        <v>940</v>
      </c>
      <c r="B174" s="11">
        <v>2.0699999999999998</v>
      </c>
      <c r="C174" s="11">
        <v>0.26341999999999999</v>
      </c>
      <c r="D174" s="11">
        <v>3.7961999999999998</v>
      </c>
      <c r="E174" s="11">
        <v>21.46</v>
      </c>
      <c r="F174" s="11">
        <v>29.318000000000001</v>
      </c>
      <c r="G174" s="11">
        <v>216.22</v>
      </c>
      <c r="H174" s="11">
        <v>26.277000000000001</v>
      </c>
      <c r="I174" s="11">
        <v>34.646999999999998</v>
      </c>
      <c r="J174" s="11">
        <v>570.59</v>
      </c>
      <c r="K174" s="11">
        <v>-0.23257</v>
      </c>
      <c r="L174" s="11">
        <v>47.343000000000004</v>
      </c>
      <c r="M174" s="11">
        <v>6.8437999999999999E-2</v>
      </c>
      <c r="N174" s="2" t="s">
        <v>538</v>
      </c>
    </row>
    <row r="175" spans="1:14" ht="12.3">
      <c r="A175" s="11">
        <v>945</v>
      </c>
      <c r="B175" s="11">
        <v>2.0699999999999998</v>
      </c>
      <c r="C175" s="11">
        <v>0.26202999999999999</v>
      </c>
      <c r="D175" s="11">
        <v>3.8163999999999998</v>
      </c>
      <c r="E175" s="11">
        <v>21.591000000000001</v>
      </c>
      <c r="F175" s="11">
        <v>29.491</v>
      </c>
      <c r="G175" s="11">
        <v>216.4</v>
      </c>
      <c r="H175" s="11">
        <v>26.303000000000001</v>
      </c>
      <c r="I175" s="11">
        <v>34.671999999999997</v>
      </c>
      <c r="J175" s="11">
        <v>572.02</v>
      </c>
      <c r="K175" s="11">
        <v>-0.23702999999999999</v>
      </c>
      <c r="L175" s="11">
        <v>47.508000000000003</v>
      </c>
      <c r="M175" s="11">
        <v>6.8721000000000004E-2</v>
      </c>
      <c r="N175" s="2" t="s">
        <v>538</v>
      </c>
    </row>
    <row r="176" spans="1:14" ht="12.3">
      <c r="A176" s="11">
        <v>950</v>
      </c>
      <c r="B176" s="11">
        <v>2.0699999999999998</v>
      </c>
      <c r="C176" s="11">
        <v>0.26064999999999999</v>
      </c>
      <c r="D176" s="11">
        <v>3.8365</v>
      </c>
      <c r="E176" s="11">
        <v>21.722999999999999</v>
      </c>
      <c r="F176" s="11">
        <v>29.664999999999999</v>
      </c>
      <c r="G176" s="11">
        <v>216.58</v>
      </c>
      <c r="H176" s="11">
        <v>26.327999999999999</v>
      </c>
      <c r="I176" s="11">
        <v>34.697000000000003</v>
      </c>
      <c r="J176" s="11">
        <v>573.46</v>
      </c>
      <c r="K176" s="11">
        <v>-0.24142</v>
      </c>
      <c r="L176" s="11">
        <v>47.673000000000002</v>
      </c>
      <c r="M176" s="11">
        <v>6.9003999999999996E-2</v>
      </c>
      <c r="N176" s="2" t="s">
        <v>538</v>
      </c>
    </row>
    <row r="177" spans="1:14" ht="12.3">
      <c r="A177" s="11">
        <v>955</v>
      </c>
      <c r="B177" s="11">
        <v>2.0699999999999998</v>
      </c>
      <c r="C177" s="11">
        <v>0.25929000000000002</v>
      </c>
      <c r="D177" s="11">
        <v>3.8565999999999998</v>
      </c>
      <c r="E177" s="11">
        <v>21.855</v>
      </c>
      <c r="F177" s="11">
        <v>29.838000000000001</v>
      </c>
      <c r="G177" s="11">
        <v>216.77</v>
      </c>
      <c r="H177" s="11">
        <v>26.353999999999999</v>
      </c>
      <c r="I177" s="11">
        <v>34.722000000000001</v>
      </c>
      <c r="J177" s="11">
        <v>574.88</v>
      </c>
      <c r="K177" s="11">
        <v>-0.24575</v>
      </c>
      <c r="L177" s="11">
        <v>47.838000000000001</v>
      </c>
      <c r="M177" s="11">
        <v>6.9286E-2</v>
      </c>
      <c r="N177" s="2" t="s">
        <v>538</v>
      </c>
    </row>
    <row r="178" spans="1:14" ht="12.3">
      <c r="A178" s="11">
        <v>960</v>
      </c>
      <c r="B178" s="11">
        <v>2.0699999999999998</v>
      </c>
      <c r="C178" s="11">
        <v>0.25795000000000001</v>
      </c>
      <c r="D178" s="11">
        <v>3.8767999999999998</v>
      </c>
      <c r="E178" s="11">
        <v>21.986999999999998</v>
      </c>
      <c r="F178" s="11">
        <v>30.012</v>
      </c>
      <c r="G178" s="11">
        <v>216.95</v>
      </c>
      <c r="H178" s="11">
        <v>26.379000000000001</v>
      </c>
      <c r="I178" s="11">
        <v>34.746000000000002</v>
      </c>
      <c r="J178" s="11">
        <v>576.30999999999995</v>
      </c>
      <c r="K178" s="11">
        <v>-0.25002000000000002</v>
      </c>
      <c r="L178" s="11">
        <v>48.002000000000002</v>
      </c>
      <c r="M178" s="11">
        <v>6.9568000000000005E-2</v>
      </c>
      <c r="N178" s="2" t="s">
        <v>538</v>
      </c>
    </row>
    <row r="179" spans="1:14" ht="12.3">
      <c r="A179" s="11">
        <v>965</v>
      </c>
      <c r="B179" s="11">
        <v>2.0699999999999998</v>
      </c>
      <c r="C179" s="11">
        <v>0.25661</v>
      </c>
      <c r="D179" s="11">
        <v>3.8969</v>
      </c>
      <c r="E179" s="11">
        <v>22.119</v>
      </c>
      <c r="F179" s="11">
        <v>30.186</v>
      </c>
      <c r="G179" s="11">
        <v>217.13</v>
      </c>
      <c r="H179" s="11">
        <v>26.404</v>
      </c>
      <c r="I179" s="11">
        <v>34.771000000000001</v>
      </c>
      <c r="J179" s="11">
        <v>577.73</v>
      </c>
      <c r="K179" s="11">
        <v>-0.25423000000000001</v>
      </c>
      <c r="L179" s="11">
        <v>48.164999999999999</v>
      </c>
      <c r="M179" s="11">
        <v>6.9849999999999995E-2</v>
      </c>
      <c r="N179" s="2" t="s">
        <v>538</v>
      </c>
    </row>
    <row r="180" spans="1:14" ht="12.3">
      <c r="A180" s="11">
        <v>970</v>
      </c>
      <c r="B180" s="11">
        <v>2.0699999999999998</v>
      </c>
      <c r="C180" s="11">
        <v>0.25529000000000002</v>
      </c>
      <c r="D180" s="11">
        <v>3.9171</v>
      </c>
      <c r="E180" s="11">
        <v>22.251000000000001</v>
      </c>
      <c r="F180" s="11">
        <v>30.36</v>
      </c>
      <c r="G180" s="11">
        <v>217.31</v>
      </c>
      <c r="H180" s="11">
        <v>26.428999999999998</v>
      </c>
      <c r="I180" s="11">
        <v>34.795000000000002</v>
      </c>
      <c r="J180" s="11">
        <v>579.15</v>
      </c>
      <c r="K180" s="11">
        <v>-0.25839000000000001</v>
      </c>
      <c r="L180" s="11">
        <v>48.329000000000001</v>
      </c>
      <c r="M180" s="11">
        <v>7.0130999999999999E-2</v>
      </c>
      <c r="N180" s="2" t="s">
        <v>538</v>
      </c>
    </row>
    <row r="181" spans="1:14" ht="12.3">
      <c r="A181" s="11">
        <v>975</v>
      </c>
      <c r="B181" s="11">
        <v>2.0699999999999998</v>
      </c>
      <c r="C181" s="11">
        <v>0.25398999999999999</v>
      </c>
      <c r="D181" s="11">
        <v>3.9371999999999998</v>
      </c>
      <c r="E181" s="11">
        <v>22.384</v>
      </c>
      <c r="F181" s="11">
        <v>30.533999999999999</v>
      </c>
      <c r="G181" s="11">
        <v>217.49</v>
      </c>
      <c r="H181" s="11">
        <v>26.454000000000001</v>
      </c>
      <c r="I181" s="11">
        <v>34.819000000000003</v>
      </c>
      <c r="J181" s="11">
        <v>580.55999999999995</v>
      </c>
      <c r="K181" s="11">
        <v>-0.26247999999999999</v>
      </c>
      <c r="L181" s="11">
        <v>48.491999999999997</v>
      </c>
      <c r="M181" s="11">
        <v>7.0412000000000002E-2</v>
      </c>
      <c r="N181" s="2" t="s">
        <v>538</v>
      </c>
    </row>
    <row r="182" spans="1:14" ht="12.3">
      <c r="A182" s="11">
        <v>980</v>
      </c>
      <c r="B182" s="11">
        <v>2.0699999999999998</v>
      </c>
      <c r="C182" s="11">
        <v>0.25269000000000003</v>
      </c>
      <c r="D182" s="11">
        <v>3.9573999999999998</v>
      </c>
      <c r="E182" s="11">
        <v>22.515999999999998</v>
      </c>
      <c r="F182" s="11">
        <v>30.707999999999998</v>
      </c>
      <c r="G182" s="11">
        <v>217.66</v>
      </c>
      <c r="H182" s="11">
        <v>26.478000000000002</v>
      </c>
      <c r="I182" s="11">
        <v>34.841999999999999</v>
      </c>
      <c r="J182" s="11">
        <v>581.97</v>
      </c>
      <c r="K182" s="11">
        <v>-0.26651999999999998</v>
      </c>
      <c r="L182" s="11">
        <v>48.654000000000003</v>
      </c>
      <c r="M182" s="11">
        <v>7.0692000000000005E-2</v>
      </c>
      <c r="N182" s="2" t="s">
        <v>538</v>
      </c>
    </row>
    <row r="183" spans="1:14" ht="12.3">
      <c r="A183" s="11">
        <v>985</v>
      </c>
      <c r="B183" s="11">
        <v>2.0699999999999998</v>
      </c>
      <c r="C183" s="11">
        <v>0.25141000000000002</v>
      </c>
      <c r="D183" s="11">
        <v>3.9775</v>
      </c>
      <c r="E183" s="11">
        <v>22.649000000000001</v>
      </c>
      <c r="F183" s="11">
        <v>30.882000000000001</v>
      </c>
      <c r="G183" s="11">
        <v>217.84</v>
      </c>
      <c r="H183" s="11">
        <v>26.501999999999999</v>
      </c>
      <c r="I183" s="11">
        <v>34.866</v>
      </c>
      <c r="J183" s="11">
        <v>583.38</v>
      </c>
      <c r="K183" s="11">
        <v>-0.27050000000000002</v>
      </c>
      <c r="L183" s="11">
        <v>48.817</v>
      </c>
      <c r="M183" s="11">
        <v>7.0971999999999993E-2</v>
      </c>
      <c r="N183" s="2" t="s">
        <v>538</v>
      </c>
    </row>
    <row r="184" spans="1:14" ht="12.3">
      <c r="A184" s="11">
        <v>990</v>
      </c>
      <c r="B184" s="11">
        <v>2.0699999999999998</v>
      </c>
      <c r="C184" s="11">
        <v>0.25014999999999998</v>
      </c>
      <c r="D184" s="11">
        <v>3.9977</v>
      </c>
      <c r="E184" s="11">
        <v>22.780999999999999</v>
      </c>
      <c r="F184" s="11">
        <v>31.056000000000001</v>
      </c>
      <c r="G184" s="11">
        <v>218.02</v>
      </c>
      <c r="H184" s="11">
        <v>26.526</v>
      </c>
      <c r="I184" s="11">
        <v>34.889000000000003</v>
      </c>
      <c r="J184" s="11">
        <v>584.78</v>
      </c>
      <c r="K184" s="11">
        <v>-0.27443000000000001</v>
      </c>
      <c r="L184" s="11">
        <v>48.978999999999999</v>
      </c>
      <c r="M184" s="11">
        <v>7.1251999999999996E-2</v>
      </c>
      <c r="N184" s="2" t="s">
        <v>538</v>
      </c>
    </row>
    <row r="185" spans="1:14" ht="12.3">
      <c r="A185" s="11">
        <v>995</v>
      </c>
      <c r="B185" s="11">
        <v>2.0699999999999998</v>
      </c>
      <c r="C185" s="11">
        <v>0.24889</v>
      </c>
      <c r="D185" s="11">
        <v>4.0178000000000003</v>
      </c>
      <c r="E185" s="11">
        <v>22.914000000000001</v>
      </c>
      <c r="F185" s="11">
        <v>31.231000000000002</v>
      </c>
      <c r="G185" s="11">
        <v>218.19</v>
      </c>
      <c r="H185" s="11">
        <v>26.55</v>
      </c>
      <c r="I185" s="11">
        <v>34.911999999999999</v>
      </c>
      <c r="J185" s="11">
        <v>586.17999999999995</v>
      </c>
      <c r="K185" s="11">
        <v>-0.27831</v>
      </c>
      <c r="L185" s="11">
        <v>49.14</v>
      </c>
      <c r="M185" s="11">
        <v>7.1530999999999997E-2</v>
      </c>
      <c r="N185" s="2" t="s">
        <v>538</v>
      </c>
    </row>
    <row r="186" spans="1:14" ht="12.3">
      <c r="A186" s="11">
        <v>1000</v>
      </c>
      <c r="B186" s="11">
        <v>2.0699999999999998</v>
      </c>
      <c r="C186" s="11">
        <v>0.24765000000000001</v>
      </c>
      <c r="D186" s="11">
        <v>4.0378999999999996</v>
      </c>
      <c r="E186" s="11">
        <v>23.047000000000001</v>
      </c>
      <c r="F186" s="11">
        <v>31.405999999999999</v>
      </c>
      <c r="G186" s="11">
        <v>218.37</v>
      </c>
      <c r="H186" s="11">
        <v>26.573</v>
      </c>
      <c r="I186" s="11">
        <v>34.935000000000002</v>
      </c>
      <c r="J186" s="11">
        <v>587.58000000000004</v>
      </c>
      <c r="K186" s="11">
        <v>-0.28214</v>
      </c>
      <c r="L186" s="11">
        <v>49.301000000000002</v>
      </c>
      <c r="M186" s="11">
        <v>7.1809999999999999E-2</v>
      </c>
      <c r="N186" s="2" t="s">
        <v>538</v>
      </c>
    </row>
    <row r="187" spans="1:14" ht="12.3">
      <c r="A187" s="11">
        <v>1005</v>
      </c>
      <c r="B187" s="11">
        <v>2.0699999999999998</v>
      </c>
      <c r="C187" s="11">
        <v>0.24642</v>
      </c>
      <c r="D187" s="11">
        <v>4.0580999999999996</v>
      </c>
      <c r="E187" s="11">
        <v>23.18</v>
      </c>
      <c r="F187" s="11">
        <v>31.58</v>
      </c>
      <c r="G187" s="11">
        <v>218.54</v>
      </c>
      <c r="H187" s="11">
        <v>26.596</v>
      </c>
      <c r="I187" s="11">
        <v>34.957999999999998</v>
      </c>
      <c r="J187" s="11">
        <v>588.97</v>
      </c>
      <c r="K187" s="11">
        <v>-0.28591</v>
      </c>
      <c r="L187" s="11">
        <v>49.462000000000003</v>
      </c>
      <c r="M187" s="11">
        <v>7.2089E-2</v>
      </c>
      <c r="N187" s="2" t="s">
        <v>538</v>
      </c>
    </row>
    <row r="188" spans="1:14" ht="12.3">
      <c r="A188" s="11">
        <v>1010</v>
      </c>
      <c r="B188" s="11">
        <v>2.0699999999999998</v>
      </c>
      <c r="C188" s="11">
        <v>0.24521000000000001</v>
      </c>
      <c r="D188" s="11">
        <v>4.0781999999999998</v>
      </c>
      <c r="E188" s="11">
        <v>23.312999999999999</v>
      </c>
      <c r="F188" s="11">
        <v>31.754999999999999</v>
      </c>
      <c r="G188" s="11">
        <v>218.72</v>
      </c>
      <c r="H188" s="11">
        <v>26.62</v>
      </c>
      <c r="I188" s="11">
        <v>34.981000000000002</v>
      </c>
      <c r="J188" s="11">
        <v>590.36</v>
      </c>
      <c r="K188" s="11">
        <v>-0.28963</v>
      </c>
      <c r="L188" s="11">
        <v>49.622999999999998</v>
      </c>
      <c r="M188" s="11">
        <v>7.2367000000000001E-2</v>
      </c>
      <c r="N188" s="2" t="s">
        <v>538</v>
      </c>
    </row>
    <row r="189" spans="1:14" ht="12.3">
      <c r="A189" s="11">
        <v>1015</v>
      </c>
      <c r="B189" s="11">
        <v>2.0699999999999998</v>
      </c>
      <c r="C189" s="11">
        <v>0.24399999999999999</v>
      </c>
      <c r="D189" s="11">
        <v>4.0983999999999998</v>
      </c>
      <c r="E189" s="11">
        <v>23.446999999999999</v>
      </c>
      <c r="F189" s="11">
        <v>31.93</v>
      </c>
      <c r="G189" s="11">
        <v>218.89</v>
      </c>
      <c r="H189" s="11">
        <v>26.641999999999999</v>
      </c>
      <c r="I189" s="11">
        <v>35.003</v>
      </c>
      <c r="J189" s="11">
        <v>591.75</v>
      </c>
      <c r="K189" s="11">
        <v>-0.29331000000000002</v>
      </c>
      <c r="L189" s="11">
        <v>49.783000000000001</v>
      </c>
      <c r="M189" s="11">
        <v>7.2645000000000001E-2</v>
      </c>
      <c r="N189" s="2" t="s">
        <v>538</v>
      </c>
    </row>
    <row r="190" spans="1:14" ht="12.3">
      <c r="A190" s="11">
        <v>1020</v>
      </c>
      <c r="B190" s="11">
        <v>2.0699999999999998</v>
      </c>
      <c r="C190" s="11">
        <v>0.24281</v>
      </c>
      <c r="D190" s="11">
        <v>4.1185</v>
      </c>
      <c r="E190" s="11">
        <v>23.58</v>
      </c>
      <c r="F190" s="11">
        <v>32.104999999999997</v>
      </c>
      <c r="G190" s="11">
        <v>219.06</v>
      </c>
      <c r="H190" s="11">
        <v>26.664999999999999</v>
      </c>
      <c r="I190" s="11">
        <v>35.024999999999999</v>
      </c>
      <c r="J190" s="11">
        <v>593.13</v>
      </c>
      <c r="K190" s="11">
        <v>-0.29693000000000003</v>
      </c>
      <c r="L190" s="11">
        <v>49.942999999999998</v>
      </c>
      <c r="M190" s="11">
        <v>7.2923000000000002E-2</v>
      </c>
      <c r="N190" s="2" t="s">
        <v>538</v>
      </c>
    </row>
    <row r="191" spans="1:14" ht="12.3">
      <c r="A191" s="11">
        <v>1025</v>
      </c>
      <c r="B191" s="11">
        <v>2.0699999999999998</v>
      </c>
      <c r="C191" s="11">
        <v>0.24163000000000001</v>
      </c>
      <c r="D191" s="11">
        <v>4.1386000000000003</v>
      </c>
      <c r="E191" s="11">
        <v>23.713000000000001</v>
      </c>
      <c r="F191" s="11">
        <v>32.28</v>
      </c>
      <c r="G191" s="11">
        <v>219.23</v>
      </c>
      <c r="H191" s="11">
        <v>26.687999999999999</v>
      </c>
      <c r="I191" s="11">
        <v>35.046999999999997</v>
      </c>
      <c r="J191" s="11">
        <v>594.51</v>
      </c>
      <c r="K191" s="11">
        <v>-0.30051</v>
      </c>
      <c r="L191" s="11">
        <v>50.103000000000002</v>
      </c>
      <c r="M191" s="11">
        <v>7.3201000000000002E-2</v>
      </c>
      <c r="N191" s="2" t="s">
        <v>538</v>
      </c>
    </row>
    <row r="192" spans="1:14" ht="12.3">
      <c r="A192" s="11">
        <v>1030</v>
      </c>
      <c r="B192" s="11">
        <v>2.0699999999999998</v>
      </c>
      <c r="C192" s="11">
        <v>0.24046000000000001</v>
      </c>
      <c r="D192" s="11">
        <v>4.1588000000000003</v>
      </c>
      <c r="E192" s="11">
        <v>23.847000000000001</v>
      </c>
      <c r="F192" s="11">
        <v>32.456000000000003</v>
      </c>
      <c r="G192" s="11">
        <v>219.4</v>
      </c>
      <c r="H192" s="11">
        <v>26.71</v>
      </c>
      <c r="I192" s="11">
        <v>35.069000000000003</v>
      </c>
      <c r="J192" s="11">
        <v>595.89</v>
      </c>
      <c r="K192" s="11">
        <v>-0.30403999999999998</v>
      </c>
      <c r="L192" s="11">
        <v>50.262</v>
      </c>
      <c r="M192" s="11">
        <v>7.3478000000000002E-2</v>
      </c>
      <c r="N192" s="2" t="s">
        <v>538</v>
      </c>
    </row>
    <row r="193" spans="1:14" ht="12.3">
      <c r="A193" s="11">
        <v>1035</v>
      </c>
      <c r="B193" s="11">
        <v>2.0699999999999998</v>
      </c>
      <c r="C193" s="11">
        <v>0.23930000000000001</v>
      </c>
      <c r="D193" s="11">
        <v>4.1788999999999996</v>
      </c>
      <c r="E193" s="11">
        <v>23.981000000000002</v>
      </c>
      <c r="F193" s="11">
        <v>32.631</v>
      </c>
      <c r="G193" s="11">
        <v>219.57</v>
      </c>
      <c r="H193" s="11">
        <v>26.731999999999999</v>
      </c>
      <c r="I193" s="11">
        <v>35.090000000000003</v>
      </c>
      <c r="J193" s="11">
        <v>597.26</v>
      </c>
      <c r="K193" s="11">
        <v>-0.30753000000000003</v>
      </c>
      <c r="L193" s="11">
        <v>50.420999999999999</v>
      </c>
      <c r="M193" s="11">
        <v>7.3754E-2</v>
      </c>
      <c r="N193" s="2" t="s">
        <v>538</v>
      </c>
    </row>
    <row r="194" spans="1:14" ht="12.3">
      <c r="A194" s="11">
        <v>1040</v>
      </c>
      <c r="B194" s="11">
        <v>2.0699999999999998</v>
      </c>
      <c r="C194" s="11">
        <v>0.23815</v>
      </c>
      <c r="D194" s="11">
        <v>4.1989999999999998</v>
      </c>
      <c r="E194" s="11">
        <v>24.114999999999998</v>
      </c>
      <c r="F194" s="11">
        <v>32.807000000000002</v>
      </c>
      <c r="G194" s="11">
        <v>219.74</v>
      </c>
      <c r="H194" s="11">
        <v>26.754000000000001</v>
      </c>
      <c r="I194" s="11">
        <v>35.112000000000002</v>
      </c>
      <c r="J194" s="11">
        <v>598.63</v>
      </c>
      <c r="K194" s="11">
        <v>-0.31097000000000002</v>
      </c>
      <c r="L194" s="11">
        <v>50.579000000000001</v>
      </c>
      <c r="M194" s="11">
        <v>7.4031E-2</v>
      </c>
      <c r="N194" s="2" t="s">
        <v>538</v>
      </c>
    </row>
    <row r="195" spans="1:14" ht="12.3">
      <c r="A195" s="11">
        <v>1045</v>
      </c>
      <c r="B195" s="11">
        <v>2.0699999999999998</v>
      </c>
      <c r="C195" s="11">
        <v>0.23701</v>
      </c>
      <c r="D195" s="11">
        <v>4.2191999999999998</v>
      </c>
      <c r="E195" s="11">
        <v>24.248000000000001</v>
      </c>
      <c r="F195" s="11">
        <v>32.981999999999999</v>
      </c>
      <c r="G195" s="11">
        <v>219.91</v>
      </c>
      <c r="H195" s="11">
        <v>26.776</v>
      </c>
      <c r="I195" s="11">
        <v>35.133000000000003</v>
      </c>
      <c r="J195" s="11">
        <v>600</v>
      </c>
      <c r="K195" s="11">
        <v>-0.31436999999999998</v>
      </c>
      <c r="L195" s="11">
        <v>50.738</v>
      </c>
      <c r="M195" s="11">
        <v>7.4306999999999998E-2</v>
      </c>
      <c r="N195" s="2" t="s">
        <v>538</v>
      </c>
    </row>
    <row r="196" spans="1:14" ht="12.3">
      <c r="A196" s="11">
        <v>1050</v>
      </c>
      <c r="B196" s="11">
        <v>2.0699999999999998</v>
      </c>
      <c r="C196" s="11">
        <v>0.23588999999999999</v>
      </c>
      <c r="D196" s="11">
        <v>4.2393000000000001</v>
      </c>
      <c r="E196" s="11">
        <v>24.382999999999999</v>
      </c>
      <c r="F196" s="11">
        <v>33.158000000000001</v>
      </c>
      <c r="G196" s="11">
        <v>220.08</v>
      </c>
      <c r="H196" s="11">
        <v>26.797000000000001</v>
      </c>
      <c r="I196" s="11">
        <v>35.154000000000003</v>
      </c>
      <c r="J196" s="11">
        <v>601.36</v>
      </c>
      <c r="K196" s="11">
        <v>-0.31772</v>
      </c>
      <c r="L196" s="11">
        <v>50.896000000000001</v>
      </c>
      <c r="M196" s="11">
        <v>7.4582999999999997E-2</v>
      </c>
      <c r="N196" s="2" t="s">
        <v>538</v>
      </c>
    </row>
    <row r="197" spans="1:14" ht="12.3">
      <c r="A197" s="11">
        <v>1055</v>
      </c>
      <c r="B197" s="11">
        <v>2.0699999999999998</v>
      </c>
      <c r="C197" s="11">
        <v>0.23477000000000001</v>
      </c>
      <c r="D197" s="11">
        <v>4.2594000000000003</v>
      </c>
      <c r="E197" s="11">
        <v>24.516999999999999</v>
      </c>
      <c r="F197" s="11">
        <v>33.334000000000003</v>
      </c>
      <c r="G197" s="11">
        <v>220.25</v>
      </c>
      <c r="H197" s="11">
        <v>26.818999999999999</v>
      </c>
      <c r="I197" s="11">
        <v>35.174999999999997</v>
      </c>
      <c r="J197" s="11">
        <v>602.72</v>
      </c>
      <c r="K197" s="11">
        <v>-0.32102999999999998</v>
      </c>
      <c r="L197" s="11">
        <v>51.052999999999997</v>
      </c>
      <c r="M197" s="11">
        <v>7.4857999999999994E-2</v>
      </c>
      <c r="N197" s="2" t="s">
        <v>538</v>
      </c>
    </row>
    <row r="198" spans="1:14" ht="12.3">
      <c r="A198" s="11">
        <v>1060</v>
      </c>
      <c r="B198" s="11">
        <v>2.0699999999999998</v>
      </c>
      <c r="C198" s="11">
        <v>0.23366999999999999</v>
      </c>
      <c r="D198" s="11">
        <v>4.2796000000000003</v>
      </c>
      <c r="E198" s="11">
        <v>24.651</v>
      </c>
      <c r="F198" s="11">
        <v>33.51</v>
      </c>
      <c r="G198" s="11">
        <v>220.41</v>
      </c>
      <c r="H198" s="11">
        <v>26.84</v>
      </c>
      <c r="I198" s="11">
        <v>35.195999999999998</v>
      </c>
      <c r="J198" s="11">
        <v>604.08000000000004</v>
      </c>
      <c r="K198" s="11">
        <v>-0.32429999999999998</v>
      </c>
      <c r="L198" s="11">
        <v>51.210999999999999</v>
      </c>
      <c r="M198" s="11">
        <v>7.5133000000000005E-2</v>
      </c>
      <c r="N198" s="2" t="s">
        <v>538</v>
      </c>
    </row>
    <row r="199" spans="1:14" ht="12.3">
      <c r="A199" s="11">
        <v>1065</v>
      </c>
      <c r="B199" s="11">
        <v>2.0699999999999998</v>
      </c>
      <c r="C199" s="11">
        <v>0.23257</v>
      </c>
      <c r="D199" s="11">
        <v>4.2996999999999996</v>
      </c>
      <c r="E199" s="11">
        <v>24.785</v>
      </c>
      <c r="F199" s="11">
        <v>33.686</v>
      </c>
      <c r="G199" s="11">
        <v>220.58</v>
      </c>
      <c r="H199" s="11">
        <v>26.861000000000001</v>
      </c>
      <c r="I199" s="11">
        <v>35.216000000000001</v>
      </c>
      <c r="J199" s="11">
        <v>605.44000000000005</v>
      </c>
      <c r="K199" s="11">
        <v>-0.32752999999999999</v>
      </c>
      <c r="L199" s="11">
        <v>51.368000000000002</v>
      </c>
      <c r="M199" s="11">
        <v>7.5408000000000003E-2</v>
      </c>
      <c r="N199" s="2" t="s">
        <v>538</v>
      </c>
    </row>
    <row r="200" spans="1:14" ht="12.3">
      <c r="A200" s="11">
        <v>1070</v>
      </c>
      <c r="B200" s="11">
        <v>2.0699999999999998</v>
      </c>
      <c r="C200" s="11">
        <v>0.23149</v>
      </c>
      <c r="D200" s="11">
        <v>4.3197999999999999</v>
      </c>
      <c r="E200" s="11">
        <v>24.92</v>
      </c>
      <c r="F200" s="11">
        <v>33.862000000000002</v>
      </c>
      <c r="G200" s="11">
        <v>220.74</v>
      </c>
      <c r="H200" s="11">
        <v>26.882000000000001</v>
      </c>
      <c r="I200" s="11">
        <v>35.237000000000002</v>
      </c>
      <c r="J200" s="11">
        <v>606.79</v>
      </c>
      <c r="K200" s="11">
        <v>-0.33072000000000001</v>
      </c>
      <c r="L200" s="11">
        <v>51.524999999999999</v>
      </c>
      <c r="M200" s="11">
        <v>7.5681999999999999E-2</v>
      </c>
      <c r="N200" s="2" t="s">
        <v>538</v>
      </c>
    </row>
    <row r="201" spans="1:14" ht="12.3">
      <c r="A201" s="11">
        <v>1075</v>
      </c>
      <c r="B201" s="11">
        <v>2.0699999999999998</v>
      </c>
      <c r="C201" s="11">
        <v>0.23042000000000001</v>
      </c>
      <c r="D201" s="11">
        <v>4.34</v>
      </c>
      <c r="E201" s="11">
        <v>25.053999999999998</v>
      </c>
      <c r="F201" s="11">
        <v>34.037999999999997</v>
      </c>
      <c r="G201" s="11">
        <v>220.91</v>
      </c>
      <c r="H201" s="11">
        <v>26.902000000000001</v>
      </c>
      <c r="I201" s="11">
        <v>35.256999999999998</v>
      </c>
      <c r="J201" s="11">
        <v>608.14</v>
      </c>
      <c r="K201" s="11">
        <v>-0.33385999999999999</v>
      </c>
      <c r="L201" s="11">
        <v>51.680999999999997</v>
      </c>
      <c r="M201" s="11">
        <v>7.5956999999999997E-2</v>
      </c>
      <c r="N201" s="2" t="s">
        <v>538</v>
      </c>
    </row>
    <row r="202" spans="1:14" ht="12.3">
      <c r="A202" s="11">
        <v>1080</v>
      </c>
      <c r="B202" s="11">
        <v>2.0699999999999998</v>
      </c>
      <c r="C202" s="11">
        <v>0.22935</v>
      </c>
      <c r="D202" s="11">
        <v>4.3601000000000001</v>
      </c>
      <c r="E202" s="11">
        <v>25.189</v>
      </c>
      <c r="F202" s="11">
        <v>34.213999999999999</v>
      </c>
      <c r="G202" s="11">
        <v>221.07</v>
      </c>
      <c r="H202" s="11">
        <v>26.922999999999998</v>
      </c>
      <c r="I202" s="11">
        <v>35.277000000000001</v>
      </c>
      <c r="J202" s="11">
        <v>609.48</v>
      </c>
      <c r="K202" s="11">
        <v>-0.33696999999999999</v>
      </c>
      <c r="L202" s="11">
        <v>51.837000000000003</v>
      </c>
      <c r="M202" s="11">
        <v>7.6230999999999993E-2</v>
      </c>
      <c r="N202" s="2" t="s">
        <v>538</v>
      </c>
    </row>
    <row r="203" spans="1:14" ht="12.3">
      <c r="A203" s="11">
        <v>1085</v>
      </c>
      <c r="B203" s="11">
        <v>2.0699999999999998</v>
      </c>
      <c r="C203" s="11">
        <v>0.2283</v>
      </c>
      <c r="D203" s="11">
        <v>4.3802000000000003</v>
      </c>
      <c r="E203" s="11">
        <v>25.324000000000002</v>
      </c>
      <c r="F203" s="11">
        <v>34.390999999999998</v>
      </c>
      <c r="G203" s="11">
        <v>221.23</v>
      </c>
      <c r="H203" s="11">
        <v>26.943000000000001</v>
      </c>
      <c r="I203" s="11">
        <v>35.296999999999997</v>
      </c>
      <c r="J203" s="11">
        <v>610.83000000000004</v>
      </c>
      <c r="K203" s="11">
        <v>-0.34004000000000001</v>
      </c>
      <c r="L203" s="11">
        <v>51.993000000000002</v>
      </c>
      <c r="M203" s="11">
        <v>7.6504000000000003E-2</v>
      </c>
      <c r="N203" s="2" t="s">
        <v>538</v>
      </c>
    </row>
    <row r="204" spans="1:14" ht="12.3">
      <c r="A204" s="11">
        <v>1090</v>
      </c>
      <c r="B204" s="11">
        <v>2.0699999999999998</v>
      </c>
      <c r="C204" s="11">
        <v>0.22725000000000001</v>
      </c>
      <c r="D204" s="11">
        <v>4.4004000000000003</v>
      </c>
      <c r="E204" s="11">
        <v>25.459</v>
      </c>
      <c r="F204" s="11">
        <v>34.567</v>
      </c>
      <c r="G204" s="11">
        <v>221.4</v>
      </c>
      <c r="H204" s="11">
        <v>26.963999999999999</v>
      </c>
      <c r="I204" s="11">
        <v>35.317</v>
      </c>
      <c r="J204" s="11">
        <v>612.16999999999996</v>
      </c>
      <c r="K204" s="11">
        <v>-0.34306999999999999</v>
      </c>
      <c r="L204" s="11">
        <v>52.149000000000001</v>
      </c>
      <c r="M204" s="11">
        <v>7.6777999999999999E-2</v>
      </c>
      <c r="N204" s="2" t="s">
        <v>538</v>
      </c>
    </row>
    <row r="205" spans="1:14" ht="12.3">
      <c r="A205" s="11">
        <v>1095</v>
      </c>
      <c r="B205" s="11">
        <v>2.0699999999999998</v>
      </c>
      <c r="C205" s="11">
        <v>0.22622</v>
      </c>
      <c r="D205" s="11">
        <v>4.4204999999999997</v>
      </c>
      <c r="E205" s="11">
        <v>25.594000000000001</v>
      </c>
      <c r="F205" s="11">
        <v>34.744</v>
      </c>
      <c r="G205" s="11">
        <v>221.56</v>
      </c>
      <c r="H205" s="11">
        <v>26.984000000000002</v>
      </c>
      <c r="I205" s="11">
        <v>35.335999999999999</v>
      </c>
      <c r="J205" s="11">
        <v>613.5</v>
      </c>
      <c r="K205" s="11">
        <v>-0.34606999999999999</v>
      </c>
      <c r="L205" s="11">
        <v>52.304000000000002</v>
      </c>
      <c r="M205" s="11">
        <v>7.7050999999999994E-2</v>
      </c>
      <c r="N205" s="2" t="s">
        <v>538</v>
      </c>
    </row>
    <row r="206" spans="1:14" ht="12.3">
      <c r="A206" s="11">
        <v>1100</v>
      </c>
      <c r="B206" s="11">
        <v>2.0699999999999998</v>
      </c>
      <c r="C206" s="11">
        <v>0.22519</v>
      </c>
      <c r="D206" s="11">
        <v>4.4405999999999999</v>
      </c>
      <c r="E206" s="11">
        <v>25.728999999999999</v>
      </c>
      <c r="F206" s="11">
        <v>34.920999999999999</v>
      </c>
      <c r="G206" s="11">
        <v>221.72</v>
      </c>
      <c r="H206" s="11">
        <v>27.003</v>
      </c>
      <c r="I206" s="11">
        <v>35.356000000000002</v>
      </c>
      <c r="J206" s="11">
        <v>614.84</v>
      </c>
      <c r="K206" s="11">
        <v>-0.34903000000000001</v>
      </c>
      <c r="L206" s="11">
        <v>52.459000000000003</v>
      </c>
      <c r="M206" s="11">
        <v>7.7323000000000003E-2</v>
      </c>
      <c r="N206" s="2" t="s">
        <v>538</v>
      </c>
    </row>
    <row r="207" spans="1:14" ht="12.3">
      <c r="A207" s="11">
        <v>1105</v>
      </c>
      <c r="B207" s="11">
        <v>2.0699999999999998</v>
      </c>
      <c r="C207" s="11">
        <v>0.22417999999999999</v>
      </c>
      <c r="D207" s="11">
        <v>4.4607999999999999</v>
      </c>
      <c r="E207" s="11">
        <v>25.864000000000001</v>
      </c>
      <c r="F207" s="11">
        <v>35.097999999999999</v>
      </c>
      <c r="G207" s="11">
        <v>221.88</v>
      </c>
      <c r="H207" s="11">
        <v>27.023</v>
      </c>
      <c r="I207" s="11">
        <v>35.375</v>
      </c>
      <c r="J207" s="11">
        <v>616.16999999999996</v>
      </c>
      <c r="K207" s="11">
        <v>-0.35194999999999999</v>
      </c>
      <c r="L207" s="11">
        <v>52.613999999999997</v>
      </c>
      <c r="M207" s="11">
        <v>7.7595999999999998E-2</v>
      </c>
      <c r="N207" s="2" t="s">
        <v>538</v>
      </c>
    </row>
    <row r="208" spans="1:14" ht="12.3">
      <c r="A208" s="11">
        <v>1110</v>
      </c>
      <c r="B208" s="11">
        <v>2.0699999999999998</v>
      </c>
      <c r="C208" s="11">
        <v>0.22317000000000001</v>
      </c>
      <c r="D208" s="11">
        <v>4.4809000000000001</v>
      </c>
      <c r="E208" s="11">
        <v>25.998999999999999</v>
      </c>
      <c r="F208" s="11">
        <v>35.274000000000001</v>
      </c>
      <c r="G208" s="11">
        <v>222.04</v>
      </c>
      <c r="H208" s="11">
        <v>27.042999999999999</v>
      </c>
      <c r="I208" s="11">
        <v>35.393999999999998</v>
      </c>
      <c r="J208" s="11">
        <v>617.5</v>
      </c>
      <c r="K208" s="11">
        <v>-0.35483999999999999</v>
      </c>
      <c r="L208" s="11">
        <v>52.768000000000001</v>
      </c>
      <c r="M208" s="11">
        <v>7.7868000000000007E-2</v>
      </c>
      <c r="N208" s="2" t="s">
        <v>538</v>
      </c>
    </row>
    <row r="209" spans="1:14" ht="12.3">
      <c r="A209" s="11">
        <v>1115</v>
      </c>
      <c r="B209" s="11">
        <v>2.0699999999999998</v>
      </c>
      <c r="C209" s="11">
        <v>0.22217000000000001</v>
      </c>
      <c r="D209" s="11">
        <v>4.5010000000000003</v>
      </c>
      <c r="E209" s="11">
        <v>26.134</v>
      </c>
      <c r="F209" s="11">
        <v>35.451000000000001</v>
      </c>
      <c r="G209" s="11">
        <v>222.2</v>
      </c>
      <c r="H209" s="11">
        <v>27.062000000000001</v>
      </c>
      <c r="I209" s="11">
        <v>35.412999999999997</v>
      </c>
      <c r="J209" s="11">
        <v>618.82000000000005</v>
      </c>
      <c r="K209" s="11">
        <v>-0.35769000000000001</v>
      </c>
      <c r="L209" s="11">
        <v>52.921999999999997</v>
      </c>
      <c r="M209" s="11">
        <v>7.8140000000000001E-2</v>
      </c>
      <c r="N209" s="2" t="s">
        <v>538</v>
      </c>
    </row>
    <row r="210" spans="1:14" ht="12.3">
      <c r="A210" s="11">
        <v>1120</v>
      </c>
      <c r="B210" s="11">
        <v>2.0699999999999998</v>
      </c>
      <c r="C210" s="11">
        <v>0.22117999999999999</v>
      </c>
      <c r="D210" s="11">
        <v>4.5210999999999997</v>
      </c>
      <c r="E210" s="11">
        <v>26.27</v>
      </c>
      <c r="F210" s="11">
        <v>35.628999999999998</v>
      </c>
      <c r="G210" s="11">
        <v>222.36</v>
      </c>
      <c r="H210" s="11">
        <v>27.081</v>
      </c>
      <c r="I210" s="11">
        <v>35.432000000000002</v>
      </c>
      <c r="J210" s="11">
        <v>620.14</v>
      </c>
      <c r="K210" s="11">
        <v>-0.36051</v>
      </c>
      <c r="L210" s="11">
        <v>53.076000000000001</v>
      </c>
      <c r="M210" s="11">
        <v>7.8410999999999995E-2</v>
      </c>
      <c r="N210" s="2" t="s">
        <v>538</v>
      </c>
    </row>
    <row r="211" spans="1:14" ht="12.3">
      <c r="A211" s="11">
        <v>1125</v>
      </c>
      <c r="B211" s="11">
        <v>2.0699999999999998</v>
      </c>
      <c r="C211" s="11">
        <v>0.22020000000000001</v>
      </c>
      <c r="D211" s="11">
        <v>4.5412999999999997</v>
      </c>
      <c r="E211" s="11">
        <v>26.405000000000001</v>
      </c>
      <c r="F211" s="11">
        <v>35.805999999999997</v>
      </c>
      <c r="G211" s="11">
        <v>222.51</v>
      </c>
      <c r="H211" s="11">
        <v>27.100999999999999</v>
      </c>
      <c r="I211" s="11">
        <v>35.451000000000001</v>
      </c>
      <c r="J211" s="11">
        <v>621.46</v>
      </c>
      <c r="K211" s="11">
        <v>-0.36329</v>
      </c>
      <c r="L211" s="11">
        <v>53.23</v>
      </c>
      <c r="M211" s="11">
        <v>7.8683000000000003E-2</v>
      </c>
      <c r="N211" s="2" t="s">
        <v>538</v>
      </c>
    </row>
    <row r="212" spans="1:14" ht="12.3">
      <c r="A212" s="11">
        <v>1130</v>
      </c>
      <c r="B212" s="11">
        <v>2.0699999999999998</v>
      </c>
      <c r="C212" s="11">
        <v>0.21923000000000001</v>
      </c>
      <c r="D212" s="11">
        <v>4.5613999999999999</v>
      </c>
      <c r="E212" s="11">
        <v>26.541</v>
      </c>
      <c r="F212" s="11">
        <v>35.982999999999997</v>
      </c>
      <c r="G212" s="11">
        <v>222.67</v>
      </c>
      <c r="H212" s="11">
        <v>27.12</v>
      </c>
      <c r="I212" s="11">
        <v>35.469000000000001</v>
      </c>
      <c r="J212" s="11">
        <v>622.78</v>
      </c>
      <c r="K212" s="11">
        <v>-0.36603999999999998</v>
      </c>
      <c r="L212" s="11">
        <v>53.383000000000003</v>
      </c>
      <c r="M212" s="11">
        <v>7.8953999999999996E-2</v>
      </c>
      <c r="N212" s="2" t="s">
        <v>538</v>
      </c>
    </row>
    <row r="213" spans="1:14" ht="12.3">
      <c r="A213" s="11">
        <v>1135</v>
      </c>
      <c r="B213" s="11">
        <v>2.0699999999999998</v>
      </c>
      <c r="C213" s="11">
        <v>0.21826999999999999</v>
      </c>
      <c r="D213" s="11">
        <v>4.5815000000000001</v>
      </c>
      <c r="E213" s="11">
        <v>26.677</v>
      </c>
      <c r="F213" s="11">
        <v>36.161000000000001</v>
      </c>
      <c r="G213" s="11">
        <v>222.83</v>
      </c>
      <c r="H213" s="11">
        <v>27.138000000000002</v>
      </c>
      <c r="I213" s="11">
        <v>35.488</v>
      </c>
      <c r="J213" s="11">
        <v>624.1</v>
      </c>
      <c r="K213" s="11">
        <v>-0.36875999999999998</v>
      </c>
      <c r="L213" s="11">
        <v>53.536000000000001</v>
      </c>
      <c r="M213" s="11">
        <v>7.9225000000000004E-2</v>
      </c>
      <c r="N213" s="2" t="s">
        <v>538</v>
      </c>
    </row>
    <row r="214" spans="1:14" ht="12.3">
      <c r="A214" s="11">
        <v>1140</v>
      </c>
      <c r="B214" s="11">
        <v>2.0699999999999998</v>
      </c>
      <c r="C214" s="11">
        <v>0.21731</v>
      </c>
      <c r="D214" s="11">
        <v>4.6016000000000004</v>
      </c>
      <c r="E214" s="11">
        <v>26.812999999999999</v>
      </c>
      <c r="F214" s="11">
        <v>36.338000000000001</v>
      </c>
      <c r="G214" s="11">
        <v>222.98</v>
      </c>
      <c r="H214" s="11">
        <v>27.157</v>
      </c>
      <c r="I214" s="11">
        <v>35.506</v>
      </c>
      <c r="J214" s="11">
        <v>625.41</v>
      </c>
      <c r="K214" s="11">
        <v>-0.37145</v>
      </c>
      <c r="L214" s="11">
        <v>53.689</v>
      </c>
      <c r="M214" s="11">
        <v>7.9494999999999996E-2</v>
      </c>
      <c r="N214" s="2" t="s">
        <v>538</v>
      </c>
    </row>
    <row r="215" spans="1:14" ht="12.3">
      <c r="A215" s="11">
        <v>1145</v>
      </c>
      <c r="B215" s="11">
        <v>2.0699999999999998</v>
      </c>
      <c r="C215" s="11">
        <v>0.21637000000000001</v>
      </c>
      <c r="D215" s="11">
        <v>4.6218000000000004</v>
      </c>
      <c r="E215" s="11">
        <v>26.949000000000002</v>
      </c>
      <c r="F215" s="11">
        <v>36.515999999999998</v>
      </c>
      <c r="G215" s="11">
        <v>223.14</v>
      </c>
      <c r="H215" s="11">
        <v>27.175999999999998</v>
      </c>
      <c r="I215" s="11">
        <v>35.524000000000001</v>
      </c>
      <c r="J215" s="11">
        <v>626.71</v>
      </c>
      <c r="K215" s="11">
        <v>-0.37409999999999999</v>
      </c>
      <c r="L215" s="11">
        <v>53.841999999999999</v>
      </c>
      <c r="M215" s="11">
        <v>7.9765000000000003E-2</v>
      </c>
      <c r="N215" s="2" t="s">
        <v>538</v>
      </c>
    </row>
    <row r="216" spans="1:14" ht="12.3">
      <c r="A216" s="11">
        <v>1150</v>
      </c>
      <c r="B216" s="11">
        <v>2.0699999999999998</v>
      </c>
      <c r="C216" s="11">
        <v>0.21543000000000001</v>
      </c>
      <c r="D216" s="11">
        <v>4.6418999999999997</v>
      </c>
      <c r="E216" s="11">
        <v>27.085000000000001</v>
      </c>
      <c r="F216" s="11">
        <v>36.692999999999998</v>
      </c>
      <c r="G216" s="11">
        <v>223.3</v>
      </c>
      <c r="H216" s="11">
        <v>27.193999999999999</v>
      </c>
      <c r="I216" s="11">
        <v>35.542000000000002</v>
      </c>
      <c r="J216" s="11">
        <v>628.02</v>
      </c>
      <c r="K216" s="11">
        <v>-0.37672</v>
      </c>
      <c r="L216" s="11">
        <v>53.994</v>
      </c>
      <c r="M216" s="11">
        <v>8.0034999999999995E-2</v>
      </c>
      <c r="N216" s="2" t="s">
        <v>538</v>
      </c>
    </row>
    <row r="217" spans="1:14" ht="12.3">
      <c r="A217" s="11">
        <v>1155</v>
      </c>
      <c r="B217" s="11">
        <v>2.0699999999999998</v>
      </c>
      <c r="C217" s="11">
        <v>0.2145</v>
      </c>
      <c r="D217" s="11">
        <v>4.6619999999999999</v>
      </c>
      <c r="E217" s="11">
        <v>27.221</v>
      </c>
      <c r="F217" s="11">
        <v>36.871000000000002</v>
      </c>
      <c r="G217" s="11">
        <v>223.45</v>
      </c>
      <c r="H217" s="11">
        <v>27.212</v>
      </c>
      <c r="I217" s="11">
        <v>35.56</v>
      </c>
      <c r="J217" s="11">
        <v>629.32000000000005</v>
      </c>
      <c r="K217" s="11">
        <v>-0.37931999999999999</v>
      </c>
      <c r="L217" s="11">
        <v>54.146000000000001</v>
      </c>
      <c r="M217" s="11">
        <v>8.0305000000000001E-2</v>
      </c>
      <c r="N217" s="2" t="s">
        <v>538</v>
      </c>
    </row>
    <row r="218" spans="1:14" ht="12.3">
      <c r="A218" s="11">
        <v>1160</v>
      </c>
      <c r="B218" s="11">
        <v>2.0699999999999998</v>
      </c>
      <c r="C218" s="11">
        <v>0.21357999999999999</v>
      </c>
      <c r="D218" s="11">
        <v>4.6821000000000002</v>
      </c>
      <c r="E218" s="11">
        <v>27.356999999999999</v>
      </c>
      <c r="F218" s="11">
        <v>37.048999999999999</v>
      </c>
      <c r="G218" s="11">
        <v>223.6</v>
      </c>
      <c r="H218" s="11">
        <v>27.231000000000002</v>
      </c>
      <c r="I218" s="11">
        <v>35.578000000000003</v>
      </c>
      <c r="J218" s="11">
        <v>630.62</v>
      </c>
      <c r="K218" s="11">
        <v>-0.38188</v>
      </c>
      <c r="L218" s="11">
        <v>54.298000000000002</v>
      </c>
      <c r="M218" s="11">
        <v>8.0574000000000007E-2</v>
      </c>
      <c r="N218" s="2" t="s">
        <v>538</v>
      </c>
    </row>
    <row r="219" spans="1:14" ht="12.3">
      <c r="A219" s="11">
        <v>1165</v>
      </c>
      <c r="B219" s="11">
        <v>2.0699999999999998</v>
      </c>
      <c r="C219" s="11">
        <v>0.21265999999999999</v>
      </c>
      <c r="D219" s="11">
        <v>4.7023000000000001</v>
      </c>
      <c r="E219" s="11">
        <v>27.492999999999999</v>
      </c>
      <c r="F219" s="11">
        <v>37.226999999999997</v>
      </c>
      <c r="G219" s="11">
        <v>223.76</v>
      </c>
      <c r="H219" s="11">
        <v>27.248999999999999</v>
      </c>
      <c r="I219" s="11">
        <v>35.595999999999997</v>
      </c>
      <c r="J219" s="11">
        <v>631.91999999999996</v>
      </c>
      <c r="K219" s="11">
        <v>-0.38440999999999997</v>
      </c>
      <c r="L219" s="11">
        <v>54.448999999999998</v>
      </c>
      <c r="M219" s="11">
        <v>8.0842999999999998E-2</v>
      </c>
      <c r="N219" s="2" t="s">
        <v>538</v>
      </c>
    </row>
    <row r="220" spans="1:14" ht="12.3">
      <c r="A220" s="11">
        <v>1170</v>
      </c>
      <c r="B220" s="11">
        <v>2.0699999999999998</v>
      </c>
      <c r="C220" s="11">
        <v>0.21176</v>
      </c>
      <c r="D220" s="11">
        <v>4.7224000000000004</v>
      </c>
      <c r="E220" s="11">
        <v>27.629000000000001</v>
      </c>
      <c r="F220" s="11">
        <v>37.405000000000001</v>
      </c>
      <c r="G220" s="11">
        <v>223.91</v>
      </c>
      <c r="H220" s="11">
        <v>27.266999999999999</v>
      </c>
      <c r="I220" s="11">
        <v>35.613999999999997</v>
      </c>
      <c r="J220" s="11">
        <v>633.22</v>
      </c>
      <c r="K220" s="11">
        <v>-0.38691999999999999</v>
      </c>
      <c r="L220" s="11">
        <v>54.6</v>
      </c>
      <c r="M220" s="11">
        <v>8.1112000000000004E-2</v>
      </c>
      <c r="N220" s="2" t="s">
        <v>538</v>
      </c>
    </row>
    <row r="221" spans="1:14" ht="12.3">
      <c r="A221" s="11">
        <v>1175</v>
      </c>
      <c r="B221" s="11">
        <v>2.0699999999999998</v>
      </c>
      <c r="C221" s="11">
        <v>0.21085999999999999</v>
      </c>
      <c r="D221" s="11">
        <v>4.7424999999999997</v>
      </c>
      <c r="E221" s="11">
        <v>27.765999999999998</v>
      </c>
      <c r="F221" s="11">
        <v>37.582999999999998</v>
      </c>
      <c r="G221" s="11">
        <v>224.06</v>
      </c>
      <c r="H221" s="11">
        <v>27.283999999999999</v>
      </c>
      <c r="I221" s="11">
        <v>35.631</v>
      </c>
      <c r="J221" s="11">
        <v>634.51</v>
      </c>
      <c r="K221" s="11">
        <v>-0.38939000000000001</v>
      </c>
      <c r="L221" s="11">
        <v>54.750999999999998</v>
      </c>
      <c r="M221" s="11">
        <v>8.1380999999999995E-2</v>
      </c>
      <c r="N221" s="2" t="s">
        <v>538</v>
      </c>
    </row>
    <row r="222" spans="1:14" ht="12.3">
      <c r="A222" s="11">
        <v>1180</v>
      </c>
      <c r="B222" s="11">
        <v>2.0699999999999998</v>
      </c>
      <c r="C222" s="11">
        <v>0.20996999999999999</v>
      </c>
      <c r="D222" s="11">
        <v>4.7625999999999999</v>
      </c>
      <c r="E222" s="11">
        <v>27.902000000000001</v>
      </c>
      <c r="F222" s="11">
        <v>37.761000000000003</v>
      </c>
      <c r="G222" s="11">
        <v>224.21</v>
      </c>
      <c r="H222" s="11">
        <v>27.302</v>
      </c>
      <c r="I222" s="11">
        <v>35.648000000000003</v>
      </c>
      <c r="J222" s="11">
        <v>635.79999999999995</v>
      </c>
      <c r="K222" s="11">
        <v>-0.39184000000000002</v>
      </c>
      <c r="L222" s="11">
        <v>54.902000000000001</v>
      </c>
      <c r="M222" s="11">
        <v>8.1648999999999999E-2</v>
      </c>
      <c r="N222" s="2" t="s">
        <v>538</v>
      </c>
    </row>
    <row r="223" spans="1:14" ht="12.3">
      <c r="A223" s="11">
        <v>1185</v>
      </c>
      <c r="B223" s="11">
        <v>2.0699999999999998</v>
      </c>
      <c r="C223" s="11">
        <v>0.20909</v>
      </c>
      <c r="D223" s="11">
        <v>4.7827000000000002</v>
      </c>
      <c r="E223" s="11">
        <v>28.039000000000001</v>
      </c>
      <c r="F223" s="11">
        <v>37.939</v>
      </c>
      <c r="G223" s="11">
        <v>224.36</v>
      </c>
      <c r="H223" s="11">
        <v>27.32</v>
      </c>
      <c r="I223" s="11">
        <v>35.665999999999997</v>
      </c>
      <c r="J223" s="11">
        <v>637.08000000000004</v>
      </c>
      <c r="K223" s="11">
        <v>-0.39426</v>
      </c>
      <c r="L223" s="11">
        <v>55.052999999999997</v>
      </c>
      <c r="M223" s="11">
        <v>8.1917000000000004E-2</v>
      </c>
      <c r="N223" s="2" t="s">
        <v>538</v>
      </c>
    </row>
    <row r="224" spans="1:14" ht="12.3">
      <c r="A224" s="11">
        <v>1190</v>
      </c>
      <c r="B224" s="11">
        <v>2.0699999999999998</v>
      </c>
      <c r="C224" s="11">
        <v>0.20821000000000001</v>
      </c>
      <c r="D224" s="11">
        <v>4.8029000000000002</v>
      </c>
      <c r="E224" s="11">
        <v>28.175999999999998</v>
      </c>
      <c r="F224" s="11">
        <v>38.118000000000002</v>
      </c>
      <c r="G224" s="11">
        <v>224.51</v>
      </c>
      <c r="H224" s="11">
        <v>27.337</v>
      </c>
      <c r="I224" s="11">
        <v>35.683</v>
      </c>
      <c r="J224" s="11">
        <v>638.37</v>
      </c>
      <c r="K224" s="11">
        <v>-0.39665</v>
      </c>
      <c r="L224" s="11">
        <v>55.203000000000003</v>
      </c>
      <c r="M224" s="11">
        <v>8.2184999999999994E-2</v>
      </c>
      <c r="N224" s="2" t="s">
        <v>538</v>
      </c>
    </row>
    <row r="225" spans="1:14" ht="12.3">
      <c r="A225" s="11">
        <v>1195</v>
      </c>
      <c r="B225" s="11">
        <v>2.0699999999999998</v>
      </c>
      <c r="C225" s="11">
        <v>0.20734</v>
      </c>
      <c r="D225" s="11">
        <v>4.8230000000000004</v>
      </c>
      <c r="E225" s="11">
        <v>28.312999999999999</v>
      </c>
      <c r="F225" s="11">
        <v>38.295999999999999</v>
      </c>
      <c r="G225" s="11">
        <v>224.66</v>
      </c>
      <c r="H225" s="11">
        <v>27.353999999999999</v>
      </c>
      <c r="I225" s="11">
        <v>35.700000000000003</v>
      </c>
      <c r="J225" s="11">
        <v>639.65</v>
      </c>
      <c r="K225" s="11">
        <v>-0.39901999999999999</v>
      </c>
      <c r="L225" s="11">
        <v>55.353000000000002</v>
      </c>
      <c r="M225" s="11">
        <v>8.2452999999999999E-2</v>
      </c>
      <c r="N225" s="2" t="s">
        <v>538</v>
      </c>
    </row>
    <row r="226" spans="1:14" ht="12.3">
      <c r="A226" s="11">
        <v>1200</v>
      </c>
      <c r="B226" s="11">
        <v>2.0699999999999998</v>
      </c>
      <c r="C226" s="11">
        <v>0.20648</v>
      </c>
      <c r="D226" s="11">
        <v>4.8430999999999997</v>
      </c>
      <c r="E226" s="11">
        <v>28.45</v>
      </c>
      <c r="F226" s="11">
        <v>38.475000000000001</v>
      </c>
      <c r="G226" s="11">
        <v>224.81</v>
      </c>
      <c r="H226" s="11">
        <v>27.372</v>
      </c>
      <c r="I226" s="11">
        <v>35.716999999999999</v>
      </c>
      <c r="J226" s="11">
        <v>640.92999999999995</v>
      </c>
      <c r="K226" s="11">
        <v>-0.40135999999999999</v>
      </c>
      <c r="L226" s="11">
        <v>55.503</v>
      </c>
      <c r="M226" s="11">
        <v>8.2720000000000002E-2</v>
      </c>
      <c r="N226" s="2" t="s">
        <v>538</v>
      </c>
    </row>
    <row r="227" spans="1:14" ht="12.3">
      <c r="A227" s="11">
        <v>1205</v>
      </c>
      <c r="B227" s="11">
        <v>2.0699999999999998</v>
      </c>
      <c r="C227" s="11">
        <v>0.20562</v>
      </c>
      <c r="D227" s="11">
        <v>4.8632</v>
      </c>
      <c r="E227" s="11">
        <v>28.587</v>
      </c>
      <c r="F227" s="11">
        <v>38.652999999999999</v>
      </c>
      <c r="G227" s="11">
        <v>224.96</v>
      </c>
      <c r="H227" s="11">
        <v>27.388999999999999</v>
      </c>
      <c r="I227" s="11">
        <v>35.732999999999997</v>
      </c>
      <c r="J227" s="11">
        <v>642.21</v>
      </c>
      <c r="K227" s="11">
        <v>-0.40366999999999997</v>
      </c>
      <c r="L227" s="11">
        <v>55.652000000000001</v>
      </c>
      <c r="M227" s="11">
        <v>8.2987000000000005E-2</v>
      </c>
      <c r="N227" s="2" t="s">
        <v>538</v>
      </c>
    </row>
    <row r="228" spans="1:14" ht="12.3">
      <c r="A228" s="11">
        <v>1210</v>
      </c>
      <c r="B228" s="11">
        <v>2.0699999999999998</v>
      </c>
      <c r="C228" s="11">
        <v>0.20477999999999999</v>
      </c>
      <c r="D228" s="11">
        <v>4.8833000000000002</v>
      </c>
      <c r="E228" s="11">
        <v>28.724</v>
      </c>
      <c r="F228" s="11">
        <v>38.832000000000001</v>
      </c>
      <c r="G228" s="11">
        <v>225.11</v>
      </c>
      <c r="H228" s="11">
        <v>27.405999999999999</v>
      </c>
      <c r="I228" s="11">
        <v>35.75</v>
      </c>
      <c r="J228" s="11">
        <v>643.48</v>
      </c>
      <c r="K228" s="11">
        <v>-0.40595999999999999</v>
      </c>
      <c r="L228" s="11">
        <v>55.801000000000002</v>
      </c>
      <c r="M228" s="11">
        <v>8.3253999999999995E-2</v>
      </c>
      <c r="N228" s="2" t="s">
        <v>538</v>
      </c>
    </row>
    <row r="229" spans="1:14" ht="12.3">
      <c r="A229" s="11">
        <v>1215</v>
      </c>
      <c r="B229" s="11">
        <v>2.0699999999999998</v>
      </c>
      <c r="C229" s="11">
        <v>0.20394000000000001</v>
      </c>
      <c r="D229" s="11">
        <v>4.9035000000000002</v>
      </c>
      <c r="E229" s="11">
        <v>28.861000000000001</v>
      </c>
      <c r="F229" s="11">
        <v>39.011000000000003</v>
      </c>
      <c r="G229" s="11">
        <v>225.26</v>
      </c>
      <c r="H229" s="11">
        <v>27.422999999999998</v>
      </c>
      <c r="I229" s="11">
        <v>35.767000000000003</v>
      </c>
      <c r="J229" s="11">
        <v>644.75</v>
      </c>
      <c r="K229" s="11">
        <v>-0.40822000000000003</v>
      </c>
      <c r="L229" s="11">
        <v>55.95</v>
      </c>
      <c r="M229" s="11">
        <v>8.3520999999999998E-2</v>
      </c>
      <c r="N229" s="2" t="s">
        <v>538</v>
      </c>
    </row>
    <row r="230" spans="1:14" ht="12.3">
      <c r="A230" s="11">
        <v>1220</v>
      </c>
      <c r="B230" s="11">
        <v>2.0699999999999998</v>
      </c>
      <c r="C230" s="11">
        <v>0.2031</v>
      </c>
      <c r="D230" s="11">
        <v>4.9236000000000004</v>
      </c>
      <c r="E230" s="11">
        <v>28.998000000000001</v>
      </c>
      <c r="F230" s="11">
        <v>39.19</v>
      </c>
      <c r="G230" s="11">
        <v>225.4</v>
      </c>
      <c r="H230" s="11">
        <v>27.439</v>
      </c>
      <c r="I230" s="11">
        <v>35.783000000000001</v>
      </c>
      <c r="J230" s="11">
        <v>646.02</v>
      </c>
      <c r="K230" s="11">
        <v>-0.41044999999999998</v>
      </c>
      <c r="L230" s="11">
        <v>56.098999999999997</v>
      </c>
      <c r="M230" s="11">
        <v>8.3787E-2</v>
      </c>
      <c r="N230" s="2" t="s">
        <v>538</v>
      </c>
    </row>
    <row r="231" spans="1:14" ht="12.3">
      <c r="A231" s="11">
        <v>1225</v>
      </c>
      <c r="B231" s="11">
        <v>2.0699999999999998</v>
      </c>
      <c r="C231" s="11">
        <v>0.20227999999999999</v>
      </c>
      <c r="D231" s="11">
        <v>4.9436999999999998</v>
      </c>
      <c r="E231" s="11">
        <v>29.135000000000002</v>
      </c>
      <c r="F231" s="11">
        <v>39.369</v>
      </c>
      <c r="G231" s="11">
        <v>225.55</v>
      </c>
      <c r="H231" s="11">
        <v>27.456</v>
      </c>
      <c r="I231" s="11">
        <v>35.799999999999997</v>
      </c>
      <c r="J231" s="11">
        <v>647.28</v>
      </c>
      <c r="K231" s="11">
        <v>-0.41266000000000003</v>
      </c>
      <c r="L231" s="11">
        <v>56.247999999999998</v>
      </c>
      <c r="M231" s="11">
        <v>8.4053000000000003E-2</v>
      </c>
      <c r="N231" s="2" t="s">
        <v>538</v>
      </c>
    </row>
    <row r="232" spans="1:14" ht="12.3">
      <c r="A232" s="11">
        <v>1230</v>
      </c>
      <c r="B232" s="11">
        <v>2.0699999999999998</v>
      </c>
      <c r="C232" s="11">
        <v>0.20146</v>
      </c>
      <c r="D232" s="11">
        <v>4.9638</v>
      </c>
      <c r="E232" s="11">
        <v>29.273</v>
      </c>
      <c r="F232" s="11">
        <v>39.548000000000002</v>
      </c>
      <c r="G232" s="11">
        <v>225.69</v>
      </c>
      <c r="H232" s="11">
        <v>27.472999999999999</v>
      </c>
      <c r="I232" s="11">
        <v>35.816000000000003</v>
      </c>
      <c r="J232" s="11">
        <v>648.54999999999995</v>
      </c>
      <c r="K232" s="11">
        <v>-0.41485</v>
      </c>
      <c r="L232" s="11">
        <v>56.396000000000001</v>
      </c>
      <c r="M232" s="11">
        <v>8.4319000000000005E-2</v>
      </c>
      <c r="N232" s="2" t="s">
        <v>538</v>
      </c>
    </row>
    <row r="233" spans="1:14" ht="12.3">
      <c r="A233" s="11">
        <v>1235</v>
      </c>
      <c r="B233" s="11">
        <v>2.0699999999999998</v>
      </c>
      <c r="C233" s="11">
        <v>0.20064000000000001</v>
      </c>
      <c r="D233" s="11">
        <v>4.9839000000000002</v>
      </c>
      <c r="E233" s="11">
        <v>29.41</v>
      </c>
      <c r="F233" s="11">
        <v>39.726999999999997</v>
      </c>
      <c r="G233" s="11">
        <v>225.84</v>
      </c>
      <c r="H233" s="11">
        <v>27.489000000000001</v>
      </c>
      <c r="I233" s="11">
        <v>35.832000000000001</v>
      </c>
      <c r="J233" s="11">
        <v>649.80999999999995</v>
      </c>
      <c r="K233" s="11">
        <v>-0.41700999999999999</v>
      </c>
      <c r="L233" s="11">
        <v>56.543999999999997</v>
      </c>
      <c r="M233" s="11">
        <v>8.4584999999999994E-2</v>
      </c>
      <c r="N233" s="2" t="s">
        <v>538</v>
      </c>
    </row>
    <row r="234" spans="1:14" ht="12.3">
      <c r="A234" s="11">
        <v>1240</v>
      </c>
      <c r="B234" s="11">
        <v>2.0699999999999998</v>
      </c>
      <c r="C234" s="11">
        <v>0.19983999999999999</v>
      </c>
      <c r="D234" s="11">
        <v>5.0041000000000002</v>
      </c>
      <c r="E234" s="11">
        <v>29.547999999999998</v>
      </c>
      <c r="F234" s="11">
        <v>39.905999999999999</v>
      </c>
      <c r="G234" s="11">
        <v>225.98</v>
      </c>
      <c r="H234" s="11">
        <v>27.504999999999999</v>
      </c>
      <c r="I234" s="11">
        <v>35.847999999999999</v>
      </c>
      <c r="J234" s="11">
        <v>651.07000000000005</v>
      </c>
      <c r="K234" s="11">
        <v>-0.41915000000000002</v>
      </c>
      <c r="L234" s="11">
        <v>56.692</v>
      </c>
      <c r="M234" s="11">
        <v>8.4849999999999995E-2</v>
      </c>
      <c r="N234" s="2" t="s">
        <v>538</v>
      </c>
    </row>
    <row r="235" spans="1:14" ht="12.3">
      <c r="A235" s="11">
        <v>1245</v>
      </c>
      <c r="B235" s="11">
        <v>2.0699999999999998</v>
      </c>
      <c r="C235" s="11">
        <v>0.19903999999999999</v>
      </c>
      <c r="D235" s="11">
        <v>5.0242000000000004</v>
      </c>
      <c r="E235" s="11">
        <v>29.684999999999999</v>
      </c>
      <c r="F235" s="11">
        <v>40.085000000000001</v>
      </c>
      <c r="G235" s="11">
        <v>226.13</v>
      </c>
      <c r="H235" s="11">
        <v>27.521999999999998</v>
      </c>
      <c r="I235" s="11">
        <v>35.863999999999997</v>
      </c>
      <c r="J235" s="11">
        <v>652.32000000000005</v>
      </c>
      <c r="K235" s="11">
        <v>-0.42126999999999998</v>
      </c>
      <c r="L235" s="11">
        <v>56.84</v>
      </c>
      <c r="M235" s="11">
        <v>8.5114999999999996E-2</v>
      </c>
      <c r="N235" s="2" t="s">
        <v>538</v>
      </c>
    </row>
    <row r="236" spans="1:14" ht="12.3">
      <c r="A236" s="11">
        <v>1250</v>
      </c>
      <c r="B236" s="11">
        <v>2.0699999999999998</v>
      </c>
      <c r="C236" s="11">
        <v>0.19824</v>
      </c>
      <c r="D236" s="11">
        <v>5.0442999999999998</v>
      </c>
      <c r="E236" s="11">
        <v>29.823</v>
      </c>
      <c r="F236" s="11">
        <v>40.265000000000001</v>
      </c>
      <c r="G236" s="11">
        <v>226.27</v>
      </c>
      <c r="H236" s="11">
        <v>27.538</v>
      </c>
      <c r="I236" s="11">
        <v>35.880000000000003</v>
      </c>
      <c r="J236" s="11">
        <v>653.58000000000004</v>
      </c>
      <c r="K236" s="11">
        <v>-0.42336000000000001</v>
      </c>
      <c r="L236" s="11">
        <v>56.987000000000002</v>
      </c>
      <c r="M236" s="11">
        <v>8.5379999999999998E-2</v>
      </c>
      <c r="N236" s="2" t="s">
        <v>538</v>
      </c>
    </row>
    <row r="237" spans="1:14" ht="12.3">
      <c r="A237" s="11">
        <v>1255</v>
      </c>
      <c r="B237" s="11">
        <v>2.0699999999999998</v>
      </c>
      <c r="C237" s="11">
        <v>0.19746</v>
      </c>
      <c r="D237" s="11">
        <v>5.0644</v>
      </c>
      <c r="E237" s="11">
        <v>29.960999999999999</v>
      </c>
      <c r="F237" s="11">
        <v>40.444000000000003</v>
      </c>
      <c r="G237" s="11">
        <v>226.42</v>
      </c>
      <c r="H237" s="11">
        <v>27.553999999999998</v>
      </c>
      <c r="I237" s="11">
        <v>35.896000000000001</v>
      </c>
      <c r="J237" s="11">
        <v>654.83000000000004</v>
      </c>
      <c r="K237" s="11">
        <v>-0.42542999999999997</v>
      </c>
      <c r="L237" s="11">
        <v>57.134</v>
      </c>
      <c r="M237" s="11">
        <v>8.5644999999999999E-2</v>
      </c>
      <c r="N237" s="2" t="s">
        <v>538</v>
      </c>
    </row>
    <row r="238" spans="1:14" ht="12.3">
      <c r="A238" s="11">
        <v>1260</v>
      </c>
      <c r="B238" s="11">
        <v>2.0699999999999998</v>
      </c>
      <c r="C238" s="11">
        <v>0.19667999999999999</v>
      </c>
      <c r="D238" s="11">
        <v>5.0845000000000002</v>
      </c>
      <c r="E238" s="11">
        <v>30.099</v>
      </c>
      <c r="F238" s="11">
        <v>40.624000000000002</v>
      </c>
      <c r="G238" s="11">
        <v>226.56</v>
      </c>
      <c r="H238" s="11">
        <v>27.57</v>
      </c>
      <c r="I238" s="11">
        <v>35.911999999999999</v>
      </c>
      <c r="J238" s="11">
        <v>656.08</v>
      </c>
      <c r="K238" s="11">
        <v>-0.42748000000000003</v>
      </c>
      <c r="L238" s="11">
        <v>57.280999999999999</v>
      </c>
      <c r="M238" s="11">
        <v>8.591E-2</v>
      </c>
      <c r="N238" s="2" t="s">
        <v>538</v>
      </c>
    </row>
    <row r="239" spans="1:14" ht="12.3">
      <c r="A239" s="11">
        <v>1265</v>
      </c>
      <c r="B239" s="11">
        <v>2.0699999999999998</v>
      </c>
      <c r="C239" s="11">
        <v>0.19589999999999999</v>
      </c>
      <c r="D239" s="11">
        <v>5.1045999999999996</v>
      </c>
      <c r="E239" s="11">
        <v>30.236999999999998</v>
      </c>
      <c r="F239" s="11">
        <v>40.802999999999997</v>
      </c>
      <c r="G239" s="11">
        <v>226.7</v>
      </c>
      <c r="H239" s="11">
        <v>27.585999999999999</v>
      </c>
      <c r="I239" s="11">
        <v>35.927</v>
      </c>
      <c r="J239" s="11">
        <v>657.32</v>
      </c>
      <c r="K239" s="11">
        <v>-0.42949999999999999</v>
      </c>
      <c r="L239" s="11">
        <v>57.427999999999997</v>
      </c>
      <c r="M239" s="11">
        <v>8.6174000000000001E-2</v>
      </c>
      <c r="N239" s="2" t="s">
        <v>538</v>
      </c>
    </row>
    <row r="240" spans="1:14" ht="12.3">
      <c r="A240" s="11">
        <v>1270</v>
      </c>
      <c r="B240" s="11">
        <v>2.0699999999999998</v>
      </c>
      <c r="C240" s="11">
        <v>0.19513</v>
      </c>
      <c r="D240" s="11">
        <v>5.1246999999999998</v>
      </c>
      <c r="E240" s="11">
        <v>30.375</v>
      </c>
      <c r="F240" s="11">
        <v>40.982999999999997</v>
      </c>
      <c r="G240" s="11">
        <v>226.84</v>
      </c>
      <c r="H240" s="11">
        <v>27.602</v>
      </c>
      <c r="I240" s="11">
        <v>35.942999999999998</v>
      </c>
      <c r="J240" s="11">
        <v>658.57</v>
      </c>
      <c r="K240" s="11">
        <v>-0.43151</v>
      </c>
      <c r="L240" s="11">
        <v>57.573999999999998</v>
      </c>
      <c r="M240" s="11">
        <v>8.6438000000000001E-2</v>
      </c>
      <c r="N240" s="2" t="s">
        <v>538</v>
      </c>
    </row>
    <row r="241" spans="1:14" ht="12.3">
      <c r="A241" s="11">
        <v>1275</v>
      </c>
      <c r="B241" s="11">
        <v>2.0699999999999998</v>
      </c>
      <c r="C241" s="11">
        <v>0.19436999999999999</v>
      </c>
      <c r="D241" s="11">
        <v>5.1448999999999998</v>
      </c>
      <c r="E241" s="11">
        <v>30.513000000000002</v>
      </c>
      <c r="F241" s="11">
        <v>41.162999999999997</v>
      </c>
      <c r="G241" s="11">
        <v>226.98</v>
      </c>
      <c r="H241" s="11">
        <v>27.617000000000001</v>
      </c>
      <c r="I241" s="11">
        <v>35.957999999999998</v>
      </c>
      <c r="J241" s="11">
        <v>659.81</v>
      </c>
      <c r="K241" s="11">
        <v>-0.43348999999999999</v>
      </c>
      <c r="L241" s="11">
        <v>57.720999999999997</v>
      </c>
      <c r="M241" s="11">
        <v>8.6702000000000001E-2</v>
      </c>
      <c r="N241" s="2" t="s">
        <v>538</v>
      </c>
    </row>
    <row r="242" spans="1:14" ht="12.3">
      <c r="A242" s="11">
        <v>1280</v>
      </c>
      <c r="B242" s="11">
        <v>2.0699999999999998</v>
      </c>
      <c r="C242" s="11">
        <v>0.19361</v>
      </c>
      <c r="D242" s="11">
        <v>5.165</v>
      </c>
      <c r="E242" s="11">
        <v>30.651</v>
      </c>
      <c r="F242" s="11">
        <v>41.343000000000004</v>
      </c>
      <c r="G242" s="11">
        <v>227.12</v>
      </c>
      <c r="H242" s="11">
        <v>27.632999999999999</v>
      </c>
      <c r="I242" s="11">
        <v>35.973999999999997</v>
      </c>
      <c r="J242" s="11">
        <v>661.05</v>
      </c>
      <c r="K242" s="11">
        <v>-0.43545</v>
      </c>
      <c r="L242" s="11">
        <v>57.866999999999997</v>
      </c>
      <c r="M242" s="11">
        <v>8.6965000000000001E-2</v>
      </c>
      <c r="N242" s="2" t="s">
        <v>538</v>
      </c>
    </row>
    <row r="243" spans="1:14" ht="12.3">
      <c r="A243" s="11">
        <v>1285</v>
      </c>
      <c r="B243" s="11">
        <v>2.0699999999999998</v>
      </c>
      <c r="C243" s="11">
        <v>0.19286</v>
      </c>
      <c r="D243" s="11">
        <v>5.1851000000000003</v>
      </c>
      <c r="E243" s="11">
        <v>30.789000000000001</v>
      </c>
      <c r="F243" s="11">
        <v>41.521999999999998</v>
      </c>
      <c r="G243" s="11">
        <v>227.27</v>
      </c>
      <c r="H243" s="11">
        <v>27.649000000000001</v>
      </c>
      <c r="I243" s="11">
        <v>35.988999999999997</v>
      </c>
      <c r="J243" s="11">
        <v>662.28</v>
      </c>
      <c r="K243" s="11">
        <v>-0.43739</v>
      </c>
      <c r="L243" s="11">
        <v>58.012999999999998</v>
      </c>
      <c r="M243" s="11">
        <v>8.7229000000000001E-2</v>
      </c>
      <c r="N243" s="2" t="s">
        <v>538</v>
      </c>
    </row>
    <row r="244" spans="1:14" ht="12.3">
      <c r="A244" s="11">
        <v>1290</v>
      </c>
      <c r="B244" s="11">
        <v>2.0699999999999998</v>
      </c>
      <c r="C244" s="11">
        <v>0.19212000000000001</v>
      </c>
      <c r="D244" s="11">
        <v>5.2051999999999996</v>
      </c>
      <c r="E244" s="11">
        <v>30.928000000000001</v>
      </c>
      <c r="F244" s="11">
        <v>41.701999999999998</v>
      </c>
      <c r="G244" s="11">
        <v>227.4</v>
      </c>
      <c r="H244" s="11">
        <v>27.664000000000001</v>
      </c>
      <c r="I244" s="11">
        <v>36.003999999999998</v>
      </c>
      <c r="J244" s="11">
        <v>663.52</v>
      </c>
      <c r="K244" s="11">
        <v>-0.43930999999999998</v>
      </c>
      <c r="L244" s="11">
        <v>58.158000000000001</v>
      </c>
      <c r="M244" s="11">
        <v>8.7492E-2</v>
      </c>
      <c r="N244" s="2" t="s">
        <v>538</v>
      </c>
    </row>
    <row r="245" spans="1:14" ht="12.3">
      <c r="A245" s="11">
        <v>1295</v>
      </c>
      <c r="B245" s="11">
        <v>2.0699999999999998</v>
      </c>
      <c r="C245" s="11">
        <v>0.19137999999999999</v>
      </c>
      <c r="D245" s="11">
        <v>5.2252999999999998</v>
      </c>
      <c r="E245" s="11">
        <v>31.065999999999999</v>
      </c>
      <c r="F245" s="11">
        <v>41.881999999999998</v>
      </c>
      <c r="G245" s="11">
        <v>227.54</v>
      </c>
      <c r="H245" s="11">
        <v>27.678999999999998</v>
      </c>
      <c r="I245" s="11">
        <v>36.018999999999998</v>
      </c>
      <c r="J245" s="11">
        <v>664.75</v>
      </c>
      <c r="K245" s="11">
        <v>-0.44120999999999999</v>
      </c>
      <c r="L245" s="11">
        <v>58.304000000000002</v>
      </c>
      <c r="M245" s="11">
        <v>8.7755E-2</v>
      </c>
      <c r="N245" s="2" t="s">
        <v>538</v>
      </c>
    </row>
    <row r="246" spans="1:14" ht="12.3">
      <c r="A246" s="11">
        <v>1300</v>
      </c>
      <c r="B246" s="11">
        <v>2.0699999999999998</v>
      </c>
      <c r="C246" s="11">
        <v>0.19064</v>
      </c>
      <c r="D246" s="11">
        <v>5.2454000000000001</v>
      </c>
      <c r="E246" s="11">
        <v>31.204999999999998</v>
      </c>
      <c r="F246" s="11">
        <v>42.063000000000002</v>
      </c>
      <c r="G246" s="11">
        <v>227.68</v>
      </c>
      <c r="H246" s="11">
        <v>27.695</v>
      </c>
      <c r="I246" s="11">
        <v>36.033999999999999</v>
      </c>
      <c r="J246" s="11">
        <v>665.98</v>
      </c>
      <c r="K246" s="11">
        <v>-0.44308999999999998</v>
      </c>
      <c r="L246" s="11">
        <v>58.448999999999998</v>
      </c>
      <c r="M246" s="11">
        <v>8.8016999999999998E-2</v>
      </c>
      <c r="N246" s="2" t="s">
        <v>538</v>
      </c>
    </row>
    <row r="247" spans="1:14" ht="12.3">
      <c r="A247" s="11">
        <v>1305</v>
      </c>
      <c r="B247" s="11">
        <v>2.0699999999999998</v>
      </c>
      <c r="C247" s="11">
        <v>0.18991</v>
      </c>
      <c r="D247" s="11">
        <v>5.2655000000000003</v>
      </c>
      <c r="E247" s="11">
        <v>31.343</v>
      </c>
      <c r="F247" s="11">
        <v>42.243000000000002</v>
      </c>
      <c r="G247" s="11">
        <v>227.82</v>
      </c>
      <c r="H247" s="11">
        <v>27.71</v>
      </c>
      <c r="I247" s="11">
        <v>36.048999999999999</v>
      </c>
      <c r="J247" s="11">
        <v>667.21</v>
      </c>
      <c r="K247" s="11">
        <v>-0.44495000000000001</v>
      </c>
      <c r="L247" s="11">
        <v>58.594000000000001</v>
      </c>
      <c r="M247" s="11">
        <v>8.8279999999999997E-2</v>
      </c>
      <c r="N247" s="2" t="s">
        <v>538</v>
      </c>
    </row>
    <row r="248" spans="1:14" ht="12.3">
      <c r="A248" s="11">
        <v>1310</v>
      </c>
      <c r="B248" s="11">
        <v>2.0699999999999998</v>
      </c>
      <c r="C248" s="11">
        <v>0.18919</v>
      </c>
      <c r="D248" s="11">
        <v>5.2857000000000003</v>
      </c>
      <c r="E248" s="11">
        <v>31.481999999999999</v>
      </c>
      <c r="F248" s="11">
        <v>42.423000000000002</v>
      </c>
      <c r="G248" s="11">
        <v>227.96</v>
      </c>
      <c r="H248" s="11">
        <v>27.725000000000001</v>
      </c>
      <c r="I248" s="11">
        <v>36.064</v>
      </c>
      <c r="J248" s="11">
        <v>668.43</v>
      </c>
      <c r="K248" s="11">
        <v>-0.44679000000000002</v>
      </c>
      <c r="L248" s="11">
        <v>58.738999999999997</v>
      </c>
      <c r="M248" s="11">
        <v>8.8541999999999996E-2</v>
      </c>
      <c r="N248" s="2" t="s">
        <v>538</v>
      </c>
    </row>
    <row r="249" spans="1:14" ht="12.3">
      <c r="A249" s="11">
        <v>1315</v>
      </c>
      <c r="B249" s="11">
        <v>2.0699999999999998</v>
      </c>
      <c r="C249" s="11">
        <v>0.18847</v>
      </c>
      <c r="D249" s="11">
        <v>5.3057999999999996</v>
      </c>
      <c r="E249" s="11">
        <v>31.620999999999999</v>
      </c>
      <c r="F249" s="11">
        <v>42.603000000000002</v>
      </c>
      <c r="G249" s="11">
        <v>228.1</v>
      </c>
      <c r="H249" s="11">
        <v>27.74</v>
      </c>
      <c r="I249" s="11">
        <v>36.079000000000001</v>
      </c>
      <c r="J249" s="11">
        <v>669.65</v>
      </c>
      <c r="K249" s="11">
        <v>-0.44862000000000002</v>
      </c>
      <c r="L249" s="11">
        <v>58.883000000000003</v>
      </c>
      <c r="M249" s="11">
        <v>8.8803999999999994E-2</v>
      </c>
      <c r="N249" s="2" t="s">
        <v>538</v>
      </c>
    </row>
    <row r="250" spans="1:14" ht="12.3">
      <c r="A250" s="11">
        <v>1320</v>
      </c>
      <c r="B250" s="11">
        <v>2.0699999999999998</v>
      </c>
      <c r="C250" s="11">
        <v>0.18776000000000001</v>
      </c>
      <c r="D250" s="11">
        <v>5.3258999999999999</v>
      </c>
      <c r="E250" s="11">
        <v>31.759</v>
      </c>
      <c r="F250" s="11">
        <v>42.783999999999999</v>
      </c>
      <c r="G250" s="11">
        <v>228.23</v>
      </c>
      <c r="H250" s="11">
        <v>27.754999999999999</v>
      </c>
      <c r="I250" s="11">
        <v>36.094000000000001</v>
      </c>
      <c r="J250" s="11">
        <v>670.87</v>
      </c>
      <c r="K250" s="11">
        <v>-0.45041999999999999</v>
      </c>
      <c r="L250" s="11">
        <v>59.027999999999999</v>
      </c>
      <c r="M250" s="11">
        <v>8.9066000000000006E-2</v>
      </c>
      <c r="N250" s="2" t="s">
        <v>538</v>
      </c>
    </row>
    <row r="251" spans="1:14" ht="12.3">
      <c r="A251" s="11">
        <v>1325</v>
      </c>
      <c r="B251" s="11">
        <v>2.0699999999999998</v>
      </c>
      <c r="C251" s="11">
        <v>0.18706</v>
      </c>
      <c r="D251" s="11">
        <v>5.3460000000000001</v>
      </c>
      <c r="E251" s="11">
        <v>31.898</v>
      </c>
      <c r="F251" s="11">
        <v>42.963999999999999</v>
      </c>
      <c r="G251" s="11">
        <v>228.37</v>
      </c>
      <c r="H251" s="11">
        <v>27.77</v>
      </c>
      <c r="I251" s="11">
        <v>36.109000000000002</v>
      </c>
      <c r="J251" s="11">
        <v>672.09</v>
      </c>
      <c r="K251" s="11">
        <v>-0.45219999999999999</v>
      </c>
      <c r="L251" s="11">
        <v>59.171999999999997</v>
      </c>
      <c r="M251" s="11">
        <v>8.9328000000000005E-2</v>
      </c>
      <c r="N251" s="2" t="s">
        <v>538</v>
      </c>
    </row>
    <row r="252" spans="1:14" ht="12.3">
      <c r="A252" s="11">
        <v>1330</v>
      </c>
      <c r="B252" s="11">
        <v>2.0699999999999998</v>
      </c>
      <c r="C252" s="11">
        <v>0.18634999999999999</v>
      </c>
      <c r="D252" s="11">
        <v>5.3661000000000003</v>
      </c>
      <c r="E252" s="11">
        <v>32.036999999999999</v>
      </c>
      <c r="F252" s="11">
        <v>43.145000000000003</v>
      </c>
      <c r="G252" s="11">
        <v>228.51</v>
      </c>
      <c r="H252" s="11">
        <v>27.785</v>
      </c>
      <c r="I252" s="11">
        <v>36.122999999999998</v>
      </c>
      <c r="J252" s="11">
        <v>673.31</v>
      </c>
      <c r="K252" s="11">
        <v>-0.45396999999999998</v>
      </c>
      <c r="L252" s="11">
        <v>59.316000000000003</v>
      </c>
      <c r="M252" s="11">
        <v>8.9589000000000002E-2</v>
      </c>
      <c r="N252" s="2" t="s">
        <v>538</v>
      </c>
    </row>
    <row r="253" spans="1:14" ht="12.3">
      <c r="A253" s="11">
        <v>1335</v>
      </c>
      <c r="B253" s="11">
        <v>2.0699999999999998</v>
      </c>
      <c r="C253" s="11">
        <v>0.18565999999999999</v>
      </c>
      <c r="D253" s="11">
        <v>5.3861999999999997</v>
      </c>
      <c r="E253" s="11">
        <v>32.176000000000002</v>
      </c>
      <c r="F253" s="11">
        <v>43.326000000000001</v>
      </c>
      <c r="G253" s="11">
        <v>228.64</v>
      </c>
      <c r="H253" s="11">
        <v>27.8</v>
      </c>
      <c r="I253" s="11">
        <v>36.137999999999998</v>
      </c>
      <c r="J253" s="11">
        <v>674.52</v>
      </c>
      <c r="K253" s="11">
        <v>-0.45571</v>
      </c>
      <c r="L253" s="11">
        <v>59.46</v>
      </c>
      <c r="M253" s="11">
        <v>8.9849999999999999E-2</v>
      </c>
      <c r="N253" s="2" t="s">
        <v>538</v>
      </c>
    </row>
    <row r="254" spans="1:14" ht="12.3">
      <c r="A254" s="11">
        <v>1340</v>
      </c>
      <c r="B254" s="11">
        <v>2.0699999999999998</v>
      </c>
      <c r="C254" s="11">
        <v>0.18497</v>
      </c>
      <c r="D254" s="11">
        <v>5.4062999999999999</v>
      </c>
      <c r="E254" s="11">
        <v>32.314999999999998</v>
      </c>
      <c r="F254" s="11">
        <v>43.506</v>
      </c>
      <c r="G254" s="11">
        <v>228.78</v>
      </c>
      <c r="H254" s="11">
        <v>27.814</v>
      </c>
      <c r="I254" s="11">
        <v>36.152000000000001</v>
      </c>
      <c r="J254" s="11">
        <v>675.73</v>
      </c>
      <c r="K254" s="11">
        <v>-0.45744000000000001</v>
      </c>
      <c r="L254" s="11">
        <v>59.603999999999999</v>
      </c>
      <c r="M254" s="11">
        <v>9.0110999999999997E-2</v>
      </c>
      <c r="N254" s="2" t="s">
        <v>538</v>
      </c>
    </row>
    <row r="255" spans="1:14" ht="12.3">
      <c r="A255" s="11">
        <v>1345</v>
      </c>
      <c r="B255" s="11">
        <v>2.0699999999999998</v>
      </c>
      <c r="C255" s="11">
        <v>0.18428</v>
      </c>
      <c r="D255" s="11">
        <v>5.4264000000000001</v>
      </c>
      <c r="E255" s="11">
        <v>32.454000000000001</v>
      </c>
      <c r="F255" s="11">
        <v>43.686999999999998</v>
      </c>
      <c r="G255" s="11">
        <v>228.91</v>
      </c>
      <c r="H255" s="11">
        <v>27.829000000000001</v>
      </c>
      <c r="I255" s="11">
        <v>36.167000000000002</v>
      </c>
      <c r="J255" s="11">
        <v>676.94</v>
      </c>
      <c r="K255" s="11">
        <v>-0.45916000000000001</v>
      </c>
      <c r="L255" s="11">
        <v>59.747</v>
      </c>
      <c r="M255" s="11">
        <v>9.0371999999999994E-2</v>
      </c>
      <c r="N255" s="2" t="s">
        <v>538</v>
      </c>
    </row>
    <row r="256" spans="1:14" ht="12.3">
      <c r="A256" s="11">
        <v>1350</v>
      </c>
      <c r="B256" s="11">
        <v>2.0699999999999998</v>
      </c>
      <c r="C256" s="11">
        <v>0.18360000000000001</v>
      </c>
      <c r="D256" s="11">
        <v>5.4466000000000001</v>
      </c>
      <c r="E256" s="11">
        <v>32.594000000000001</v>
      </c>
      <c r="F256" s="11">
        <v>43.868000000000002</v>
      </c>
      <c r="G256" s="11">
        <v>229.05</v>
      </c>
      <c r="H256" s="11">
        <v>27.844000000000001</v>
      </c>
      <c r="I256" s="11">
        <v>36.180999999999997</v>
      </c>
      <c r="J256" s="11">
        <v>678.15</v>
      </c>
      <c r="K256" s="11">
        <v>-0.46084999999999998</v>
      </c>
      <c r="L256" s="11">
        <v>59.89</v>
      </c>
      <c r="M256" s="11">
        <v>9.0633000000000005E-2</v>
      </c>
      <c r="N256" s="2" t="s">
        <v>538</v>
      </c>
    </row>
    <row r="257" spans="1:14" ht="12.3">
      <c r="A257" s="11">
        <v>1355</v>
      </c>
      <c r="B257" s="11">
        <v>2.0699999999999998</v>
      </c>
      <c r="C257" s="11">
        <v>0.18293000000000001</v>
      </c>
      <c r="D257" s="11">
        <v>5.4667000000000003</v>
      </c>
      <c r="E257" s="11">
        <v>32.732999999999997</v>
      </c>
      <c r="F257" s="11">
        <v>44.048999999999999</v>
      </c>
      <c r="G257" s="11">
        <v>229.18</v>
      </c>
      <c r="H257" s="11">
        <v>27.858000000000001</v>
      </c>
      <c r="I257" s="11">
        <v>36.195</v>
      </c>
      <c r="J257" s="11">
        <v>679.35</v>
      </c>
      <c r="K257" s="11">
        <v>-0.46253</v>
      </c>
      <c r="L257" s="11">
        <v>60.033000000000001</v>
      </c>
      <c r="M257" s="11">
        <v>9.0893000000000002E-2</v>
      </c>
      <c r="N257" s="2" t="s">
        <v>538</v>
      </c>
    </row>
    <row r="258" spans="1:14" ht="12.3">
      <c r="A258" s="11">
        <v>1360</v>
      </c>
      <c r="B258" s="11">
        <v>2.0699999999999998</v>
      </c>
      <c r="C258" s="11">
        <v>0.18226000000000001</v>
      </c>
      <c r="D258" s="11">
        <v>5.4867999999999997</v>
      </c>
      <c r="E258" s="11">
        <v>32.872</v>
      </c>
      <c r="F258" s="11">
        <v>44.23</v>
      </c>
      <c r="G258" s="11">
        <v>229.31</v>
      </c>
      <c r="H258" s="11">
        <v>27.873000000000001</v>
      </c>
      <c r="I258" s="11">
        <v>36.21</v>
      </c>
      <c r="J258" s="11">
        <v>680.55</v>
      </c>
      <c r="K258" s="11">
        <v>-0.46418999999999999</v>
      </c>
      <c r="L258" s="11">
        <v>60.176000000000002</v>
      </c>
      <c r="M258" s="11">
        <v>9.1153999999999999E-2</v>
      </c>
      <c r="N258" s="2" t="s">
        <v>538</v>
      </c>
    </row>
    <row r="259" spans="1:14" ht="12.3">
      <c r="A259" s="11">
        <v>1365</v>
      </c>
      <c r="B259" s="11">
        <v>2.0699999999999998</v>
      </c>
      <c r="C259" s="11">
        <v>0.18159</v>
      </c>
      <c r="D259" s="11">
        <v>5.5068999999999999</v>
      </c>
      <c r="E259" s="11">
        <v>33.012</v>
      </c>
      <c r="F259" s="11">
        <v>44.411000000000001</v>
      </c>
      <c r="G259" s="11">
        <v>229.45</v>
      </c>
      <c r="H259" s="11">
        <v>27.887</v>
      </c>
      <c r="I259" s="11">
        <v>36.223999999999997</v>
      </c>
      <c r="J259" s="11">
        <v>681.75</v>
      </c>
      <c r="K259" s="11">
        <v>-0.46583000000000002</v>
      </c>
      <c r="L259" s="11">
        <v>60.319000000000003</v>
      </c>
      <c r="M259" s="11">
        <v>9.1413999999999995E-2</v>
      </c>
      <c r="N259" s="2" t="s">
        <v>538</v>
      </c>
    </row>
    <row r="260" spans="1:14" ht="12.3">
      <c r="A260" s="11">
        <v>1370</v>
      </c>
      <c r="B260" s="11">
        <v>2.0699999999999998</v>
      </c>
      <c r="C260" s="11">
        <v>0.18093000000000001</v>
      </c>
      <c r="D260" s="11">
        <v>5.5270000000000001</v>
      </c>
      <c r="E260" s="11">
        <v>33.151000000000003</v>
      </c>
      <c r="F260" s="11">
        <v>44.591999999999999</v>
      </c>
      <c r="G260" s="11">
        <v>229.58</v>
      </c>
      <c r="H260" s="11">
        <v>27.901</v>
      </c>
      <c r="I260" s="11">
        <v>36.238</v>
      </c>
      <c r="J260" s="11">
        <v>682.95</v>
      </c>
      <c r="K260" s="11">
        <v>-0.46745999999999999</v>
      </c>
      <c r="L260" s="11">
        <v>60.460999999999999</v>
      </c>
      <c r="M260" s="11">
        <v>9.1673000000000004E-2</v>
      </c>
      <c r="N260" s="2" t="s">
        <v>538</v>
      </c>
    </row>
    <row r="261" spans="1:14" ht="12.3">
      <c r="A261" s="11">
        <v>1375</v>
      </c>
      <c r="B261" s="11">
        <v>2.0699999999999998</v>
      </c>
      <c r="C261" s="11">
        <v>0.18027000000000001</v>
      </c>
      <c r="D261" s="11">
        <v>5.5471000000000004</v>
      </c>
      <c r="E261" s="11">
        <v>33.290999999999997</v>
      </c>
      <c r="F261" s="11">
        <v>44.773000000000003</v>
      </c>
      <c r="G261" s="11">
        <v>229.71</v>
      </c>
      <c r="H261" s="11">
        <v>27.916</v>
      </c>
      <c r="I261" s="11">
        <v>36.252000000000002</v>
      </c>
      <c r="J261" s="11">
        <v>684.14</v>
      </c>
      <c r="K261" s="11">
        <v>-0.46906999999999999</v>
      </c>
      <c r="L261" s="11">
        <v>60.603999999999999</v>
      </c>
      <c r="M261" s="11">
        <v>9.1933000000000001E-2</v>
      </c>
      <c r="N261" s="2" t="s">
        <v>538</v>
      </c>
    </row>
    <row r="262" spans="1:14" ht="12.3">
      <c r="A262" s="11">
        <v>1380</v>
      </c>
      <c r="B262" s="11">
        <v>2.0699999999999998</v>
      </c>
      <c r="C262" s="11">
        <v>0.17962</v>
      </c>
      <c r="D262" s="11">
        <v>5.5671999999999997</v>
      </c>
      <c r="E262" s="11">
        <v>33.430999999999997</v>
      </c>
      <c r="F262" s="11">
        <v>44.954999999999998</v>
      </c>
      <c r="G262" s="11">
        <v>229.84</v>
      </c>
      <c r="H262" s="11">
        <v>27.93</v>
      </c>
      <c r="I262" s="11">
        <v>36.265999999999998</v>
      </c>
      <c r="J262" s="11">
        <v>685.34</v>
      </c>
      <c r="K262" s="11">
        <v>-0.47066000000000002</v>
      </c>
      <c r="L262" s="11">
        <v>60.746000000000002</v>
      </c>
      <c r="M262" s="11">
        <v>9.2192999999999997E-2</v>
      </c>
      <c r="N262" s="2" t="s">
        <v>538</v>
      </c>
    </row>
    <row r="263" spans="1:14" ht="12.3">
      <c r="A263" s="11">
        <v>1385</v>
      </c>
      <c r="B263" s="11">
        <v>2.0699999999999998</v>
      </c>
      <c r="C263" s="11">
        <v>0.17898</v>
      </c>
      <c r="D263" s="11">
        <v>5.5872999999999999</v>
      </c>
      <c r="E263" s="11">
        <v>33.57</v>
      </c>
      <c r="F263" s="11">
        <v>45.136000000000003</v>
      </c>
      <c r="G263" s="11">
        <v>229.97</v>
      </c>
      <c r="H263" s="11">
        <v>27.943999999999999</v>
      </c>
      <c r="I263" s="11">
        <v>36.28</v>
      </c>
      <c r="J263" s="11">
        <v>686.53</v>
      </c>
      <c r="K263" s="11">
        <v>-0.47223999999999999</v>
      </c>
      <c r="L263" s="11">
        <v>60.887999999999998</v>
      </c>
      <c r="M263" s="11">
        <v>9.2452000000000006E-2</v>
      </c>
      <c r="N263" s="2" t="s">
        <v>538</v>
      </c>
    </row>
    <row r="264" spans="1:14" ht="12.3">
      <c r="A264" s="11">
        <v>1390</v>
      </c>
      <c r="B264" s="11">
        <v>2.0699999999999998</v>
      </c>
      <c r="C264" s="11">
        <v>0.17832999999999999</v>
      </c>
      <c r="D264" s="11">
        <v>5.6074000000000002</v>
      </c>
      <c r="E264" s="11">
        <v>33.71</v>
      </c>
      <c r="F264" s="11">
        <v>45.317999999999998</v>
      </c>
      <c r="G264" s="11">
        <v>230.1</v>
      </c>
      <c r="H264" s="11">
        <v>27.957999999999998</v>
      </c>
      <c r="I264" s="11">
        <v>36.293999999999997</v>
      </c>
      <c r="J264" s="11">
        <v>687.72</v>
      </c>
      <c r="K264" s="11">
        <v>-0.4738</v>
      </c>
      <c r="L264" s="11">
        <v>61.029000000000003</v>
      </c>
      <c r="M264" s="11">
        <v>9.2711000000000002E-2</v>
      </c>
      <c r="N264" s="2" t="s">
        <v>538</v>
      </c>
    </row>
    <row r="265" spans="1:14" ht="12.3">
      <c r="A265" s="11">
        <v>1395</v>
      </c>
      <c r="B265" s="11">
        <v>2.0699999999999998</v>
      </c>
      <c r="C265" s="11">
        <v>0.1777</v>
      </c>
      <c r="D265" s="11">
        <v>5.6275000000000004</v>
      </c>
      <c r="E265" s="11">
        <v>33.85</v>
      </c>
      <c r="F265" s="11">
        <v>45.499000000000002</v>
      </c>
      <c r="G265" s="11">
        <v>230.23</v>
      </c>
      <c r="H265" s="11">
        <v>27.972000000000001</v>
      </c>
      <c r="I265" s="11">
        <v>36.308</v>
      </c>
      <c r="J265" s="11">
        <v>688.9</v>
      </c>
      <c r="K265" s="11">
        <v>-0.47534999999999999</v>
      </c>
      <c r="L265" s="11">
        <v>61.170999999999999</v>
      </c>
      <c r="M265" s="11">
        <v>9.2969999999999997E-2</v>
      </c>
      <c r="N265" s="2" t="s">
        <v>538</v>
      </c>
    </row>
    <row r="266" spans="1:14" ht="12.3">
      <c r="A266" s="11">
        <v>1400</v>
      </c>
      <c r="B266" s="11">
        <v>2.0699999999999998</v>
      </c>
      <c r="C266" s="11">
        <v>0.17706</v>
      </c>
      <c r="D266" s="11">
        <v>5.6475999999999997</v>
      </c>
      <c r="E266" s="11">
        <v>33.99</v>
      </c>
      <c r="F266" s="11">
        <v>45.680999999999997</v>
      </c>
      <c r="G266" s="11">
        <v>230.36</v>
      </c>
      <c r="H266" s="11">
        <v>27.986000000000001</v>
      </c>
      <c r="I266" s="11">
        <v>36.322000000000003</v>
      </c>
      <c r="J266" s="11">
        <v>690.09</v>
      </c>
      <c r="K266" s="11">
        <v>-0.47688000000000003</v>
      </c>
      <c r="L266" s="11">
        <v>61.311999999999998</v>
      </c>
      <c r="M266" s="11">
        <v>9.3228000000000005E-2</v>
      </c>
      <c r="N266" s="2" t="s">
        <v>538</v>
      </c>
    </row>
    <row r="267" spans="1:14" ht="12.3">
      <c r="A267" s="11">
        <v>1405</v>
      </c>
      <c r="B267" s="11">
        <v>2.0699999999999998</v>
      </c>
      <c r="C267" s="11">
        <v>0.17644000000000001</v>
      </c>
      <c r="D267" s="11">
        <v>5.6677999999999997</v>
      </c>
      <c r="E267" s="11">
        <v>34.130000000000003</v>
      </c>
      <c r="F267" s="11">
        <v>45.862000000000002</v>
      </c>
      <c r="G267" s="11">
        <v>230.49</v>
      </c>
      <c r="H267" s="11">
        <v>28</v>
      </c>
      <c r="I267" s="11">
        <v>36.335000000000001</v>
      </c>
      <c r="J267" s="11">
        <v>691.27</v>
      </c>
      <c r="K267" s="11">
        <v>-0.47838999999999998</v>
      </c>
      <c r="L267" s="11">
        <v>61.453000000000003</v>
      </c>
      <c r="M267" s="11">
        <v>9.3487000000000001E-2</v>
      </c>
      <c r="N267" s="2" t="s">
        <v>538</v>
      </c>
    </row>
    <row r="268" spans="1:14" ht="12.3">
      <c r="A268" s="11">
        <v>1410</v>
      </c>
      <c r="B268" s="11">
        <v>2.0699999999999998</v>
      </c>
      <c r="C268" s="11">
        <v>0.17580999999999999</v>
      </c>
      <c r="D268" s="11">
        <v>5.6879</v>
      </c>
      <c r="E268" s="11">
        <v>34.270000000000003</v>
      </c>
      <c r="F268" s="11">
        <v>46.043999999999997</v>
      </c>
      <c r="G268" s="11">
        <v>230.62</v>
      </c>
      <c r="H268" s="11">
        <v>28.013999999999999</v>
      </c>
      <c r="I268" s="11">
        <v>36.348999999999997</v>
      </c>
      <c r="J268" s="11">
        <v>692.45</v>
      </c>
      <c r="K268" s="11">
        <v>-0.47989999999999999</v>
      </c>
      <c r="L268" s="11">
        <v>61.594000000000001</v>
      </c>
      <c r="M268" s="11">
        <v>9.3744999999999995E-2</v>
      </c>
      <c r="N268" s="2" t="s">
        <v>538</v>
      </c>
    </row>
    <row r="269" spans="1:14" ht="12.3">
      <c r="A269" s="11">
        <v>1415</v>
      </c>
      <c r="B269" s="11">
        <v>2.0699999999999998</v>
      </c>
      <c r="C269" s="11">
        <v>0.17519000000000001</v>
      </c>
      <c r="D269" s="11">
        <v>5.7080000000000002</v>
      </c>
      <c r="E269" s="11">
        <v>34.409999999999997</v>
      </c>
      <c r="F269" s="11">
        <v>46.225999999999999</v>
      </c>
      <c r="G269" s="11">
        <v>230.75</v>
      </c>
      <c r="H269" s="11">
        <v>28.027999999999999</v>
      </c>
      <c r="I269" s="11">
        <v>36.363</v>
      </c>
      <c r="J269" s="11">
        <v>693.63</v>
      </c>
      <c r="K269" s="11">
        <v>-0.48137999999999997</v>
      </c>
      <c r="L269" s="11">
        <v>61.734999999999999</v>
      </c>
      <c r="M269" s="11">
        <v>9.4003000000000003E-2</v>
      </c>
      <c r="N269" s="2" t="s">
        <v>538</v>
      </c>
    </row>
    <row r="270" spans="1:14" ht="12.3">
      <c r="A270" s="11">
        <v>1420</v>
      </c>
      <c r="B270" s="11">
        <v>2.0699999999999998</v>
      </c>
      <c r="C270" s="11">
        <v>0.17458000000000001</v>
      </c>
      <c r="D270" s="11">
        <v>5.7281000000000004</v>
      </c>
      <c r="E270" s="11">
        <v>34.549999999999997</v>
      </c>
      <c r="F270" s="11">
        <v>46.408000000000001</v>
      </c>
      <c r="G270" s="11">
        <v>230.88</v>
      </c>
      <c r="H270" s="11">
        <v>28.042000000000002</v>
      </c>
      <c r="I270" s="11">
        <v>36.375999999999998</v>
      </c>
      <c r="J270" s="11">
        <v>694.81</v>
      </c>
      <c r="K270" s="11">
        <v>-0.48285</v>
      </c>
      <c r="L270" s="11">
        <v>61.875999999999998</v>
      </c>
      <c r="M270" s="11">
        <v>9.4260999999999998E-2</v>
      </c>
      <c r="N270" s="2" t="s">
        <v>538</v>
      </c>
    </row>
    <row r="271" spans="1:14" ht="12.3">
      <c r="A271" s="11">
        <v>1425</v>
      </c>
      <c r="B271" s="11">
        <v>2.0699999999999998</v>
      </c>
      <c r="C271" s="11">
        <v>0.17397000000000001</v>
      </c>
      <c r="D271" s="11">
        <v>5.7481999999999998</v>
      </c>
      <c r="E271" s="11">
        <v>34.691000000000003</v>
      </c>
      <c r="F271" s="11">
        <v>46.59</v>
      </c>
      <c r="G271" s="11">
        <v>231.01</v>
      </c>
      <c r="H271" s="11">
        <v>28.055</v>
      </c>
      <c r="I271" s="11">
        <v>36.39</v>
      </c>
      <c r="J271" s="11">
        <v>695.98</v>
      </c>
      <c r="K271" s="11">
        <v>-0.48431000000000002</v>
      </c>
      <c r="L271" s="11">
        <v>62.015999999999998</v>
      </c>
      <c r="M271" s="11">
        <v>9.4519000000000006E-2</v>
      </c>
      <c r="N271" s="2" t="s">
        <v>538</v>
      </c>
    </row>
    <row r="272" spans="1:14" ht="12.3">
      <c r="A272" s="11">
        <v>1430</v>
      </c>
      <c r="B272" s="11">
        <v>2.0699999999999998</v>
      </c>
      <c r="C272" s="11">
        <v>0.17335999999999999</v>
      </c>
      <c r="D272" s="11">
        <v>5.7683</v>
      </c>
      <c r="E272" s="11">
        <v>34.831000000000003</v>
      </c>
      <c r="F272" s="11">
        <v>46.771000000000001</v>
      </c>
      <c r="G272" s="11">
        <v>231.14</v>
      </c>
      <c r="H272" s="11">
        <v>28.068999999999999</v>
      </c>
      <c r="I272" s="11">
        <v>36.402999999999999</v>
      </c>
      <c r="J272" s="11">
        <v>697.15</v>
      </c>
      <c r="K272" s="11">
        <v>-0.48575000000000002</v>
      </c>
      <c r="L272" s="11">
        <v>62.156999999999996</v>
      </c>
      <c r="M272" s="11">
        <v>9.4777E-2</v>
      </c>
      <c r="N272" s="2" t="s">
        <v>538</v>
      </c>
    </row>
    <row r="273" spans="1:14" ht="12.3">
      <c r="A273" s="11">
        <v>1435</v>
      </c>
      <c r="B273" s="11">
        <v>2.0699999999999998</v>
      </c>
      <c r="C273" s="11">
        <v>0.17276</v>
      </c>
      <c r="D273" s="11">
        <v>5.7884000000000002</v>
      </c>
      <c r="E273" s="11">
        <v>34.972000000000001</v>
      </c>
      <c r="F273" s="11">
        <v>46.954000000000001</v>
      </c>
      <c r="G273" s="11">
        <v>231.26</v>
      </c>
      <c r="H273" s="11">
        <v>28.082999999999998</v>
      </c>
      <c r="I273" s="11">
        <v>36.417000000000002</v>
      </c>
      <c r="J273" s="11">
        <v>698.32</v>
      </c>
      <c r="K273" s="11">
        <v>-0.48718</v>
      </c>
      <c r="L273" s="11">
        <v>62.296999999999997</v>
      </c>
      <c r="M273" s="11">
        <v>9.5033999999999993E-2</v>
      </c>
      <c r="N273" s="2" t="s">
        <v>538</v>
      </c>
    </row>
    <row r="274" spans="1:14" ht="12.3">
      <c r="A274" s="11">
        <v>1440</v>
      </c>
      <c r="B274" s="11">
        <v>2.0699999999999998</v>
      </c>
      <c r="C274" s="11">
        <v>0.17216000000000001</v>
      </c>
      <c r="D274" s="11">
        <v>5.8085000000000004</v>
      </c>
      <c r="E274" s="11">
        <v>35.112000000000002</v>
      </c>
      <c r="F274" s="11">
        <v>47.136000000000003</v>
      </c>
      <c r="G274" s="11">
        <v>231.39</v>
      </c>
      <c r="H274" s="11">
        <v>28.096</v>
      </c>
      <c r="I274" s="11">
        <v>36.43</v>
      </c>
      <c r="J274" s="11">
        <v>699.49</v>
      </c>
      <c r="K274" s="11">
        <v>-0.48859999999999998</v>
      </c>
      <c r="L274" s="11">
        <v>62.436999999999998</v>
      </c>
      <c r="M274" s="11">
        <v>9.5291000000000001E-2</v>
      </c>
      <c r="N274" s="2" t="s">
        <v>538</v>
      </c>
    </row>
    <row r="275" spans="1:14" ht="12.3">
      <c r="A275" s="11">
        <v>1445</v>
      </c>
      <c r="B275" s="11">
        <v>2.0699999999999998</v>
      </c>
      <c r="C275" s="11">
        <v>0.17157</v>
      </c>
      <c r="D275" s="11">
        <v>5.8285999999999998</v>
      </c>
      <c r="E275" s="11">
        <v>35.253</v>
      </c>
      <c r="F275" s="11">
        <v>47.317999999999998</v>
      </c>
      <c r="G275" s="11">
        <v>231.52</v>
      </c>
      <c r="H275" s="11">
        <v>28.11</v>
      </c>
      <c r="I275" s="11">
        <v>36.444000000000003</v>
      </c>
      <c r="J275" s="11">
        <v>700.66</v>
      </c>
      <c r="K275" s="11">
        <v>-0.49</v>
      </c>
      <c r="L275" s="11">
        <v>62.576999999999998</v>
      </c>
      <c r="M275" s="11">
        <v>9.5547999999999994E-2</v>
      </c>
      <c r="N275" s="2" t="s">
        <v>538</v>
      </c>
    </row>
    <row r="276" spans="1:14" ht="12.3">
      <c r="A276" s="11">
        <v>1450</v>
      </c>
      <c r="B276" s="11">
        <v>2.0699999999999998</v>
      </c>
      <c r="C276" s="11">
        <v>0.17097999999999999</v>
      </c>
      <c r="D276" s="11">
        <v>5.8487</v>
      </c>
      <c r="E276" s="11">
        <v>35.393000000000001</v>
      </c>
      <c r="F276" s="11">
        <v>47.5</v>
      </c>
      <c r="G276" s="11">
        <v>231.64</v>
      </c>
      <c r="H276" s="11">
        <v>28.123000000000001</v>
      </c>
      <c r="I276" s="11">
        <v>36.457000000000001</v>
      </c>
      <c r="J276" s="11">
        <v>701.82</v>
      </c>
      <c r="K276" s="11">
        <v>-0.49137999999999998</v>
      </c>
      <c r="L276" s="11">
        <v>62.716000000000001</v>
      </c>
      <c r="M276" s="11">
        <v>9.5805000000000001E-2</v>
      </c>
      <c r="N276" s="2" t="s">
        <v>538</v>
      </c>
    </row>
    <row r="277" spans="1:14" ht="12.3">
      <c r="A277" s="11">
        <v>1455</v>
      </c>
      <c r="B277" s="11">
        <v>2.0699999999999998</v>
      </c>
      <c r="C277" s="11">
        <v>0.17039000000000001</v>
      </c>
      <c r="D277" s="11">
        <v>5.8688000000000002</v>
      </c>
      <c r="E277" s="11">
        <v>35.533999999999999</v>
      </c>
      <c r="F277" s="11">
        <v>47.682000000000002</v>
      </c>
      <c r="G277" s="11">
        <v>231.77</v>
      </c>
      <c r="H277" s="11">
        <v>28.137</v>
      </c>
      <c r="I277" s="11">
        <v>36.47</v>
      </c>
      <c r="J277" s="11">
        <v>702.98</v>
      </c>
      <c r="K277" s="11">
        <v>-0.49275999999999998</v>
      </c>
      <c r="L277" s="11">
        <v>62.856000000000002</v>
      </c>
      <c r="M277" s="11">
        <v>9.6061999999999995E-2</v>
      </c>
      <c r="N277" s="2" t="s">
        <v>538</v>
      </c>
    </row>
    <row r="278" spans="1:14" ht="12.3">
      <c r="A278" s="11">
        <v>1460</v>
      </c>
      <c r="B278" s="11">
        <v>2.0699999999999998</v>
      </c>
      <c r="C278" s="11">
        <v>0.16980999999999999</v>
      </c>
      <c r="D278" s="11">
        <v>5.8888999999999996</v>
      </c>
      <c r="E278" s="11">
        <v>35.674999999999997</v>
      </c>
      <c r="F278" s="11">
        <v>47.865000000000002</v>
      </c>
      <c r="G278" s="11">
        <v>231.89</v>
      </c>
      <c r="H278" s="11">
        <v>28.15</v>
      </c>
      <c r="I278" s="11">
        <v>36.482999999999997</v>
      </c>
      <c r="J278" s="11">
        <v>704.14</v>
      </c>
      <c r="K278" s="11">
        <v>-0.49412</v>
      </c>
      <c r="L278" s="11">
        <v>62.994999999999997</v>
      </c>
      <c r="M278" s="11">
        <v>9.6319000000000002E-2</v>
      </c>
      <c r="N278" s="2" t="s">
        <v>538</v>
      </c>
    </row>
    <row r="279" spans="1:14" ht="12.3">
      <c r="A279" s="11">
        <v>1465</v>
      </c>
      <c r="B279" s="11">
        <v>2.0699999999999998</v>
      </c>
      <c r="C279" s="11">
        <v>0.16922999999999999</v>
      </c>
      <c r="D279" s="11">
        <v>5.9089999999999998</v>
      </c>
      <c r="E279" s="11">
        <v>35.816000000000003</v>
      </c>
      <c r="F279" s="11">
        <v>48.046999999999997</v>
      </c>
      <c r="G279" s="11">
        <v>232.02</v>
      </c>
      <c r="H279" s="11">
        <v>28.163</v>
      </c>
      <c r="I279" s="11">
        <v>36.497</v>
      </c>
      <c r="J279" s="11">
        <v>705.3</v>
      </c>
      <c r="K279" s="11">
        <v>-0.49547000000000002</v>
      </c>
      <c r="L279" s="11">
        <v>63.134</v>
      </c>
      <c r="M279" s="11">
        <v>9.6574999999999994E-2</v>
      </c>
      <c r="N279" s="2" t="s">
        <v>538</v>
      </c>
    </row>
    <row r="280" spans="1:14" ht="12.3">
      <c r="A280" s="11">
        <v>1470</v>
      </c>
      <c r="B280" s="11">
        <v>2.0699999999999998</v>
      </c>
      <c r="C280" s="11">
        <v>0.16866</v>
      </c>
      <c r="D280" s="11">
        <v>5.9291</v>
      </c>
      <c r="E280" s="11">
        <v>35.956000000000003</v>
      </c>
      <c r="F280" s="11">
        <v>48.23</v>
      </c>
      <c r="G280" s="11">
        <v>232.14</v>
      </c>
      <c r="H280" s="11">
        <v>28.177</v>
      </c>
      <c r="I280" s="11">
        <v>36.51</v>
      </c>
      <c r="J280" s="11">
        <v>706.45</v>
      </c>
      <c r="K280" s="11">
        <v>-0.49680000000000002</v>
      </c>
      <c r="L280" s="11">
        <v>63.273000000000003</v>
      </c>
      <c r="M280" s="11">
        <v>9.6831E-2</v>
      </c>
      <c r="N280" s="2" t="s">
        <v>538</v>
      </c>
    </row>
    <row r="281" spans="1:14" ht="12.3">
      <c r="A281" s="11">
        <v>1475</v>
      </c>
      <c r="B281" s="11">
        <v>2.0699999999999998</v>
      </c>
      <c r="C281" s="11">
        <v>0.16808999999999999</v>
      </c>
      <c r="D281" s="11">
        <v>5.9492000000000003</v>
      </c>
      <c r="E281" s="11">
        <v>36.097000000000001</v>
      </c>
      <c r="F281" s="11">
        <v>48.411999999999999</v>
      </c>
      <c r="G281" s="11">
        <v>232.26</v>
      </c>
      <c r="H281" s="11">
        <v>28.19</v>
      </c>
      <c r="I281" s="11">
        <v>36.523000000000003</v>
      </c>
      <c r="J281" s="11">
        <v>707.61</v>
      </c>
      <c r="K281" s="11">
        <v>-0.49812000000000001</v>
      </c>
      <c r="L281" s="11">
        <v>63.411999999999999</v>
      </c>
      <c r="M281" s="11">
        <v>9.7087000000000007E-2</v>
      </c>
      <c r="N281" s="2" t="s">
        <v>538</v>
      </c>
    </row>
    <row r="282" spans="1:14" ht="12.3">
      <c r="A282" s="11">
        <v>1480</v>
      </c>
      <c r="B282" s="11">
        <v>2.0699999999999998</v>
      </c>
      <c r="C282" s="11">
        <v>0.16752</v>
      </c>
      <c r="D282" s="11">
        <v>5.9694000000000003</v>
      </c>
      <c r="E282" s="11">
        <v>36.238</v>
      </c>
      <c r="F282" s="11">
        <v>48.594999999999999</v>
      </c>
      <c r="G282" s="11">
        <v>232.39</v>
      </c>
      <c r="H282" s="11">
        <v>28.202999999999999</v>
      </c>
      <c r="I282" s="11">
        <v>36.536000000000001</v>
      </c>
      <c r="J282" s="11">
        <v>708.76</v>
      </c>
      <c r="K282" s="11">
        <v>-0.49942999999999999</v>
      </c>
      <c r="L282" s="11">
        <v>63.551000000000002</v>
      </c>
      <c r="M282" s="11">
        <v>9.7342999999999999E-2</v>
      </c>
      <c r="N282" s="2" t="s">
        <v>538</v>
      </c>
    </row>
    <row r="283" spans="1:14" ht="12.3">
      <c r="A283" s="11">
        <v>1485</v>
      </c>
      <c r="B283" s="11">
        <v>2.0699999999999998</v>
      </c>
      <c r="C283" s="11">
        <v>0.16696</v>
      </c>
      <c r="D283" s="11">
        <v>5.9894999999999996</v>
      </c>
      <c r="E283" s="11">
        <v>36.380000000000003</v>
      </c>
      <c r="F283" s="11">
        <v>48.777999999999999</v>
      </c>
      <c r="G283" s="11">
        <v>232.51</v>
      </c>
      <c r="H283" s="11">
        <v>28.216999999999999</v>
      </c>
      <c r="I283" s="11">
        <v>36.548999999999999</v>
      </c>
      <c r="J283" s="11">
        <v>709.91</v>
      </c>
      <c r="K283" s="11">
        <v>-0.50073000000000001</v>
      </c>
      <c r="L283" s="11">
        <v>63.689</v>
      </c>
      <c r="M283" s="11">
        <v>9.7599000000000005E-2</v>
      </c>
      <c r="N283" s="2" t="s">
        <v>538</v>
      </c>
    </row>
    <row r="284" spans="1:14" ht="12.3">
      <c r="A284" s="11">
        <v>1490</v>
      </c>
      <c r="B284" s="11">
        <v>2.0699999999999998</v>
      </c>
      <c r="C284" s="11">
        <v>0.16639999999999999</v>
      </c>
      <c r="D284" s="11">
        <v>6.0095999999999998</v>
      </c>
      <c r="E284" s="11">
        <v>36.521000000000001</v>
      </c>
      <c r="F284" s="11">
        <v>48.96</v>
      </c>
      <c r="G284" s="11">
        <v>232.63</v>
      </c>
      <c r="H284" s="11">
        <v>28.23</v>
      </c>
      <c r="I284" s="11">
        <v>36.561999999999998</v>
      </c>
      <c r="J284" s="11">
        <v>711.06</v>
      </c>
      <c r="K284" s="11">
        <v>-0.50200999999999996</v>
      </c>
      <c r="L284" s="11">
        <v>63.826999999999998</v>
      </c>
      <c r="M284" s="11">
        <v>9.7853999999999997E-2</v>
      </c>
      <c r="N284" s="2" t="s">
        <v>538</v>
      </c>
    </row>
    <row r="285" spans="1:14" ht="12.3">
      <c r="A285" s="11">
        <v>1495</v>
      </c>
      <c r="B285" s="11">
        <v>2.0699999999999998</v>
      </c>
      <c r="C285" s="11">
        <v>0.16585</v>
      </c>
      <c r="D285" s="11">
        <v>6.0297000000000001</v>
      </c>
      <c r="E285" s="11">
        <v>36.661999999999999</v>
      </c>
      <c r="F285" s="11">
        <v>49.143000000000001</v>
      </c>
      <c r="G285" s="11">
        <v>232.76</v>
      </c>
      <c r="H285" s="11">
        <v>28.242999999999999</v>
      </c>
      <c r="I285" s="11">
        <v>36.575000000000003</v>
      </c>
      <c r="J285" s="11">
        <v>712.2</v>
      </c>
      <c r="K285" s="11">
        <v>-0.50327999999999995</v>
      </c>
      <c r="L285" s="11">
        <v>63.966000000000001</v>
      </c>
      <c r="M285" s="11">
        <v>9.8110000000000003E-2</v>
      </c>
      <c r="N285" s="2" t="s">
        <v>538</v>
      </c>
    </row>
    <row r="286" spans="1:14" ht="12.3">
      <c r="A286" s="11">
        <v>1500</v>
      </c>
      <c r="B286" s="11">
        <v>2.0699999999999998</v>
      </c>
      <c r="C286" s="11">
        <v>0.1653</v>
      </c>
      <c r="D286" s="11">
        <v>6.0498000000000003</v>
      </c>
      <c r="E286" s="11">
        <v>36.802999999999997</v>
      </c>
      <c r="F286" s="11">
        <v>49.326000000000001</v>
      </c>
      <c r="G286" s="11">
        <v>232.88</v>
      </c>
      <c r="H286" s="11">
        <v>28.256</v>
      </c>
      <c r="I286" s="11">
        <v>36.588000000000001</v>
      </c>
      <c r="J286" s="11">
        <v>713.34</v>
      </c>
      <c r="K286" s="11">
        <v>-0.50453999999999999</v>
      </c>
      <c r="L286" s="11">
        <v>64.103999999999999</v>
      </c>
      <c r="M286" s="11">
        <v>9.8364999999999994E-2</v>
      </c>
      <c r="N286" s="2" t="s">
        <v>538</v>
      </c>
    </row>
    <row r="287" spans="1:14" ht="12.3">
      <c r="A287" s="11">
        <v>1505</v>
      </c>
      <c r="B287" s="11">
        <v>2.0699999999999998</v>
      </c>
      <c r="C287" s="11">
        <v>0.16475000000000001</v>
      </c>
      <c r="D287" s="11">
        <v>6.0698999999999996</v>
      </c>
      <c r="E287" s="11">
        <v>36.945</v>
      </c>
      <c r="F287" s="11">
        <v>49.509</v>
      </c>
      <c r="G287" s="11">
        <v>233</v>
      </c>
      <c r="H287" s="11">
        <v>28.268999999999998</v>
      </c>
      <c r="I287" s="11">
        <v>36.600999999999999</v>
      </c>
      <c r="J287" s="11">
        <v>714.49</v>
      </c>
      <c r="K287" s="11">
        <v>-0.50578999999999996</v>
      </c>
      <c r="L287" s="11">
        <v>64.241</v>
      </c>
      <c r="M287" s="11">
        <v>9.8619999999999999E-2</v>
      </c>
      <c r="N287" s="2" t="s">
        <v>538</v>
      </c>
    </row>
    <row r="288" spans="1:14" ht="12.3">
      <c r="A288" s="11">
        <v>1510</v>
      </c>
      <c r="B288" s="11">
        <v>2.0699999999999998</v>
      </c>
      <c r="C288" s="11">
        <v>0.16420000000000001</v>
      </c>
      <c r="D288" s="11">
        <v>6.09</v>
      </c>
      <c r="E288" s="11">
        <v>37.085999999999999</v>
      </c>
      <c r="F288" s="11">
        <v>49.692</v>
      </c>
      <c r="G288" s="11">
        <v>233.12</v>
      </c>
      <c r="H288" s="11">
        <v>28.282</v>
      </c>
      <c r="I288" s="11">
        <v>36.613999999999997</v>
      </c>
      <c r="J288" s="11">
        <v>715.63</v>
      </c>
      <c r="K288" s="11">
        <v>-0.50702000000000003</v>
      </c>
      <c r="L288" s="11">
        <v>64.379000000000005</v>
      </c>
      <c r="M288" s="11">
        <v>9.8875000000000005E-2</v>
      </c>
      <c r="N288" s="2" t="s">
        <v>538</v>
      </c>
    </row>
    <row r="289" spans="1:14" ht="12.3">
      <c r="A289" s="11">
        <v>1515</v>
      </c>
      <c r="B289" s="11">
        <v>2.0699999999999998</v>
      </c>
      <c r="C289" s="11">
        <v>0.16366</v>
      </c>
      <c r="D289" s="11">
        <v>6.1101000000000001</v>
      </c>
      <c r="E289" s="11">
        <v>37.226999999999997</v>
      </c>
      <c r="F289" s="11">
        <v>49.875</v>
      </c>
      <c r="G289" s="11">
        <v>233.24</v>
      </c>
      <c r="H289" s="11">
        <v>28.295000000000002</v>
      </c>
      <c r="I289" s="11">
        <v>36.627000000000002</v>
      </c>
      <c r="J289" s="11">
        <v>716.76</v>
      </c>
      <c r="K289" s="11">
        <v>-0.50824999999999998</v>
      </c>
      <c r="L289" s="11">
        <v>64.516999999999996</v>
      </c>
      <c r="M289" s="11">
        <v>9.9128999999999995E-2</v>
      </c>
      <c r="N289" s="2" t="s">
        <v>538</v>
      </c>
    </row>
    <row r="290" spans="1:14" ht="12.3">
      <c r="A290" s="11">
        <v>1520</v>
      </c>
      <c r="B290" s="11">
        <v>2.0699999999999998</v>
      </c>
      <c r="C290" s="11">
        <v>0.16313</v>
      </c>
      <c r="D290" s="11">
        <v>6.1302000000000003</v>
      </c>
      <c r="E290" s="11">
        <v>37.369</v>
      </c>
      <c r="F290" s="11">
        <v>50.058999999999997</v>
      </c>
      <c r="G290" s="11">
        <v>233.36</v>
      </c>
      <c r="H290" s="11">
        <v>28.308</v>
      </c>
      <c r="I290" s="11">
        <v>36.639000000000003</v>
      </c>
      <c r="J290" s="11">
        <v>717.9</v>
      </c>
      <c r="K290" s="11">
        <v>-0.50946000000000002</v>
      </c>
      <c r="L290" s="11">
        <v>64.653999999999996</v>
      </c>
      <c r="M290" s="11">
        <v>9.9384E-2</v>
      </c>
      <c r="N290" s="2" t="s">
        <v>538</v>
      </c>
    </row>
    <row r="291" spans="1:14" ht="12.3">
      <c r="A291" s="11">
        <v>1525</v>
      </c>
      <c r="B291" s="11">
        <v>2.0699999999999998</v>
      </c>
      <c r="C291" s="11">
        <v>0.16259000000000001</v>
      </c>
      <c r="D291" s="11">
        <v>6.1502999999999997</v>
      </c>
      <c r="E291" s="11">
        <v>37.511000000000003</v>
      </c>
      <c r="F291" s="11">
        <v>50.241999999999997</v>
      </c>
      <c r="G291" s="11">
        <v>233.48</v>
      </c>
      <c r="H291" s="11">
        <v>28.321000000000002</v>
      </c>
      <c r="I291" s="11">
        <v>36.652000000000001</v>
      </c>
      <c r="J291" s="11">
        <v>719.03</v>
      </c>
      <c r="K291" s="11">
        <v>-0.51066</v>
      </c>
      <c r="L291" s="11">
        <v>64.790999999999997</v>
      </c>
      <c r="M291" s="11">
        <v>9.9638000000000004E-2</v>
      </c>
      <c r="N291" s="2" t="s">
        <v>538</v>
      </c>
    </row>
    <row r="292" spans="1:14" ht="12.3">
      <c r="A292" s="11">
        <v>1530</v>
      </c>
      <c r="B292" s="11">
        <v>2.0699999999999998</v>
      </c>
      <c r="C292" s="11">
        <v>0.16206000000000001</v>
      </c>
      <c r="D292" s="11">
        <v>6.1703999999999999</v>
      </c>
      <c r="E292" s="11">
        <v>37.652000000000001</v>
      </c>
      <c r="F292" s="11">
        <v>50.424999999999997</v>
      </c>
      <c r="G292" s="11">
        <v>233.6</v>
      </c>
      <c r="H292" s="11">
        <v>28.334</v>
      </c>
      <c r="I292" s="11">
        <v>36.664999999999999</v>
      </c>
      <c r="J292" s="11">
        <v>720.17</v>
      </c>
      <c r="K292" s="11">
        <v>-0.51185000000000003</v>
      </c>
      <c r="L292" s="11">
        <v>64.929000000000002</v>
      </c>
      <c r="M292" s="11">
        <v>9.9891999999999995E-2</v>
      </c>
      <c r="N292" s="2" t="s">
        <v>538</v>
      </c>
    </row>
    <row r="293" spans="1:14" ht="12.3">
      <c r="A293" s="11">
        <v>1535</v>
      </c>
      <c r="B293" s="11">
        <v>2.0699999999999998</v>
      </c>
      <c r="C293" s="11">
        <v>0.16153999999999999</v>
      </c>
      <c r="D293" s="11">
        <v>6.1905000000000001</v>
      </c>
      <c r="E293" s="11">
        <v>37.793999999999997</v>
      </c>
      <c r="F293" s="11">
        <v>50.607999999999997</v>
      </c>
      <c r="G293" s="11">
        <v>233.72</v>
      </c>
      <c r="H293" s="11">
        <v>28.347000000000001</v>
      </c>
      <c r="I293" s="11">
        <v>36.677999999999997</v>
      </c>
      <c r="J293" s="11">
        <v>721.3</v>
      </c>
      <c r="K293" s="11">
        <v>-0.51302999999999999</v>
      </c>
      <c r="L293" s="11">
        <v>65.064999999999998</v>
      </c>
      <c r="M293" s="11">
        <v>0.10015</v>
      </c>
      <c r="N293" s="2" t="s">
        <v>538</v>
      </c>
    </row>
    <row r="294" spans="1:14" ht="12.3">
      <c r="A294" s="11">
        <v>1540</v>
      </c>
      <c r="B294" s="11">
        <v>2.0699999999999998</v>
      </c>
      <c r="C294" s="11">
        <v>0.16102</v>
      </c>
      <c r="D294" s="11">
        <v>6.2106000000000003</v>
      </c>
      <c r="E294" s="11">
        <v>37.936</v>
      </c>
      <c r="F294" s="11">
        <v>50.792000000000002</v>
      </c>
      <c r="G294" s="11">
        <v>233.84</v>
      </c>
      <c r="H294" s="11">
        <v>28.359000000000002</v>
      </c>
      <c r="I294" s="11">
        <v>36.69</v>
      </c>
      <c r="J294" s="11">
        <v>722.42</v>
      </c>
      <c r="K294" s="11">
        <v>-0.51419999999999999</v>
      </c>
      <c r="L294" s="11">
        <v>65.201999999999998</v>
      </c>
      <c r="M294" s="11">
        <v>0.1004</v>
      </c>
      <c r="N294" s="2" t="s">
        <v>538</v>
      </c>
    </row>
    <row r="295" spans="1:14" ht="12.3">
      <c r="A295" s="11">
        <v>1545</v>
      </c>
      <c r="B295" s="11">
        <v>2.0699999999999998</v>
      </c>
      <c r="C295" s="11">
        <v>0.1605</v>
      </c>
      <c r="D295" s="11">
        <v>6.2306999999999997</v>
      </c>
      <c r="E295" s="11">
        <v>38.078000000000003</v>
      </c>
      <c r="F295" s="11">
        <v>50.975000000000001</v>
      </c>
      <c r="G295" s="11">
        <v>233.96</v>
      </c>
      <c r="H295" s="11">
        <v>28.372</v>
      </c>
      <c r="I295" s="11">
        <v>36.703000000000003</v>
      </c>
      <c r="J295" s="11">
        <v>723.55</v>
      </c>
      <c r="K295" s="11">
        <v>-0.51534999999999997</v>
      </c>
      <c r="L295" s="11">
        <v>65.338999999999999</v>
      </c>
      <c r="M295" s="11">
        <v>0.10065</v>
      </c>
      <c r="N295" s="2" t="s">
        <v>538</v>
      </c>
    </row>
    <row r="296" spans="1:14" ht="12.3">
      <c r="A296" s="11">
        <v>1550</v>
      </c>
      <c r="B296" s="11">
        <v>2.0699999999999998</v>
      </c>
      <c r="C296" s="11">
        <v>0.15998000000000001</v>
      </c>
      <c r="D296" s="11">
        <v>6.2507999999999999</v>
      </c>
      <c r="E296" s="11">
        <v>38.22</v>
      </c>
      <c r="F296" s="11">
        <v>51.158999999999999</v>
      </c>
      <c r="G296" s="11">
        <v>234.08</v>
      </c>
      <c r="H296" s="11">
        <v>28.385000000000002</v>
      </c>
      <c r="I296" s="11">
        <v>36.716000000000001</v>
      </c>
      <c r="J296" s="11">
        <v>724.67</v>
      </c>
      <c r="K296" s="11">
        <v>-0.51649999999999996</v>
      </c>
      <c r="L296" s="11">
        <v>65.474999999999994</v>
      </c>
      <c r="M296" s="11">
        <v>0.10091</v>
      </c>
      <c r="N296" s="2" t="s">
        <v>538</v>
      </c>
    </row>
    <row r="297" spans="1:14" ht="12.3">
      <c r="A297" s="11">
        <v>1555</v>
      </c>
      <c r="B297" s="11">
        <v>2.0699999999999998</v>
      </c>
      <c r="C297" s="11">
        <v>0.15947</v>
      </c>
      <c r="D297" s="11">
        <v>6.2709000000000001</v>
      </c>
      <c r="E297" s="11">
        <v>38.362000000000002</v>
      </c>
      <c r="F297" s="11">
        <v>51.341999999999999</v>
      </c>
      <c r="G297" s="11">
        <v>234.2</v>
      </c>
      <c r="H297" s="11">
        <v>28.398</v>
      </c>
      <c r="I297" s="11">
        <v>36.728000000000002</v>
      </c>
      <c r="J297" s="11">
        <v>725.8</v>
      </c>
      <c r="K297" s="11">
        <v>-0.51763000000000003</v>
      </c>
      <c r="L297" s="11">
        <v>65.611999999999995</v>
      </c>
      <c r="M297" s="11">
        <v>0.10116</v>
      </c>
      <c r="N297" s="2" t="s">
        <v>538</v>
      </c>
    </row>
    <row r="298" spans="1:14" ht="12.3">
      <c r="A298" s="11">
        <v>1560</v>
      </c>
      <c r="B298" s="11">
        <v>2.0699999999999998</v>
      </c>
      <c r="C298" s="11">
        <v>0.15895999999999999</v>
      </c>
      <c r="D298" s="11">
        <v>6.2910000000000004</v>
      </c>
      <c r="E298" s="11">
        <v>38.503999999999998</v>
      </c>
      <c r="F298" s="11">
        <v>51.526000000000003</v>
      </c>
      <c r="G298" s="11">
        <v>234.32</v>
      </c>
      <c r="H298" s="11">
        <v>28.41</v>
      </c>
      <c r="I298" s="11">
        <v>36.741</v>
      </c>
      <c r="J298" s="11">
        <v>726.92</v>
      </c>
      <c r="K298" s="11">
        <v>-0.51876</v>
      </c>
      <c r="L298" s="11">
        <v>65.748000000000005</v>
      </c>
      <c r="M298" s="11">
        <v>0.10141</v>
      </c>
      <c r="N298" s="2" t="s">
        <v>538</v>
      </c>
    </row>
    <row r="299" spans="1:14" ht="12.3">
      <c r="A299" s="11">
        <v>1565</v>
      </c>
      <c r="B299" s="11">
        <v>2.0699999999999998</v>
      </c>
      <c r="C299" s="11">
        <v>0.15845000000000001</v>
      </c>
      <c r="D299" s="11">
        <v>6.3110999999999997</v>
      </c>
      <c r="E299" s="11">
        <v>38.646000000000001</v>
      </c>
      <c r="F299" s="11">
        <v>51.71</v>
      </c>
      <c r="G299" s="11">
        <v>234.43</v>
      </c>
      <c r="H299" s="11">
        <v>28.422999999999998</v>
      </c>
      <c r="I299" s="11">
        <v>36.753</v>
      </c>
      <c r="J299" s="11">
        <v>728.04</v>
      </c>
      <c r="K299" s="11">
        <v>-0.51987000000000005</v>
      </c>
      <c r="L299" s="11">
        <v>65.884</v>
      </c>
      <c r="M299" s="11">
        <v>0.10167</v>
      </c>
      <c r="N299" s="2" t="s">
        <v>538</v>
      </c>
    </row>
    <row r="300" spans="1:14" ht="12.3">
      <c r="A300" s="11">
        <v>1570</v>
      </c>
      <c r="B300" s="11">
        <v>2.0699999999999998</v>
      </c>
      <c r="C300" s="11">
        <v>0.15795000000000001</v>
      </c>
      <c r="D300" s="11">
        <v>6.3311999999999999</v>
      </c>
      <c r="E300" s="11">
        <v>38.787999999999997</v>
      </c>
      <c r="F300" s="11">
        <v>51.893999999999998</v>
      </c>
      <c r="G300" s="11">
        <v>234.55</v>
      </c>
      <c r="H300" s="11">
        <v>28.436</v>
      </c>
      <c r="I300" s="11">
        <v>36.765999999999998</v>
      </c>
      <c r="J300" s="11">
        <v>729.15</v>
      </c>
      <c r="K300" s="11">
        <v>-0.52098</v>
      </c>
      <c r="L300" s="11">
        <v>66.02</v>
      </c>
      <c r="M300" s="11">
        <v>0.10192</v>
      </c>
      <c r="N300" s="2" t="s">
        <v>538</v>
      </c>
    </row>
    <row r="301" spans="1:14" ht="12.3">
      <c r="A301" s="11">
        <v>1575</v>
      </c>
      <c r="B301" s="11">
        <v>2.0699999999999998</v>
      </c>
      <c r="C301" s="11">
        <v>0.15745000000000001</v>
      </c>
      <c r="D301" s="11">
        <v>6.3513000000000002</v>
      </c>
      <c r="E301" s="11">
        <v>38.93</v>
      </c>
      <c r="F301" s="11">
        <v>52.078000000000003</v>
      </c>
      <c r="G301" s="11">
        <v>234.67</v>
      </c>
      <c r="H301" s="11">
        <v>28.448</v>
      </c>
      <c r="I301" s="11">
        <v>36.777999999999999</v>
      </c>
      <c r="J301" s="11">
        <v>730.27</v>
      </c>
      <c r="K301" s="11">
        <v>-0.52207000000000003</v>
      </c>
      <c r="L301" s="11">
        <v>66.156000000000006</v>
      </c>
      <c r="M301" s="11">
        <v>0.10217</v>
      </c>
      <c r="N301" s="2" t="s">
        <v>538</v>
      </c>
    </row>
    <row r="302" spans="1:14" ht="12.3">
      <c r="A302" s="11">
        <v>1580</v>
      </c>
      <c r="B302" s="11">
        <v>2.0699999999999998</v>
      </c>
      <c r="C302" s="11">
        <v>0.15695000000000001</v>
      </c>
      <c r="D302" s="11">
        <v>6.3714000000000004</v>
      </c>
      <c r="E302" s="11">
        <v>39.073</v>
      </c>
      <c r="F302" s="11">
        <v>52.261000000000003</v>
      </c>
      <c r="G302" s="11">
        <v>234.79</v>
      </c>
      <c r="H302" s="11">
        <v>28.460999999999999</v>
      </c>
      <c r="I302" s="11">
        <v>36.790999999999997</v>
      </c>
      <c r="J302" s="11">
        <v>731.38</v>
      </c>
      <c r="K302" s="11">
        <v>-0.52315</v>
      </c>
      <c r="L302" s="11">
        <v>66.292000000000002</v>
      </c>
      <c r="M302" s="11">
        <v>0.10242999999999999</v>
      </c>
      <c r="N302" s="2" t="s">
        <v>538</v>
      </c>
    </row>
    <row r="303" spans="1:14" ht="12.3">
      <c r="A303" s="11">
        <v>1585</v>
      </c>
      <c r="B303" s="11">
        <v>2.0699999999999998</v>
      </c>
      <c r="C303" s="11">
        <v>0.15645999999999999</v>
      </c>
      <c r="D303" s="11">
        <v>6.3914999999999997</v>
      </c>
      <c r="E303" s="11">
        <v>39.215000000000003</v>
      </c>
      <c r="F303" s="11">
        <v>52.445</v>
      </c>
      <c r="G303" s="11">
        <v>234.9</v>
      </c>
      <c r="H303" s="11">
        <v>28.472999999999999</v>
      </c>
      <c r="I303" s="11">
        <v>36.802999999999997</v>
      </c>
      <c r="J303" s="11">
        <v>732.49</v>
      </c>
      <c r="K303" s="11">
        <v>-0.52422999999999997</v>
      </c>
      <c r="L303" s="11">
        <v>66.427000000000007</v>
      </c>
      <c r="M303" s="11">
        <v>0.10267999999999999</v>
      </c>
      <c r="N303" s="2" t="s">
        <v>538</v>
      </c>
    </row>
    <row r="304" spans="1:14" ht="12.3">
      <c r="A304" s="11">
        <v>1590</v>
      </c>
      <c r="B304" s="11">
        <v>2.0699999999999998</v>
      </c>
      <c r="C304" s="11">
        <v>0.15597</v>
      </c>
      <c r="D304" s="11">
        <v>6.4116</v>
      </c>
      <c r="E304" s="11">
        <v>39.356999999999999</v>
      </c>
      <c r="F304" s="11">
        <v>52.628999999999998</v>
      </c>
      <c r="G304" s="11">
        <v>235.02</v>
      </c>
      <c r="H304" s="11">
        <v>28.486000000000001</v>
      </c>
      <c r="I304" s="11">
        <v>36.816000000000003</v>
      </c>
      <c r="J304" s="11">
        <v>733.6</v>
      </c>
      <c r="K304" s="11">
        <v>-0.52529000000000003</v>
      </c>
      <c r="L304" s="11">
        <v>66.563000000000002</v>
      </c>
      <c r="M304" s="11">
        <v>0.10292999999999999</v>
      </c>
      <c r="N304" s="2" t="s">
        <v>538</v>
      </c>
    </row>
    <row r="305" spans="1:14" ht="12.3">
      <c r="A305" s="11">
        <v>1595</v>
      </c>
      <c r="B305" s="11">
        <v>2.0699999999999998</v>
      </c>
      <c r="C305" s="11">
        <v>0.15548000000000001</v>
      </c>
      <c r="D305" s="11">
        <v>6.4317000000000002</v>
      </c>
      <c r="E305" s="11">
        <v>39.5</v>
      </c>
      <c r="F305" s="11">
        <v>52.814</v>
      </c>
      <c r="G305" s="11">
        <v>235.13</v>
      </c>
      <c r="H305" s="11">
        <v>28.498000000000001</v>
      </c>
      <c r="I305" s="11">
        <v>36.828000000000003</v>
      </c>
      <c r="J305" s="11">
        <v>734.71</v>
      </c>
      <c r="K305" s="11">
        <v>-0.52634000000000003</v>
      </c>
      <c r="L305" s="11">
        <v>66.697999999999993</v>
      </c>
      <c r="M305" s="11">
        <v>0.10317999999999999</v>
      </c>
      <c r="N305" s="2" t="s">
        <v>538</v>
      </c>
    </row>
    <row r="306" spans="1:14" ht="12.3">
      <c r="A306" s="11">
        <v>1600</v>
      </c>
      <c r="B306" s="11">
        <v>2.0699999999999998</v>
      </c>
      <c r="C306" s="11">
        <v>0.15498999999999999</v>
      </c>
      <c r="D306" s="11">
        <v>6.4518000000000004</v>
      </c>
      <c r="E306" s="11">
        <v>39.642000000000003</v>
      </c>
      <c r="F306" s="11">
        <v>52.997999999999998</v>
      </c>
      <c r="G306" s="11">
        <v>235.25</v>
      </c>
      <c r="H306" s="11">
        <v>28.510999999999999</v>
      </c>
      <c r="I306" s="11">
        <v>36.841000000000001</v>
      </c>
      <c r="J306" s="11">
        <v>735.82</v>
      </c>
      <c r="K306" s="11">
        <v>-0.52739000000000003</v>
      </c>
      <c r="L306" s="11">
        <v>66.832999999999998</v>
      </c>
      <c r="M306" s="11">
        <v>0.10344</v>
      </c>
      <c r="N306" s="2" t="s">
        <v>538</v>
      </c>
    </row>
    <row r="307" spans="1:14" ht="12.3">
      <c r="A307" s="11">
        <v>1605</v>
      </c>
      <c r="B307" s="11">
        <v>2.0699999999999998</v>
      </c>
      <c r="C307" s="11">
        <v>0.15451000000000001</v>
      </c>
      <c r="D307" s="11">
        <v>6.4718999999999998</v>
      </c>
      <c r="E307" s="11">
        <v>39.784999999999997</v>
      </c>
      <c r="F307" s="11">
        <v>53.182000000000002</v>
      </c>
      <c r="G307" s="11">
        <v>235.36</v>
      </c>
      <c r="H307" s="11">
        <v>28.523</v>
      </c>
      <c r="I307" s="11">
        <v>36.853000000000002</v>
      </c>
      <c r="J307" s="11">
        <v>736.92</v>
      </c>
      <c r="K307" s="11">
        <v>-0.52842</v>
      </c>
      <c r="L307" s="11">
        <v>66.968000000000004</v>
      </c>
      <c r="M307" s="11">
        <v>0.10369</v>
      </c>
      <c r="N307" s="2" t="s">
        <v>538</v>
      </c>
    </row>
    <row r="308" spans="1:14" ht="12.3">
      <c r="A308" s="11">
        <v>1610</v>
      </c>
      <c r="B308" s="11">
        <v>2.0699999999999998</v>
      </c>
      <c r="C308" s="11">
        <v>0.15404000000000001</v>
      </c>
      <c r="D308" s="11">
        <v>6.492</v>
      </c>
      <c r="E308" s="11">
        <v>39.927999999999997</v>
      </c>
      <c r="F308" s="11">
        <v>53.366</v>
      </c>
      <c r="G308" s="11">
        <v>235.48</v>
      </c>
      <c r="H308" s="11">
        <v>28.536000000000001</v>
      </c>
      <c r="I308" s="11">
        <v>36.865000000000002</v>
      </c>
      <c r="J308" s="11">
        <v>738.02</v>
      </c>
      <c r="K308" s="11">
        <v>-0.52944000000000002</v>
      </c>
      <c r="L308" s="11">
        <v>67.102999999999994</v>
      </c>
      <c r="M308" s="11">
        <v>0.10394</v>
      </c>
      <c r="N308" s="2" t="s">
        <v>538</v>
      </c>
    </row>
    <row r="309" spans="1:14" ht="12.3">
      <c r="A309" s="11">
        <v>1615</v>
      </c>
      <c r="B309" s="11">
        <v>2.0699999999999998</v>
      </c>
      <c r="C309" s="11">
        <v>0.15356</v>
      </c>
      <c r="D309" s="11">
        <v>6.5121000000000002</v>
      </c>
      <c r="E309" s="11">
        <v>40.070999999999998</v>
      </c>
      <c r="F309" s="11">
        <v>53.551000000000002</v>
      </c>
      <c r="G309" s="11">
        <v>235.59</v>
      </c>
      <c r="H309" s="11">
        <v>28.547999999999998</v>
      </c>
      <c r="I309" s="11">
        <v>36.877000000000002</v>
      </c>
      <c r="J309" s="11">
        <v>739.13</v>
      </c>
      <c r="K309" s="11">
        <v>-0.53046000000000004</v>
      </c>
      <c r="L309" s="11">
        <v>67.236999999999995</v>
      </c>
      <c r="M309" s="11">
        <v>0.10419</v>
      </c>
      <c r="N309" s="2" t="s">
        <v>538</v>
      </c>
    </row>
    <row r="310" spans="1:14" ht="12.3">
      <c r="A310" s="11">
        <v>1620</v>
      </c>
      <c r="B310" s="11">
        <v>2.0699999999999998</v>
      </c>
      <c r="C310" s="11">
        <v>0.15309</v>
      </c>
      <c r="D310" s="11">
        <v>6.5321999999999996</v>
      </c>
      <c r="E310" s="11">
        <v>40.213000000000001</v>
      </c>
      <c r="F310" s="11">
        <v>53.734999999999999</v>
      </c>
      <c r="G310" s="11">
        <v>235.71</v>
      </c>
      <c r="H310" s="11">
        <v>28.561</v>
      </c>
      <c r="I310" s="11">
        <v>36.89</v>
      </c>
      <c r="J310" s="11">
        <v>740.22</v>
      </c>
      <c r="K310" s="11">
        <v>-0.53147</v>
      </c>
      <c r="L310" s="11">
        <v>67.372</v>
      </c>
      <c r="M310" s="11">
        <v>0.10444000000000001</v>
      </c>
      <c r="N310" s="2" t="s">
        <v>538</v>
      </c>
    </row>
    <row r="311" spans="1:14" ht="12.3">
      <c r="A311" s="11">
        <v>1625</v>
      </c>
      <c r="B311" s="11">
        <v>2.0699999999999998</v>
      </c>
      <c r="C311" s="11">
        <v>0.15262000000000001</v>
      </c>
      <c r="D311" s="11">
        <v>6.5522999999999998</v>
      </c>
      <c r="E311" s="11">
        <v>40.356000000000002</v>
      </c>
      <c r="F311" s="11">
        <v>53.92</v>
      </c>
      <c r="G311" s="11">
        <v>235.82</v>
      </c>
      <c r="H311" s="11">
        <v>28.573</v>
      </c>
      <c r="I311" s="11">
        <v>36.902000000000001</v>
      </c>
      <c r="J311" s="11">
        <v>741.32</v>
      </c>
      <c r="K311" s="11">
        <v>-0.53246000000000004</v>
      </c>
      <c r="L311" s="11">
        <v>67.507000000000005</v>
      </c>
      <c r="M311" s="11">
        <v>0.10469000000000001</v>
      </c>
      <c r="N311" s="2" t="s">
        <v>538</v>
      </c>
    </row>
    <row r="312" spans="1:14" ht="12.3">
      <c r="A312" s="11">
        <v>1630</v>
      </c>
      <c r="B312" s="11">
        <v>2.0699999999999998</v>
      </c>
      <c r="C312" s="11">
        <v>0.15215000000000001</v>
      </c>
      <c r="D312" s="11">
        <v>6.5724</v>
      </c>
      <c r="E312" s="11">
        <v>40.499000000000002</v>
      </c>
      <c r="F312" s="11">
        <v>54.103999999999999</v>
      </c>
      <c r="G312" s="11">
        <v>235.93</v>
      </c>
      <c r="H312" s="11">
        <v>28.585000000000001</v>
      </c>
      <c r="I312" s="11">
        <v>36.914000000000001</v>
      </c>
      <c r="J312" s="11">
        <v>742.42</v>
      </c>
      <c r="K312" s="11">
        <v>-0.53344999999999998</v>
      </c>
      <c r="L312" s="11">
        <v>67.641000000000005</v>
      </c>
      <c r="M312" s="11">
        <v>0.10495</v>
      </c>
      <c r="N312" s="2" t="s">
        <v>538</v>
      </c>
    </row>
    <row r="313" spans="1:14" ht="12.3">
      <c r="A313" s="11">
        <v>1635</v>
      </c>
      <c r="B313" s="11">
        <v>2.0699999999999998</v>
      </c>
      <c r="C313" s="11">
        <v>0.15168999999999999</v>
      </c>
      <c r="D313" s="11">
        <v>6.5925000000000002</v>
      </c>
      <c r="E313" s="11">
        <v>40.642000000000003</v>
      </c>
      <c r="F313" s="11">
        <v>54.289000000000001</v>
      </c>
      <c r="G313" s="11">
        <v>236.05</v>
      </c>
      <c r="H313" s="11">
        <v>28.597999999999999</v>
      </c>
      <c r="I313" s="11">
        <v>36.926000000000002</v>
      </c>
      <c r="J313" s="11">
        <v>743.51</v>
      </c>
      <c r="K313" s="11">
        <v>-0.53442999999999996</v>
      </c>
      <c r="L313" s="11">
        <v>67.775000000000006</v>
      </c>
      <c r="M313" s="11">
        <v>0.1052</v>
      </c>
      <c r="N313" s="2" t="s">
        <v>538</v>
      </c>
    </row>
    <row r="314" spans="1:14" ht="12.3">
      <c r="A314" s="11">
        <v>1640</v>
      </c>
      <c r="B314" s="11">
        <v>2.0699999999999998</v>
      </c>
      <c r="C314" s="11">
        <v>0.15123</v>
      </c>
      <c r="D314" s="11">
        <v>6.6125999999999996</v>
      </c>
      <c r="E314" s="11">
        <v>40.784999999999997</v>
      </c>
      <c r="F314" s="11">
        <v>54.472999999999999</v>
      </c>
      <c r="G314" s="11">
        <v>236.16</v>
      </c>
      <c r="H314" s="11">
        <v>28.61</v>
      </c>
      <c r="I314" s="11">
        <v>36.939</v>
      </c>
      <c r="J314" s="11">
        <v>744.6</v>
      </c>
      <c r="K314" s="11">
        <v>-0.53539999999999999</v>
      </c>
      <c r="L314" s="11">
        <v>67.909000000000006</v>
      </c>
      <c r="M314" s="11">
        <v>0.10545</v>
      </c>
      <c r="N314" s="2" t="s">
        <v>538</v>
      </c>
    </row>
    <row r="315" spans="1:14" ht="12.3">
      <c r="A315" s="11">
        <v>1645</v>
      </c>
      <c r="B315" s="11">
        <v>2.0699999999999998</v>
      </c>
      <c r="C315" s="11">
        <v>0.15076999999999999</v>
      </c>
      <c r="D315" s="11">
        <v>6.6326999999999998</v>
      </c>
      <c r="E315" s="11">
        <v>40.927999999999997</v>
      </c>
      <c r="F315" s="11">
        <v>54.658000000000001</v>
      </c>
      <c r="G315" s="11">
        <v>236.27</v>
      </c>
      <c r="H315" s="11">
        <v>28.622</v>
      </c>
      <c r="I315" s="11">
        <v>36.951000000000001</v>
      </c>
      <c r="J315" s="11">
        <v>745.69</v>
      </c>
      <c r="K315" s="11">
        <v>-0.53635999999999995</v>
      </c>
      <c r="L315" s="11">
        <v>68.043000000000006</v>
      </c>
      <c r="M315" s="11">
        <v>0.1057</v>
      </c>
      <c r="N315" s="2" t="s">
        <v>538</v>
      </c>
    </row>
    <row r="316" spans="1:14" ht="12.3">
      <c r="A316" s="11">
        <v>1650</v>
      </c>
      <c r="B316" s="11">
        <v>2.0699999999999998</v>
      </c>
      <c r="C316" s="11">
        <v>0.15031</v>
      </c>
      <c r="D316" s="11">
        <v>6.6528</v>
      </c>
      <c r="E316" s="11">
        <v>41.070999999999998</v>
      </c>
      <c r="F316" s="11">
        <v>54.843000000000004</v>
      </c>
      <c r="G316" s="11">
        <v>236.38</v>
      </c>
      <c r="H316" s="11">
        <v>28.635000000000002</v>
      </c>
      <c r="I316" s="11">
        <v>36.963000000000001</v>
      </c>
      <c r="J316" s="11">
        <v>746.78</v>
      </c>
      <c r="K316" s="11">
        <v>-0.53730999999999995</v>
      </c>
      <c r="L316" s="11">
        <v>68.177000000000007</v>
      </c>
      <c r="M316" s="11">
        <v>0.10595</v>
      </c>
      <c r="N316" s="2" t="s">
        <v>538</v>
      </c>
    </row>
    <row r="317" spans="1:14" ht="12.3">
      <c r="A317" s="11">
        <v>1655</v>
      </c>
      <c r="B317" s="11">
        <v>2.0699999999999998</v>
      </c>
      <c r="C317" s="11">
        <v>0.14985999999999999</v>
      </c>
      <c r="D317" s="11">
        <v>6.6729000000000003</v>
      </c>
      <c r="E317" s="11">
        <v>41.215000000000003</v>
      </c>
      <c r="F317" s="11">
        <v>55.027999999999999</v>
      </c>
      <c r="G317" s="11">
        <v>236.5</v>
      </c>
      <c r="H317" s="11">
        <v>28.646999999999998</v>
      </c>
      <c r="I317" s="11">
        <v>36.975000000000001</v>
      </c>
      <c r="J317" s="11">
        <v>747.87</v>
      </c>
      <c r="K317" s="11">
        <v>-0.53825999999999996</v>
      </c>
      <c r="L317" s="11">
        <v>68.311000000000007</v>
      </c>
      <c r="M317" s="11">
        <v>0.1062</v>
      </c>
      <c r="N317" s="2" t="s">
        <v>538</v>
      </c>
    </row>
    <row r="318" spans="1:14" ht="12.3">
      <c r="A318" s="11">
        <v>1660</v>
      </c>
      <c r="B318" s="11">
        <v>2.0699999999999998</v>
      </c>
      <c r="C318" s="11">
        <v>0.14940999999999999</v>
      </c>
      <c r="D318" s="11">
        <v>6.6929999999999996</v>
      </c>
      <c r="E318" s="11">
        <v>41.357999999999997</v>
      </c>
      <c r="F318" s="11">
        <v>55.213000000000001</v>
      </c>
      <c r="G318" s="11">
        <v>236.61</v>
      </c>
      <c r="H318" s="11">
        <v>28.658999999999999</v>
      </c>
      <c r="I318" s="11">
        <v>36.987000000000002</v>
      </c>
      <c r="J318" s="11">
        <v>748.95</v>
      </c>
      <c r="K318" s="11">
        <v>-0.53918999999999995</v>
      </c>
      <c r="L318" s="11">
        <v>68.444000000000003</v>
      </c>
      <c r="M318" s="11">
        <v>0.10645</v>
      </c>
      <c r="N318" s="2" t="s">
        <v>538</v>
      </c>
    </row>
    <row r="319" spans="1:14" ht="12.3">
      <c r="A319" s="11">
        <v>1665</v>
      </c>
      <c r="B319" s="11">
        <v>2.0699999999999998</v>
      </c>
      <c r="C319" s="11">
        <v>0.14896000000000001</v>
      </c>
      <c r="D319" s="11">
        <v>6.7130999999999998</v>
      </c>
      <c r="E319" s="11">
        <v>41.500999999999998</v>
      </c>
      <c r="F319" s="11">
        <v>55.398000000000003</v>
      </c>
      <c r="G319" s="11">
        <v>236.72</v>
      </c>
      <c r="H319" s="11">
        <v>28.670999999999999</v>
      </c>
      <c r="I319" s="11">
        <v>36.999000000000002</v>
      </c>
      <c r="J319" s="11">
        <v>750.04</v>
      </c>
      <c r="K319" s="11">
        <v>-0.54012000000000004</v>
      </c>
      <c r="L319" s="11">
        <v>68.578000000000003</v>
      </c>
      <c r="M319" s="11">
        <v>0.1067</v>
      </c>
      <c r="N319" s="2" t="s">
        <v>538</v>
      </c>
    </row>
    <row r="320" spans="1:14" ht="12.3">
      <c r="A320" s="11">
        <v>1670</v>
      </c>
      <c r="B320" s="11">
        <v>2.0699999999999998</v>
      </c>
      <c r="C320" s="11">
        <v>0.14852000000000001</v>
      </c>
      <c r="D320" s="11">
        <v>6.7332000000000001</v>
      </c>
      <c r="E320" s="11">
        <v>41.645000000000003</v>
      </c>
      <c r="F320" s="11">
        <v>55.582999999999998</v>
      </c>
      <c r="G320" s="11">
        <v>236.83</v>
      </c>
      <c r="H320" s="11">
        <v>28.683</v>
      </c>
      <c r="I320" s="11">
        <v>37.011000000000003</v>
      </c>
      <c r="J320" s="11">
        <v>751.12</v>
      </c>
      <c r="K320" s="11">
        <v>-0.54103999999999997</v>
      </c>
      <c r="L320" s="11">
        <v>68.710999999999999</v>
      </c>
      <c r="M320" s="11">
        <v>0.10695</v>
      </c>
      <c r="N320" s="2" t="s">
        <v>538</v>
      </c>
    </row>
    <row r="321" spans="1:14" ht="12.3">
      <c r="A321" s="11">
        <v>1675</v>
      </c>
      <c r="B321" s="11">
        <v>2.0699999999999998</v>
      </c>
      <c r="C321" s="11">
        <v>0.14807999999999999</v>
      </c>
      <c r="D321" s="11">
        <v>6.7533000000000003</v>
      </c>
      <c r="E321" s="11">
        <v>41.787999999999997</v>
      </c>
      <c r="F321" s="11">
        <v>55.768000000000001</v>
      </c>
      <c r="G321" s="11">
        <v>236.94</v>
      </c>
      <c r="H321" s="11">
        <v>28.696000000000002</v>
      </c>
      <c r="I321" s="11">
        <v>37.024000000000001</v>
      </c>
      <c r="J321" s="11">
        <v>752.2</v>
      </c>
      <c r="K321" s="11">
        <v>-0.54195000000000004</v>
      </c>
      <c r="L321" s="11">
        <v>68.843999999999994</v>
      </c>
      <c r="M321" s="11">
        <v>0.1072</v>
      </c>
      <c r="N321" s="2" t="s">
        <v>538</v>
      </c>
    </row>
    <row r="322" spans="1:14" ht="12.3">
      <c r="A322" s="11">
        <v>1680</v>
      </c>
      <c r="B322" s="11">
        <v>2.0699999999999998</v>
      </c>
      <c r="C322" s="11">
        <v>0.14763999999999999</v>
      </c>
      <c r="D322" s="11">
        <v>6.7733999999999996</v>
      </c>
      <c r="E322" s="11">
        <v>41.932000000000002</v>
      </c>
      <c r="F322" s="11">
        <v>55.953000000000003</v>
      </c>
      <c r="G322" s="11">
        <v>237.05</v>
      </c>
      <c r="H322" s="11">
        <v>28.707999999999998</v>
      </c>
      <c r="I322" s="11">
        <v>37.036000000000001</v>
      </c>
      <c r="J322" s="11">
        <v>753.28</v>
      </c>
      <c r="K322" s="11">
        <v>-0.54285000000000005</v>
      </c>
      <c r="L322" s="11">
        <v>68.977000000000004</v>
      </c>
      <c r="M322" s="11">
        <v>0.10745</v>
      </c>
      <c r="N322" s="2" t="s">
        <v>538</v>
      </c>
    </row>
    <row r="323" spans="1:14" ht="12.3">
      <c r="A323" s="11">
        <v>1685</v>
      </c>
      <c r="B323" s="11">
        <v>2.0699999999999998</v>
      </c>
      <c r="C323" s="11">
        <v>0.1472</v>
      </c>
      <c r="D323" s="11">
        <v>6.7934999999999999</v>
      </c>
      <c r="E323" s="11">
        <v>42.075000000000003</v>
      </c>
      <c r="F323" s="11">
        <v>56.137999999999998</v>
      </c>
      <c r="G323" s="11">
        <v>237.16</v>
      </c>
      <c r="H323" s="11">
        <v>28.72</v>
      </c>
      <c r="I323" s="11">
        <v>37.048000000000002</v>
      </c>
      <c r="J323" s="11">
        <v>754.35</v>
      </c>
      <c r="K323" s="11">
        <v>-0.54374</v>
      </c>
      <c r="L323" s="11">
        <v>69.11</v>
      </c>
      <c r="M323" s="11">
        <v>0.1077</v>
      </c>
      <c r="N323" s="2" t="s">
        <v>538</v>
      </c>
    </row>
    <row r="324" spans="1:14" ht="12.3">
      <c r="A324" s="11">
        <v>1690</v>
      </c>
      <c r="B324" s="11">
        <v>2.0699999999999998</v>
      </c>
      <c r="C324" s="11">
        <v>0.14676</v>
      </c>
      <c r="D324" s="11">
        <v>6.8136000000000001</v>
      </c>
      <c r="E324" s="11">
        <v>42.219000000000001</v>
      </c>
      <c r="F324" s="11">
        <v>56.323</v>
      </c>
      <c r="G324" s="11">
        <v>237.27</v>
      </c>
      <c r="H324" s="11">
        <v>28.731999999999999</v>
      </c>
      <c r="I324" s="11">
        <v>37.06</v>
      </c>
      <c r="J324" s="11">
        <v>755.43</v>
      </c>
      <c r="K324" s="11">
        <v>-0.54462999999999995</v>
      </c>
      <c r="L324" s="11">
        <v>69.242999999999995</v>
      </c>
      <c r="M324" s="11">
        <v>0.10795</v>
      </c>
      <c r="N324" s="2" t="s">
        <v>538</v>
      </c>
    </row>
    <row r="325" spans="1:14" ht="12.3">
      <c r="A325" s="11">
        <v>1695</v>
      </c>
      <c r="B325" s="11">
        <v>2.0699999999999998</v>
      </c>
      <c r="C325" s="11">
        <v>0.14632999999999999</v>
      </c>
      <c r="D325" s="11">
        <v>6.8337000000000003</v>
      </c>
      <c r="E325" s="11">
        <v>42.363</v>
      </c>
      <c r="F325" s="11">
        <v>56.509</v>
      </c>
      <c r="G325" s="11">
        <v>237.38</v>
      </c>
      <c r="H325" s="11">
        <v>28.744</v>
      </c>
      <c r="I325" s="11">
        <v>37.072000000000003</v>
      </c>
      <c r="J325" s="11">
        <v>756.5</v>
      </c>
      <c r="K325" s="11">
        <v>-0.54549999999999998</v>
      </c>
      <c r="L325" s="11">
        <v>69.376000000000005</v>
      </c>
      <c r="M325" s="11">
        <v>0.1082</v>
      </c>
      <c r="N325" s="2" t="s">
        <v>538</v>
      </c>
    </row>
    <row r="326" spans="1:14" ht="12.3">
      <c r="A326" s="11">
        <v>1700</v>
      </c>
      <c r="B326" s="11">
        <v>2.0699999999999998</v>
      </c>
      <c r="C326" s="11">
        <v>0.1459</v>
      </c>
      <c r="D326" s="11">
        <v>6.8537999999999997</v>
      </c>
      <c r="E326" s="11">
        <v>42.506999999999998</v>
      </c>
      <c r="F326" s="11">
        <v>56.694000000000003</v>
      </c>
      <c r="G326" s="11">
        <v>237.49</v>
      </c>
      <c r="H326" s="11">
        <v>28.756</v>
      </c>
      <c r="I326" s="11">
        <v>37.084000000000003</v>
      </c>
      <c r="J326" s="11">
        <v>757.57</v>
      </c>
      <c r="K326" s="11">
        <v>-0.54637000000000002</v>
      </c>
      <c r="L326" s="11">
        <v>69.507999999999996</v>
      </c>
      <c r="M326" s="11">
        <v>0.10845</v>
      </c>
      <c r="N326" s="2" t="s">
        <v>538</v>
      </c>
    </row>
    <row r="327" spans="1:14" ht="12.3">
      <c r="A327" s="11">
        <v>1705</v>
      </c>
      <c r="B327" s="11">
        <v>2.0699999999999998</v>
      </c>
      <c r="C327" s="11">
        <v>0.14548</v>
      </c>
      <c r="D327" s="11">
        <v>6.8738999999999999</v>
      </c>
      <c r="E327" s="11">
        <v>42.65</v>
      </c>
      <c r="F327" s="11">
        <v>56.878999999999998</v>
      </c>
      <c r="G327" s="11">
        <v>237.6</v>
      </c>
      <c r="H327" s="11">
        <v>28.768000000000001</v>
      </c>
      <c r="I327" s="11">
        <v>37.095999999999997</v>
      </c>
      <c r="J327" s="11">
        <v>758.64</v>
      </c>
      <c r="K327" s="11">
        <v>-0.54723999999999995</v>
      </c>
      <c r="L327" s="11">
        <v>69.641000000000005</v>
      </c>
      <c r="M327" s="11">
        <v>0.1087</v>
      </c>
      <c r="N327" s="2" t="s">
        <v>538</v>
      </c>
    </row>
    <row r="328" spans="1:14" ht="12.3">
      <c r="A328" s="11">
        <v>1710</v>
      </c>
      <c r="B328" s="11">
        <v>2.0699999999999998</v>
      </c>
      <c r="C328" s="11">
        <v>0.14505000000000001</v>
      </c>
      <c r="D328" s="11">
        <v>6.8940000000000001</v>
      </c>
      <c r="E328" s="11">
        <v>42.793999999999997</v>
      </c>
      <c r="F328" s="11">
        <v>57.064999999999998</v>
      </c>
      <c r="G328" s="11">
        <v>237.71</v>
      </c>
      <c r="H328" s="11">
        <v>28.78</v>
      </c>
      <c r="I328" s="11">
        <v>37.107999999999997</v>
      </c>
      <c r="J328" s="11">
        <v>759.71</v>
      </c>
      <c r="K328" s="11">
        <v>-0.54808999999999997</v>
      </c>
      <c r="L328" s="11">
        <v>69.772999999999996</v>
      </c>
      <c r="M328" s="11">
        <v>0.10895000000000001</v>
      </c>
      <c r="N328" s="2" t="s">
        <v>538</v>
      </c>
    </row>
    <row r="329" spans="1:14" ht="12.3">
      <c r="A329" s="11">
        <v>1715</v>
      </c>
      <c r="B329" s="11">
        <v>2.0699999999999998</v>
      </c>
      <c r="C329" s="11">
        <v>0.14463000000000001</v>
      </c>
      <c r="D329" s="11">
        <v>6.9141000000000004</v>
      </c>
      <c r="E329" s="11">
        <v>42.938000000000002</v>
      </c>
      <c r="F329" s="11">
        <v>57.250999999999998</v>
      </c>
      <c r="G329" s="11">
        <v>237.82</v>
      </c>
      <c r="H329" s="11">
        <v>28.792000000000002</v>
      </c>
      <c r="I329" s="11">
        <v>37.119999999999997</v>
      </c>
      <c r="J329" s="11">
        <v>760.78</v>
      </c>
      <c r="K329" s="11">
        <v>-0.54893999999999998</v>
      </c>
      <c r="L329" s="11">
        <v>69.905000000000001</v>
      </c>
      <c r="M329" s="11">
        <v>0.10920000000000001</v>
      </c>
      <c r="N329" s="2" t="s">
        <v>538</v>
      </c>
    </row>
    <row r="330" spans="1:14" ht="12.3">
      <c r="A330" s="11">
        <v>1720</v>
      </c>
      <c r="B330" s="11">
        <v>2.0699999999999998</v>
      </c>
      <c r="C330" s="11">
        <v>0.14421</v>
      </c>
      <c r="D330" s="11">
        <v>6.9341999999999997</v>
      </c>
      <c r="E330" s="11">
        <v>43.082000000000001</v>
      </c>
      <c r="F330" s="11">
        <v>57.436</v>
      </c>
      <c r="G330" s="11">
        <v>237.92</v>
      </c>
      <c r="H330" s="11">
        <v>28.803999999999998</v>
      </c>
      <c r="I330" s="11">
        <v>37.131</v>
      </c>
      <c r="J330" s="11">
        <v>761.84</v>
      </c>
      <c r="K330" s="11">
        <v>-0.54978000000000005</v>
      </c>
      <c r="L330" s="11">
        <v>70.037000000000006</v>
      </c>
      <c r="M330" s="11">
        <v>0.10945000000000001</v>
      </c>
      <c r="N330" s="2" t="s">
        <v>538</v>
      </c>
    </row>
    <row r="331" spans="1:14" ht="12.3">
      <c r="A331" s="11">
        <v>1725</v>
      </c>
      <c r="B331" s="11">
        <v>2.0699999999999998</v>
      </c>
      <c r="C331" s="11">
        <v>0.14380000000000001</v>
      </c>
      <c r="D331" s="11">
        <v>6.9542999999999999</v>
      </c>
      <c r="E331" s="11">
        <v>43.225999999999999</v>
      </c>
      <c r="F331" s="11">
        <v>57.622</v>
      </c>
      <c r="G331" s="11">
        <v>238.03</v>
      </c>
      <c r="H331" s="11">
        <v>28.815999999999999</v>
      </c>
      <c r="I331" s="11">
        <v>37.143000000000001</v>
      </c>
      <c r="J331" s="11">
        <v>762.91</v>
      </c>
      <c r="K331" s="11">
        <v>-0.55061000000000004</v>
      </c>
      <c r="L331" s="11">
        <v>70.168999999999997</v>
      </c>
      <c r="M331" s="11">
        <v>0.10969</v>
      </c>
      <c r="N331" s="2" t="s">
        <v>538</v>
      </c>
    </row>
    <row r="332" spans="1:14" ht="12.3">
      <c r="A332" s="11">
        <v>1730</v>
      </c>
      <c r="B332" s="11">
        <v>2.0699999999999998</v>
      </c>
      <c r="C332" s="11">
        <v>0.14338000000000001</v>
      </c>
      <c r="D332" s="11">
        <v>6.9744000000000002</v>
      </c>
      <c r="E332" s="11">
        <v>43.371000000000002</v>
      </c>
      <c r="F332" s="11">
        <v>57.808</v>
      </c>
      <c r="G332" s="11">
        <v>238.14</v>
      </c>
      <c r="H332" s="11">
        <v>28.827999999999999</v>
      </c>
      <c r="I332" s="11">
        <v>37.155000000000001</v>
      </c>
      <c r="J332" s="11">
        <v>763.97</v>
      </c>
      <c r="K332" s="11">
        <v>-0.55142999999999998</v>
      </c>
      <c r="L332" s="11">
        <v>70.301000000000002</v>
      </c>
      <c r="M332" s="11">
        <v>0.10994</v>
      </c>
      <c r="N332" s="2" t="s">
        <v>538</v>
      </c>
    </row>
    <row r="333" spans="1:14" ht="12.3">
      <c r="A333" s="11">
        <v>1735</v>
      </c>
      <c r="B333" s="11">
        <v>2.0699999999999998</v>
      </c>
      <c r="C333" s="11">
        <v>0.14297000000000001</v>
      </c>
      <c r="D333" s="11">
        <v>6.9945000000000004</v>
      </c>
      <c r="E333" s="11">
        <v>43.515000000000001</v>
      </c>
      <c r="F333" s="11">
        <v>57.993000000000002</v>
      </c>
      <c r="G333" s="11">
        <v>238.25</v>
      </c>
      <c r="H333" s="11">
        <v>28.84</v>
      </c>
      <c r="I333" s="11">
        <v>37.167000000000002</v>
      </c>
      <c r="J333" s="11">
        <v>765.03</v>
      </c>
      <c r="K333" s="11">
        <v>-0.55225000000000002</v>
      </c>
      <c r="L333" s="11">
        <v>70.433000000000007</v>
      </c>
      <c r="M333" s="11">
        <v>0.11019</v>
      </c>
      <c r="N333" s="2" t="s">
        <v>538</v>
      </c>
    </row>
    <row r="334" spans="1:14" ht="12.3">
      <c r="A334" s="11">
        <v>1740</v>
      </c>
      <c r="B334" s="11">
        <v>2.0699999999999998</v>
      </c>
      <c r="C334" s="11">
        <v>0.14255999999999999</v>
      </c>
      <c r="D334" s="11">
        <v>7.0145999999999997</v>
      </c>
      <c r="E334" s="11">
        <v>43.658999999999999</v>
      </c>
      <c r="F334" s="11">
        <v>58.179000000000002</v>
      </c>
      <c r="G334" s="11">
        <v>238.35</v>
      </c>
      <c r="H334" s="11">
        <v>28.852</v>
      </c>
      <c r="I334" s="11">
        <v>37.179000000000002</v>
      </c>
      <c r="J334" s="11">
        <v>766.09</v>
      </c>
      <c r="K334" s="11">
        <v>-0.55306</v>
      </c>
      <c r="L334" s="11">
        <v>70.564999999999998</v>
      </c>
      <c r="M334" s="11">
        <v>0.11044</v>
      </c>
      <c r="N334" s="2" t="s">
        <v>538</v>
      </c>
    </row>
    <row r="335" spans="1:14" ht="12.3">
      <c r="A335" s="11">
        <v>1745</v>
      </c>
      <c r="B335" s="11">
        <v>2.0699999999999998</v>
      </c>
      <c r="C335" s="11">
        <v>0.14215</v>
      </c>
      <c r="D335" s="11">
        <v>7.0347</v>
      </c>
      <c r="E335" s="11">
        <v>43.802999999999997</v>
      </c>
      <c r="F335" s="11">
        <v>58.365000000000002</v>
      </c>
      <c r="G335" s="11">
        <v>238.46</v>
      </c>
      <c r="H335" s="11">
        <v>28.864000000000001</v>
      </c>
      <c r="I335" s="11">
        <v>37.191000000000003</v>
      </c>
      <c r="J335" s="11">
        <v>767.14</v>
      </c>
      <c r="K335" s="11">
        <v>-0.55386000000000002</v>
      </c>
      <c r="L335" s="11">
        <v>70.695999999999998</v>
      </c>
      <c r="M335" s="11">
        <v>0.11069</v>
      </c>
      <c r="N335" s="2" t="s">
        <v>538</v>
      </c>
    </row>
    <row r="336" spans="1:14" ht="12.3">
      <c r="A336" s="11">
        <v>1750</v>
      </c>
      <c r="B336" s="11">
        <v>2.0699999999999998</v>
      </c>
      <c r="C336" s="11">
        <v>0.14174999999999999</v>
      </c>
      <c r="D336" s="11">
        <v>7.0548000000000002</v>
      </c>
      <c r="E336" s="11">
        <v>43.948</v>
      </c>
      <c r="F336" s="11">
        <v>58.551000000000002</v>
      </c>
      <c r="G336" s="11">
        <v>238.57</v>
      </c>
      <c r="H336" s="11">
        <v>28.876000000000001</v>
      </c>
      <c r="I336" s="11">
        <v>37.203000000000003</v>
      </c>
      <c r="J336" s="11">
        <v>768.2</v>
      </c>
      <c r="K336" s="11">
        <v>-0.55466000000000004</v>
      </c>
      <c r="L336" s="11">
        <v>70.828000000000003</v>
      </c>
      <c r="M336" s="11">
        <v>0.11094</v>
      </c>
      <c r="N336" s="2" t="s">
        <v>538</v>
      </c>
    </row>
    <row r="337" spans="1:14" ht="12.3">
      <c r="A337" s="11">
        <v>1755</v>
      </c>
      <c r="B337" s="11">
        <v>2.0699999999999998</v>
      </c>
      <c r="C337" s="11">
        <v>0.14133999999999999</v>
      </c>
      <c r="D337" s="11">
        <v>7.0749000000000004</v>
      </c>
      <c r="E337" s="11">
        <v>44.091999999999999</v>
      </c>
      <c r="F337" s="11">
        <v>58.737000000000002</v>
      </c>
      <c r="G337" s="11">
        <v>238.67</v>
      </c>
      <c r="H337" s="11">
        <v>28.888000000000002</v>
      </c>
      <c r="I337" s="11">
        <v>37.215000000000003</v>
      </c>
      <c r="J337" s="11">
        <v>769.25</v>
      </c>
      <c r="K337" s="11">
        <v>-0.55545</v>
      </c>
      <c r="L337" s="11">
        <v>70.959000000000003</v>
      </c>
      <c r="M337" s="11">
        <v>0.11118</v>
      </c>
      <c r="N337" s="2" t="s">
        <v>538</v>
      </c>
    </row>
    <row r="338" spans="1:14" ht="12.3">
      <c r="A338" s="11">
        <v>1760</v>
      </c>
      <c r="B338" s="11">
        <v>2.0699999999999998</v>
      </c>
      <c r="C338" s="11">
        <v>0.14094000000000001</v>
      </c>
      <c r="D338" s="11">
        <v>7.0949999999999998</v>
      </c>
      <c r="E338" s="11">
        <v>44.237000000000002</v>
      </c>
      <c r="F338" s="11">
        <v>58.923000000000002</v>
      </c>
      <c r="G338" s="11">
        <v>238.78</v>
      </c>
      <c r="H338" s="11">
        <v>28.9</v>
      </c>
      <c r="I338" s="11">
        <v>37.225999999999999</v>
      </c>
      <c r="J338" s="11">
        <v>770.31</v>
      </c>
      <c r="K338" s="11">
        <v>-0.55623</v>
      </c>
      <c r="L338" s="11">
        <v>71.09</v>
      </c>
      <c r="M338" s="11">
        <v>0.11143</v>
      </c>
      <c r="N338" s="2" t="s">
        <v>538</v>
      </c>
    </row>
    <row r="339" spans="1:14" ht="12.3">
      <c r="A339" s="11">
        <v>1765</v>
      </c>
      <c r="B339" s="11">
        <v>2.0699999999999998</v>
      </c>
      <c r="C339" s="11">
        <v>0.14055000000000001</v>
      </c>
      <c r="D339" s="11">
        <v>7.1151</v>
      </c>
      <c r="E339" s="11">
        <v>44.381</v>
      </c>
      <c r="F339" s="11">
        <v>59.109000000000002</v>
      </c>
      <c r="G339" s="11">
        <v>238.88</v>
      </c>
      <c r="H339" s="11">
        <v>28.911999999999999</v>
      </c>
      <c r="I339" s="11">
        <v>37.238</v>
      </c>
      <c r="J339" s="11">
        <v>771.36</v>
      </c>
      <c r="K339" s="11">
        <v>-0.55700000000000005</v>
      </c>
      <c r="L339" s="11">
        <v>71.221000000000004</v>
      </c>
      <c r="M339" s="11">
        <v>0.11168</v>
      </c>
      <c r="N339" s="2" t="s">
        <v>538</v>
      </c>
    </row>
    <row r="340" spans="1:14" ht="12.3">
      <c r="A340" s="11">
        <v>1770</v>
      </c>
      <c r="B340" s="11">
        <v>2.0699999999999998</v>
      </c>
      <c r="C340" s="11">
        <v>0.14015</v>
      </c>
      <c r="D340" s="11">
        <v>7.1352000000000002</v>
      </c>
      <c r="E340" s="11">
        <v>44.526000000000003</v>
      </c>
      <c r="F340" s="11">
        <v>59.295999999999999</v>
      </c>
      <c r="G340" s="11">
        <v>238.99</v>
      </c>
      <c r="H340" s="11">
        <v>28.923999999999999</v>
      </c>
      <c r="I340" s="11">
        <v>37.25</v>
      </c>
      <c r="J340" s="11">
        <v>772.41</v>
      </c>
      <c r="K340" s="11">
        <v>-0.55776999999999999</v>
      </c>
      <c r="L340" s="11">
        <v>71.352000000000004</v>
      </c>
      <c r="M340" s="11">
        <v>0.11193</v>
      </c>
      <c r="N340" s="2" t="s">
        <v>538</v>
      </c>
    </row>
    <row r="341" spans="1:14" ht="12.3">
      <c r="A341" s="11">
        <v>1775</v>
      </c>
      <c r="B341" s="11">
        <v>2.0699999999999998</v>
      </c>
      <c r="C341" s="11">
        <v>0.13976</v>
      </c>
      <c r="D341" s="11">
        <v>7.1553000000000004</v>
      </c>
      <c r="E341" s="11">
        <v>44.670999999999999</v>
      </c>
      <c r="F341" s="11">
        <v>59.481999999999999</v>
      </c>
      <c r="G341" s="11">
        <v>239.09</v>
      </c>
      <c r="H341" s="11">
        <v>28.936</v>
      </c>
      <c r="I341" s="11">
        <v>37.262</v>
      </c>
      <c r="J341" s="11">
        <v>773.45</v>
      </c>
      <c r="K341" s="11">
        <v>-0.55852999999999997</v>
      </c>
      <c r="L341" s="11">
        <v>71.483000000000004</v>
      </c>
      <c r="M341" s="11">
        <v>0.11218</v>
      </c>
      <c r="N341" s="2" t="s">
        <v>538</v>
      </c>
    </row>
    <row r="342" spans="1:14" ht="12.3">
      <c r="A342" s="11">
        <v>1780</v>
      </c>
      <c r="B342" s="11">
        <v>2.0699999999999998</v>
      </c>
      <c r="C342" s="11">
        <v>0.13936999999999999</v>
      </c>
      <c r="D342" s="11">
        <v>7.1753999999999998</v>
      </c>
      <c r="E342" s="11">
        <v>44.814999999999998</v>
      </c>
      <c r="F342" s="11">
        <v>59.667999999999999</v>
      </c>
      <c r="G342" s="11">
        <v>239.2</v>
      </c>
      <c r="H342" s="11">
        <v>28.946999999999999</v>
      </c>
      <c r="I342" s="11">
        <v>37.273000000000003</v>
      </c>
      <c r="J342" s="11">
        <v>774.5</v>
      </c>
      <c r="K342" s="11">
        <v>-0.55928999999999995</v>
      </c>
      <c r="L342" s="11">
        <v>71.614000000000004</v>
      </c>
      <c r="M342" s="11">
        <v>0.11242000000000001</v>
      </c>
      <c r="N342" s="2" t="s">
        <v>538</v>
      </c>
    </row>
    <row r="343" spans="1:14" ht="12.3">
      <c r="A343" s="11">
        <v>1785</v>
      </c>
      <c r="B343" s="11">
        <v>2.0699999999999998</v>
      </c>
      <c r="C343" s="11">
        <v>0.13897999999999999</v>
      </c>
      <c r="D343" s="11">
        <v>7.1955</v>
      </c>
      <c r="E343" s="11">
        <v>44.96</v>
      </c>
      <c r="F343" s="11">
        <v>59.854999999999997</v>
      </c>
      <c r="G343" s="11">
        <v>239.3</v>
      </c>
      <c r="H343" s="11">
        <v>28.959</v>
      </c>
      <c r="I343" s="11">
        <v>37.284999999999997</v>
      </c>
      <c r="J343" s="11">
        <v>775.54</v>
      </c>
      <c r="K343" s="11">
        <v>-0.56003000000000003</v>
      </c>
      <c r="L343" s="11">
        <v>71.745000000000005</v>
      </c>
      <c r="M343" s="11">
        <v>0.11267000000000001</v>
      </c>
      <c r="N343" s="2" t="s">
        <v>538</v>
      </c>
    </row>
    <row r="344" spans="1:14" ht="12.3">
      <c r="A344" s="11">
        <v>1790</v>
      </c>
      <c r="B344" s="11">
        <v>2.0699999999999998</v>
      </c>
      <c r="C344" s="11">
        <v>0.13858999999999999</v>
      </c>
      <c r="D344" s="11">
        <v>7.2156000000000002</v>
      </c>
      <c r="E344" s="11">
        <v>45.104999999999997</v>
      </c>
      <c r="F344" s="11">
        <v>60.040999999999997</v>
      </c>
      <c r="G344" s="11">
        <v>239.41</v>
      </c>
      <c r="H344" s="11">
        <v>28.971</v>
      </c>
      <c r="I344" s="11">
        <v>37.296999999999997</v>
      </c>
      <c r="J344" s="11">
        <v>776.59</v>
      </c>
      <c r="K344" s="11">
        <v>-0.56076999999999999</v>
      </c>
      <c r="L344" s="11">
        <v>71.875</v>
      </c>
      <c r="M344" s="11">
        <v>0.11292000000000001</v>
      </c>
      <c r="N344" s="2" t="s">
        <v>538</v>
      </c>
    </row>
    <row r="345" spans="1:14" ht="12.3">
      <c r="A345" s="11">
        <v>1795</v>
      </c>
      <c r="B345" s="11">
        <v>2.0699999999999998</v>
      </c>
      <c r="C345" s="11">
        <v>0.13819999999999999</v>
      </c>
      <c r="D345" s="11">
        <v>7.2356999999999996</v>
      </c>
      <c r="E345" s="11">
        <v>45.25</v>
      </c>
      <c r="F345" s="11">
        <v>60.228000000000002</v>
      </c>
      <c r="G345" s="11">
        <v>239.51</v>
      </c>
      <c r="H345" s="11">
        <v>28.983000000000001</v>
      </c>
      <c r="I345" s="11">
        <v>37.308999999999997</v>
      </c>
      <c r="J345" s="11">
        <v>777.63</v>
      </c>
      <c r="K345" s="11">
        <v>-0.56150999999999995</v>
      </c>
      <c r="L345" s="11">
        <v>72.006</v>
      </c>
      <c r="M345" s="11">
        <v>0.11317000000000001</v>
      </c>
      <c r="N345" s="2" t="s">
        <v>538</v>
      </c>
    </row>
    <row r="346" spans="1:14" ht="12.3">
      <c r="A346" s="11">
        <v>1800</v>
      </c>
      <c r="B346" s="11">
        <v>2.0699999999999998</v>
      </c>
      <c r="C346" s="11">
        <v>0.13782</v>
      </c>
      <c r="D346" s="11">
        <v>7.2557999999999998</v>
      </c>
      <c r="E346" s="11">
        <v>45.395000000000003</v>
      </c>
      <c r="F346" s="11">
        <v>60.414000000000001</v>
      </c>
      <c r="G346" s="11">
        <v>239.62</v>
      </c>
      <c r="H346" s="11">
        <v>28.995000000000001</v>
      </c>
      <c r="I346" s="11">
        <v>37.32</v>
      </c>
      <c r="J346" s="11">
        <v>778.67</v>
      </c>
      <c r="K346" s="11">
        <v>-0.56223999999999996</v>
      </c>
      <c r="L346" s="11">
        <v>72.135999999999996</v>
      </c>
      <c r="M346" s="11">
        <v>0.11341</v>
      </c>
      <c r="N346" s="2" t="s">
        <v>538</v>
      </c>
    </row>
    <row r="347" spans="1:14" ht="12.3">
      <c r="A347" s="11">
        <v>1805</v>
      </c>
      <c r="B347" s="11">
        <v>2.0699999999999998</v>
      </c>
      <c r="C347" s="11">
        <v>0.13744000000000001</v>
      </c>
      <c r="D347" s="11">
        <v>7.2759</v>
      </c>
      <c r="E347" s="11">
        <v>45.54</v>
      </c>
      <c r="F347" s="11">
        <v>60.600999999999999</v>
      </c>
      <c r="G347" s="11">
        <v>239.72</v>
      </c>
      <c r="H347" s="11">
        <v>29.006</v>
      </c>
      <c r="I347" s="11">
        <v>37.332000000000001</v>
      </c>
      <c r="J347" s="11">
        <v>779.71</v>
      </c>
      <c r="K347" s="11">
        <v>-0.56296000000000002</v>
      </c>
      <c r="L347" s="11">
        <v>72.266999999999996</v>
      </c>
      <c r="M347" s="11">
        <v>0.11366</v>
      </c>
      <c r="N347" s="2" t="s">
        <v>538</v>
      </c>
    </row>
    <row r="348" spans="1:14" ht="12.3">
      <c r="A348" s="11">
        <v>1810</v>
      </c>
      <c r="B348" s="11">
        <v>2.0699999999999998</v>
      </c>
      <c r="C348" s="11">
        <v>0.13705999999999999</v>
      </c>
      <c r="D348" s="11">
        <v>7.2960000000000003</v>
      </c>
      <c r="E348" s="11">
        <v>45.685000000000002</v>
      </c>
      <c r="F348" s="11">
        <v>60.787999999999997</v>
      </c>
      <c r="G348" s="11">
        <v>239.82</v>
      </c>
      <c r="H348" s="11">
        <v>29.018000000000001</v>
      </c>
      <c r="I348" s="11">
        <v>37.344000000000001</v>
      </c>
      <c r="J348" s="11">
        <v>780.74</v>
      </c>
      <c r="K348" s="11">
        <v>-0.56367</v>
      </c>
      <c r="L348" s="11">
        <v>72.397000000000006</v>
      </c>
      <c r="M348" s="11">
        <v>0.11391</v>
      </c>
      <c r="N348" s="2" t="s">
        <v>538</v>
      </c>
    </row>
    <row r="349" spans="1:14" ht="12.3">
      <c r="A349" s="11">
        <v>1815</v>
      </c>
      <c r="B349" s="11">
        <v>2.0699999999999998</v>
      </c>
      <c r="C349" s="11">
        <v>0.13669000000000001</v>
      </c>
      <c r="D349" s="11">
        <v>7.3160999999999996</v>
      </c>
      <c r="E349" s="11">
        <v>45.83</v>
      </c>
      <c r="F349" s="11">
        <v>60.973999999999997</v>
      </c>
      <c r="G349" s="11">
        <v>239.93</v>
      </c>
      <c r="H349" s="11">
        <v>29.03</v>
      </c>
      <c r="I349" s="11">
        <v>37.354999999999997</v>
      </c>
      <c r="J349" s="11">
        <v>781.78</v>
      </c>
      <c r="K349" s="11">
        <v>-0.56437999999999999</v>
      </c>
      <c r="L349" s="11">
        <v>72.527000000000001</v>
      </c>
      <c r="M349" s="11">
        <v>0.11415</v>
      </c>
      <c r="N349" s="2" t="s">
        <v>538</v>
      </c>
    </row>
    <row r="350" spans="1:14" ht="12.3">
      <c r="A350" s="11">
        <v>1820</v>
      </c>
      <c r="B350" s="11">
        <v>2.0699999999999998</v>
      </c>
      <c r="C350" s="11">
        <v>0.13630999999999999</v>
      </c>
      <c r="D350" s="11">
        <v>7.3361999999999998</v>
      </c>
      <c r="E350" s="11">
        <v>45.975000000000001</v>
      </c>
      <c r="F350" s="11">
        <v>61.161000000000001</v>
      </c>
      <c r="G350" s="11">
        <v>240.03</v>
      </c>
      <c r="H350" s="11">
        <v>29.042000000000002</v>
      </c>
      <c r="I350" s="11">
        <v>37.366999999999997</v>
      </c>
      <c r="J350" s="11">
        <v>782.81</v>
      </c>
      <c r="K350" s="11">
        <v>-0.56508999999999998</v>
      </c>
      <c r="L350" s="11">
        <v>72.656999999999996</v>
      </c>
      <c r="M350" s="11">
        <v>0.1144</v>
      </c>
      <c r="N350" s="2" t="s">
        <v>538</v>
      </c>
    </row>
    <row r="351" spans="1:14" ht="12.3">
      <c r="A351" s="11">
        <v>1825</v>
      </c>
      <c r="B351" s="11">
        <v>2.0699999999999998</v>
      </c>
      <c r="C351" s="11">
        <v>0.13594000000000001</v>
      </c>
      <c r="D351" s="11">
        <v>7.3563000000000001</v>
      </c>
      <c r="E351" s="11">
        <v>46.121000000000002</v>
      </c>
      <c r="F351" s="11">
        <v>61.347999999999999</v>
      </c>
      <c r="G351" s="11">
        <v>240.13</v>
      </c>
      <c r="H351" s="11">
        <v>29.053000000000001</v>
      </c>
      <c r="I351" s="11">
        <v>37.378999999999998</v>
      </c>
      <c r="J351" s="11">
        <v>783.84</v>
      </c>
      <c r="K351" s="11">
        <v>-0.56577999999999995</v>
      </c>
      <c r="L351" s="11">
        <v>72.787000000000006</v>
      </c>
      <c r="M351" s="11">
        <v>0.11465</v>
      </c>
      <c r="N351" s="2" t="s">
        <v>538</v>
      </c>
    </row>
    <row r="352" spans="1:14" ht="12.3">
      <c r="A352" s="11">
        <v>1830</v>
      </c>
      <c r="B352" s="11">
        <v>2.0699999999999998</v>
      </c>
      <c r="C352" s="11">
        <v>0.13557</v>
      </c>
      <c r="D352" s="11">
        <v>7.3764000000000003</v>
      </c>
      <c r="E352" s="11">
        <v>46.265999999999998</v>
      </c>
      <c r="F352" s="11">
        <v>61.534999999999997</v>
      </c>
      <c r="G352" s="11">
        <v>240.23</v>
      </c>
      <c r="H352" s="11">
        <v>29.065000000000001</v>
      </c>
      <c r="I352" s="11">
        <v>37.39</v>
      </c>
      <c r="J352" s="11">
        <v>784.88</v>
      </c>
      <c r="K352" s="11">
        <v>-0.56647000000000003</v>
      </c>
      <c r="L352" s="11">
        <v>72.915999999999997</v>
      </c>
      <c r="M352" s="11">
        <v>0.11489000000000001</v>
      </c>
      <c r="N352" s="2" t="s">
        <v>538</v>
      </c>
    </row>
    <row r="353" spans="1:14" ht="12.3">
      <c r="A353" s="11">
        <v>1835</v>
      </c>
      <c r="B353" s="11">
        <v>2.0699999999999998</v>
      </c>
      <c r="C353" s="11">
        <v>0.13519999999999999</v>
      </c>
      <c r="D353" s="11">
        <v>7.3964999999999996</v>
      </c>
      <c r="E353" s="11">
        <v>46.411000000000001</v>
      </c>
      <c r="F353" s="11">
        <v>61.722000000000001</v>
      </c>
      <c r="G353" s="11">
        <v>240.34</v>
      </c>
      <c r="H353" s="11">
        <v>29.077000000000002</v>
      </c>
      <c r="I353" s="11">
        <v>37.402000000000001</v>
      </c>
      <c r="J353" s="11">
        <v>785.9</v>
      </c>
      <c r="K353" s="11">
        <v>-0.56716</v>
      </c>
      <c r="L353" s="11">
        <v>73.046000000000006</v>
      </c>
      <c r="M353" s="11">
        <v>0.11514000000000001</v>
      </c>
      <c r="N353" s="2" t="s">
        <v>538</v>
      </c>
    </row>
    <row r="354" spans="1:14" ht="12.3">
      <c r="A354" s="11">
        <v>1840</v>
      </c>
      <c r="B354" s="11">
        <v>2.0699999999999998</v>
      </c>
      <c r="C354" s="11">
        <v>0.13483000000000001</v>
      </c>
      <c r="D354" s="11">
        <v>7.4165000000000001</v>
      </c>
      <c r="E354" s="11">
        <v>46.557000000000002</v>
      </c>
      <c r="F354" s="11">
        <v>61.908999999999999</v>
      </c>
      <c r="G354" s="11">
        <v>240.44</v>
      </c>
      <c r="H354" s="11">
        <v>29.088999999999999</v>
      </c>
      <c r="I354" s="11">
        <v>37.414000000000001</v>
      </c>
      <c r="J354" s="11">
        <v>786.93</v>
      </c>
      <c r="K354" s="11">
        <v>-0.56784000000000001</v>
      </c>
      <c r="L354" s="11">
        <v>73.176000000000002</v>
      </c>
      <c r="M354" s="11">
        <v>0.11538</v>
      </c>
      <c r="N354" s="2" t="s">
        <v>538</v>
      </c>
    </row>
    <row r="355" spans="1:14" ht="12.3">
      <c r="A355" s="11">
        <v>1845</v>
      </c>
      <c r="B355" s="11">
        <v>2.0699999999999998</v>
      </c>
      <c r="C355" s="11">
        <v>0.13447000000000001</v>
      </c>
      <c r="D355" s="11">
        <v>7.4366000000000003</v>
      </c>
      <c r="E355" s="11">
        <v>46.701999999999998</v>
      </c>
      <c r="F355" s="11">
        <v>62.095999999999997</v>
      </c>
      <c r="G355" s="11">
        <v>240.54</v>
      </c>
      <c r="H355" s="11">
        <v>29.1</v>
      </c>
      <c r="I355" s="11">
        <v>37.424999999999997</v>
      </c>
      <c r="J355" s="11">
        <v>787.96</v>
      </c>
      <c r="K355" s="11">
        <v>-0.56850999999999996</v>
      </c>
      <c r="L355" s="11">
        <v>73.305000000000007</v>
      </c>
      <c r="M355" s="11">
        <v>0.11563</v>
      </c>
      <c r="N355" s="2" t="s">
        <v>538</v>
      </c>
    </row>
    <row r="356" spans="1:14" ht="12.3">
      <c r="A356" s="11">
        <v>1850</v>
      </c>
      <c r="B356" s="11">
        <v>2.0699999999999998</v>
      </c>
      <c r="C356" s="11">
        <v>0.13411000000000001</v>
      </c>
      <c r="D356" s="11">
        <v>7.4566999999999997</v>
      </c>
      <c r="E356" s="11">
        <v>46.847999999999999</v>
      </c>
      <c r="F356" s="11">
        <v>62.283000000000001</v>
      </c>
      <c r="G356" s="11">
        <v>240.64</v>
      </c>
      <c r="H356" s="11">
        <v>29.111999999999998</v>
      </c>
      <c r="I356" s="11">
        <v>37.436999999999998</v>
      </c>
      <c r="J356" s="11">
        <v>788.98</v>
      </c>
      <c r="K356" s="11">
        <v>-0.56918000000000002</v>
      </c>
      <c r="L356" s="11">
        <v>73.435000000000002</v>
      </c>
      <c r="M356" s="11">
        <v>0.11588</v>
      </c>
      <c r="N356" s="2" t="s">
        <v>538</v>
      </c>
    </row>
    <row r="357" spans="1:14" ht="12.3">
      <c r="A357" s="11">
        <v>1855</v>
      </c>
      <c r="B357" s="11">
        <v>2.0699999999999998</v>
      </c>
      <c r="C357" s="11">
        <v>0.13375000000000001</v>
      </c>
      <c r="D357" s="11">
        <v>7.4767999999999999</v>
      </c>
      <c r="E357" s="11">
        <v>46.993000000000002</v>
      </c>
      <c r="F357" s="11">
        <v>62.47</v>
      </c>
      <c r="G357" s="11">
        <v>240.74</v>
      </c>
      <c r="H357" s="11">
        <v>29.123999999999999</v>
      </c>
      <c r="I357" s="11">
        <v>37.448999999999998</v>
      </c>
      <c r="J357" s="11">
        <v>790.01</v>
      </c>
      <c r="K357" s="11">
        <v>-0.56984000000000001</v>
      </c>
      <c r="L357" s="11">
        <v>73.563999999999993</v>
      </c>
      <c r="M357" s="11">
        <v>0.11612</v>
      </c>
      <c r="N357" s="2" t="s">
        <v>538</v>
      </c>
    </row>
    <row r="358" spans="1:14" ht="12.3">
      <c r="A358" s="11">
        <v>1860</v>
      </c>
      <c r="B358" s="11">
        <v>2.0699999999999998</v>
      </c>
      <c r="C358" s="11">
        <v>0.13339000000000001</v>
      </c>
      <c r="D358" s="11">
        <v>7.4969000000000001</v>
      </c>
      <c r="E358" s="11">
        <v>47.139000000000003</v>
      </c>
      <c r="F358" s="11">
        <v>62.658000000000001</v>
      </c>
      <c r="G358" s="11">
        <v>240.84</v>
      </c>
      <c r="H358" s="11">
        <v>29.135000000000002</v>
      </c>
      <c r="I358" s="11">
        <v>37.46</v>
      </c>
      <c r="J358" s="11">
        <v>791.03</v>
      </c>
      <c r="K358" s="11">
        <v>-0.57049000000000005</v>
      </c>
      <c r="L358" s="11">
        <v>73.692999999999998</v>
      </c>
      <c r="M358" s="11">
        <v>0.11637</v>
      </c>
      <c r="N358" s="2" t="s">
        <v>538</v>
      </c>
    </row>
    <row r="359" spans="1:14" ht="12.3">
      <c r="A359" s="11">
        <v>1865</v>
      </c>
      <c r="B359" s="11">
        <v>2.0699999999999998</v>
      </c>
      <c r="C359" s="11">
        <v>0.13303000000000001</v>
      </c>
      <c r="D359" s="11">
        <v>7.5170000000000003</v>
      </c>
      <c r="E359" s="11">
        <v>47.284999999999997</v>
      </c>
      <c r="F359" s="11">
        <v>62.844999999999999</v>
      </c>
      <c r="G359" s="11">
        <v>240.94</v>
      </c>
      <c r="H359" s="11">
        <v>29.146999999999998</v>
      </c>
      <c r="I359" s="11">
        <v>37.472000000000001</v>
      </c>
      <c r="J359" s="11">
        <v>792.05</v>
      </c>
      <c r="K359" s="11">
        <v>-0.57113999999999998</v>
      </c>
      <c r="L359" s="11">
        <v>73.822000000000003</v>
      </c>
      <c r="M359" s="11">
        <v>0.11661000000000001</v>
      </c>
      <c r="N359" s="2" t="s">
        <v>538</v>
      </c>
    </row>
    <row r="360" spans="1:14" ht="12.3">
      <c r="A360" s="11">
        <v>1870</v>
      </c>
      <c r="B360" s="11">
        <v>2.0699999999999998</v>
      </c>
      <c r="C360" s="11">
        <v>0.13267999999999999</v>
      </c>
      <c r="D360" s="11">
        <v>7.5370999999999997</v>
      </c>
      <c r="E360" s="11">
        <v>47.430999999999997</v>
      </c>
      <c r="F360" s="11">
        <v>63.031999999999996</v>
      </c>
      <c r="G360" s="11">
        <v>241.04</v>
      </c>
      <c r="H360" s="11">
        <v>29.158999999999999</v>
      </c>
      <c r="I360" s="11">
        <v>37.482999999999997</v>
      </c>
      <c r="J360" s="11">
        <v>793.07</v>
      </c>
      <c r="K360" s="11">
        <v>-0.57179000000000002</v>
      </c>
      <c r="L360" s="11">
        <v>73.950999999999993</v>
      </c>
      <c r="M360" s="11">
        <v>0.11686000000000001</v>
      </c>
      <c r="N360" s="2" t="s">
        <v>538</v>
      </c>
    </row>
    <row r="361" spans="1:14" ht="12.3">
      <c r="A361" s="11">
        <v>1875</v>
      </c>
      <c r="B361" s="11">
        <v>2.0699999999999998</v>
      </c>
      <c r="C361" s="11">
        <v>0.13231999999999999</v>
      </c>
      <c r="D361" s="11">
        <v>7.5571999999999999</v>
      </c>
      <c r="E361" s="11">
        <v>47.576000000000001</v>
      </c>
      <c r="F361" s="11">
        <v>63.22</v>
      </c>
      <c r="G361" s="11">
        <v>241.14</v>
      </c>
      <c r="H361" s="11">
        <v>29.17</v>
      </c>
      <c r="I361" s="11">
        <v>37.494999999999997</v>
      </c>
      <c r="J361" s="11">
        <v>794.09</v>
      </c>
      <c r="K361" s="11">
        <v>-0.57242999999999999</v>
      </c>
      <c r="L361" s="11">
        <v>74.08</v>
      </c>
      <c r="M361" s="11">
        <v>0.11711000000000001</v>
      </c>
      <c r="N361" s="2" t="s">
        <v>538</v>
      </c>
    </row>
    <row r="362" spans="1:14" ht="12.3">
      <c r="A362" s="11">
        <v>1880</v>
      </c>
      <c r="B362" s="11">
        <v>2.0699999999999998</v>
      </c>
      <c r="C362" s="11">
        <v>0.13197</v>
      </c>
      <c r="D362" s="11">
        <v>7.5773000000000001</v>
      </c>
      <c r="E362" s="11">
        <v>47.722000000000001</v>
      </c>
      <c r="F362" s="11">
        <v>63.406999999999996</v>
      </c>
      <c r="G362" s="11">
        <v>241.24</v>
      </c>
      <c r="H362" s="11">
        <v>29.181999999999999</v>
      </c>
      <c r="I362" s="11">
        <v>37.506</v>
      </c>
      <c r="J362" s="11">
        <v>795.1</v>
      </c>
      <c r="K362" s="11">
        <v>-0.57306000000000001</v>
      </c>
      <c r="L362" s="11">
        <v>74.209000000000003</v>
      </c>
      <c r="M362" s="11">
        <v>0.11735</v>
      </c>
      <c r="N362" s="2" t="s">
        <v>538</v>
      </c>
    </row>
    <row r="363" spans="1:14" ht="12.3">
      <c r="A363" s="11">
        <v>1885</v>
      </c>
      <c r="B363" s="11">
        <v>2.0699999999999998</v>
      </c>
      <c r="C363" s="11">
        <v>0.13161999999999999</v>
      </c>
      <c r="D363" s="11">
        <v>7.5974000000000004</v>
      </c>
      <c r="E363" s="11">
        <v>47.868000000000002</v>
      </c>
      <c r="F363" s="11">
        <v>63.594999999999999</v>
      </c>
      <c r="G363" s="11">
        <v>241.34</v>
      </c>
      <c r="H363" s="11">
        <v>29.193000000000001</v>
      </c>
      <c r="I363" s="11">
        <v>37.518000000000001</v>
      </c>
      <c r="J363" s="11">
        <v>796.12</v>
      </c>
      <c r="K363" s="11">
        <v>-0.57369000000000003</v>
      </c>
      <c r="L363" s="11">
        <v>74.337999999999994</v>
      </c>
      <c r="M363" s="11">
        <v>0.1176</v>
      </c>
      <c r="N363" s="2" t="s">
        <v>538</v>
      </c>
    </row>
    <row r="364" spans="1:14" ht="12.3">
      <c r="A364" s="11">
        <v>1890</v>
      </c>
      <c r="B364" s="11">
        <v>2.0699999999999998</v>
      </c>
      <c r="C364" s="11">
        <v>0.13128000000000001</v>
      </c>
      <c r="D364" s="11">
        <v>7.6174999999999997</v>
      </c>
      <c r="E364" s="11">
        <v>48.014000000000003</v>
      </c>
      <c r="F364" s="11">
        <v>63.783000000000001</v>
      </c>
      <c r="G364" s="11">
        <v>241.44</v>
      </c>
      <c r="H364" s="11">
        <v>29.204999999999998</v>
      </c>
      <c r="I364" s="11">
        <v>37.53</v>
      </c>
      <c r="J364" s="11">
        <v>797.13</v>
      </c>
      <c r="K364" s="11">
        <v>-0.57430999999999999</v>
      </c>
      <c r="L364" s="11">
        <v>74.465999999999994</v>
      </c>
      <c r="M364" s="11">
        <v>0.11784</v>
      </c>
      <c r="N364" s="2" t="s">
        <v>538</v>
      </c>
    </row>
    <row r="365" spans="1:14" ht="12.3">
      <c r="A365" s="11">
        <v>1895</v>
      </c>
      <c r="B365" s="11">
        <v>2.0699999999999998</v>
      </c>
      <c r="C365" s="11">
        <v>0.13092999999999999</v>
      </c>
      <c r="D365" s="11">
        <v>7.6375999999999999</v>
      </c>
      <c r="E365" s="11">
        <v>48.16</v>
      </c>
      <c r="F365" s="11">
        <v>63.97</v>
      </c>
      <c r="G365" s="11">
        <v>241.54</v>
      </c>
      <c r="H365" s="11">
        <v>29.216999999999999</v>
      </c>
      <c r="I365" s="11">
        <v>37.540999999999997</v>
      </c>
      <c r="J365" s="11">
        <v>798.14</v>
      </c>
      <c r="K365" s="11">
        <v>-0.57493000000000005</v>
      </c>
      <c r="L365" s="11">
        <v>74.594999999999999</v>
      </c>
      <c r="M365" s="11">
        <v>0.11809</v>
      </c>
      <c r="N365" s="2" t="s">
        <v>538</v>
      </c>
    </row>
    <row r="366" spans="1:14" ht="12.3">
      <c r="A366" s="11">
        <v>1900</v>
      </c>
      <c r="B366" s="11">
        <v>2.0699999999999998</v>
      </c>
      <c r="C366" s="11">
        <v>0.13059000000000001</v>
      </c>
      <c r="D366" s="11">
        <v>7.6577000000000002</v>
      </c>
      <c r="E366" s="11">
        <v>48.307000000000002</v>
      </c>
      <c r="F366" s="11">
        <v>64.158000000000001</v>
      </c>
      <c r="G366" s="11">
        <v>241.64</v>
      </c>
      <c r="H366" s="11">
        <v>29.228000000000002</v>
      </c>
      <c r="I366" s="11">
        <v>37.552999999999997</v>
      </c>
      <c r="J366" s="11">
        <v>799.15</v>
      </c>
      <c r="K366" s="11">
        <v>-0.57554000000000005</v>
      </c>
      <c r="L366" s="11">
        <v>74.722999999999999</v>
      </c>
      <c r="M366" s="11">
        <v>0.11833</v>
      </c>
      <c r="N366" s="2" t="s">
        <v>538</v>
      </c>
    </row>
    <row r="367" spans="1:14" ht="12.3">
      <c r="A367" s="11">
        <v>1905</v>
      </c>
      <c r="B367" s="11">
        <v>2.0699999999999998</v>
      </c>
      <c r="C367" s="11">
        <v>0.13025</v>
      </c>
      <c r="D367" s="11">
        <v>7.6778000000000004</v>
      </c>
      <c r="E367" s="11">
        <v>48.453000000000003</v>
      </c>
      <c r="F367" s="11">
        <v>64.346000000000004</v>
      </c>
      <c r="G367" s="11">
        <v>241.74</v>
      </c>
      <c r="H367" s="11">
        <v>29.24</v>
      </c>
      <c r="I367" s="11">
        <v>37.564</v>
      </c>
      <c r="J367" s="11">
        <v>800.16</v>
      </c>
      <c r="K367" s="11">
        <v>-0.57613999999999999</v>
      </c>
      <c r="L367" s="11">
        <v>74.852000000000004</v>
      </c>
      <c r="M367" s="11">
        <v>0.11858</v>
      </c>
      <c r="N367" s="2" t="s">
        <v>538</v>
      </c>
    </row>
    <row r="368" spans="1:14" ht="12.3">
      <c r="A368" s="11">
        <v>1910</v>
      </c>
      <c r="B368" s="11">
        <v>2.0699999999999998</v>
      </c>
      <c r="C368" s="11">
        <v>0.12991</v>
      </c>
      <c r="D368" s="11">
        <v>7.6978999999999997</v>
      </c>
      <c r="E368" s="11">
        <v>48.598999999999997</v>
      </c>
      <c r="F368" s="11">
        <v>64.534000000000006</v>
      </c>
      <c r="G368" s="11">
        <v>241.84</v>
      </c>
      <c r="H368" s="11">
        <v>29.251000000000001</v>
      </c>
      <c r="I368" s="11">
        <v>37.576000000000001</v>
      </c>
      <c r="J368" s="11">
        <v>801.17</v>
      </c>
      <c r="K368" s="11">
        <v>-0.57674999999999998</v>
      </c>
      <c r="L368" s="11">
        <v>74.98</v>
      </c>
      <c r="M368" s="11">
        <v>0.11882</v>
      </c>
      <c r="N368" s="2" t="s">
        <v>538</v>
      </c>
    </row>
    <row r="369" spans="1:14" ht="12.3">
      <c r="A369" s="11">
        <v>1915</v>
      </c>
      <c r="B369" s="11">
        <v>2.0699999999999998</v>
      </c>
      <c r="C369" s="11">
        <v>0.12956999999999999</v>
      </c>
      <c r="D369" s="11">
        <v>7.718</v>
      </c>
      <c r="E369" s="11">
        <v>48.744999999999997</v>
      </c>
      <c r="F369" s="11">
        <v>64.721000000000004</v>
      </c>
      <c r="G369" s="11">
        <v>241.94</v>
      </c>
      <c r="H369" s="11">
        <v>29.263000000000002</v>
      </c>
      <c r="I369" s="11">
        <v>37.587000000000003</v>
      </c>
      <c r="J369" s="11">
        <v>802.18</v>
      </c>
      <c r="K369" s="11">
        <v>-0.57733999999999996</v>
      </c>
      <c r="L369" s="11">
        <v>75.108000000000004</v>
      </c>
      <c r="M369" s="11">
        <v>0.11907</v>
      </c>
      <c r="N369" s="2" t="s">
        <v>538</v>
      </c>
    </row>
    <row r="370" spans="1:14" ht="12.3">
      <c r="A370" s="11">
        <v>1920</v>
      </c>
      <c r="B370" s="11">
        <v>2.0699999999999998</v>
      </c>
      <c r="C370" s="11">
        <v>0.12923000000000001</v>
      </c>
      <c r="D370" s="11">
        <v>7.7381000000000002</v>
      </c>
      <c r="E370" s="11">
        <v>48.892000000000003</v>
      </c>
      <c r="F370" s="11">
        <v>64.909000000000006</v>
      </c>
      <c r="G370" s="11">
        <v>242.03</v>
      </c>
      <c r="H370" s="11">
        <v>29.274000000000001</v>
      </c>
      <c r="I370" s="11">
        <v>37.597999999999999</v>
      </c>
      <c r="J370" s="11">
        <v>803.18</v>
      </c>
      <c r="K370" s="11">
        <v>-0.57793000000000005</v>
      </c>
      <c r="L370" s="11">
        <v>75.236000000000004</v>
      </c>
      <c r="M370" s="11">
        <v>0.11931</v>
      </c>
      <c r="N370" s="2" t="s">
        <v>538</v>
      </c>
    </row>
    <row r="371" spans="1:14" ht="12.3">
      <c r="A371" s="11">
        <v>1925</v>
      </c>
      <c r="B371" s="11">
        <v>2.0699999999999998</v>
      </c>
      <c r="C371" s="11">
        <v>0.12889999999999999</v>
      </c>
      <c r="D371" s="11">
        <v>7.7582000000000004</v>
      </c>
      <c r="E371" s="11">
        <v>49.037999999999997</v>
      </c>
      <c r="F371" s="11">
        <v>65.096999999999994</v>
      </c>
      <c r="G371" s="11">
        <v>242.13</v>
      </c>
      <c r="H371" s="11">
        <v>29.286000000000001</v>
      </c>
      <c r="I371" s="11">
        <v>37.61</v>
      </c>
      <c r="J371" s="11">
        <v>804.18</v>
      </c>
      <c r="K371" s="11">
        <v>-0.57852000000000003</v>
      </c>
      <c r="L371" s="11">
        <v>75.364000000000004</v>
      </c>
      <c r="M371" s="11">
        <v>0.11955</v>
      </c>
      <c r="N371" s="2" t="s">
        <v>538</v>
      </c>
    </row>
    <row r="372" spans="1:14" ht="12.3">
      <c r="A372" s="11">
        <v>1930</v>
      </c>
      <c r="B372" s="11">
        <v>2.0699999999999998</v>
      </c>
      <c r="C372" s="11">
        <v>0.12856000000000001</v>
      </c>
      <c r="D372" s="11">
        <v>7.7782999999999998</v>
      </c>
      <c r="E372" s="11">
        <v>49.185000000000002</v>
      </c>
      <c r="F372" s="11">
        <v>65.286000000000001</v>
      </c>
      <c r="G372" s="11">
        <v>242.23</v>
      </c>
      <c r="H372" s="11">
        <v>29.297000000000001</v>
      </c>
      <c r="I372" s="11">
        <v>37.621000000000002</v>
      </c>
      <c r="J372" s="11">
        <v>805.19</v>
      </c>
      <c r="K372" s="11">
        <v>-0.57909999999999995</v>
      </c>
      <c r="L372" s="11">
        <v>75.492000000000004</v>
      </c>
      <c r="M372" s="11">
        <v>0.1198</v>
      </c>
      <c r="N372" s="2" t="s">
        <v>538</v>
      </c>
    </row>
    <row r="373" spans="1:14" ht="12.3">
      <c r="A373" s="11">
        <v>1935</v>
      </c>
      <c r="B373" s="11">
        <v>2.0699999999999998</v>
      </c>
      <c r="C373" s="11">
        <v>0.12823000000000001</v>
      </c>
      <c r="D373" s="11">
        <v>7.7984</v>
      </c>
      <c r="E373" s="11">
        <v>49.331000000000003</v>
      </c>
      <c r="F373" s="11">
        <v>65.474000000000004</v>
      </c>
      <c r="G373" s="11">
        <v>242.33</v>
      </c>
      <c r="H373" s="11">
        <v>29.309000000000001</v>
      </c>
      <c r="I373" s="11">
        <v>37.633000000000003</v>
      </c>
      <c r="J373" s="11">
        <v>806.19</v>
      </c>
      <c r="K373" s="11">
        <v>-0.57967000000000002</v>
      </c>
      <c r="L373" s="11">
        <v>75.62</v>
      </c>
      <c r="M373" s="11">
        <v>0.12003999999999999</v>
      </c>
      <c r="N373" s="2" t="s">
        <v>538</v>
      </c>
    </row>
    <row r="374" spans="1:14" ht="12.3">
      <c r="A374" s="11">
        <v>1940</v>
      </c>
      <c r="B374" s="11">
        <v>2.0699999999999998</v>
      </c>
      <c r="C374" s="11">
        <v>0.12790000000000001</v>
      </c>
      <c r="D374" s="11">
        <v>7.8185000000000002</v>
      </c>
      <c r="E374" s="11">
        <v>49.478000000000002</v>
      </c>
      <c r="F374" s="11">
        <v>65.662000000000006</v>
      </c>
      <c r="G374" s="11">
        <v>242.42</v>
      </c>
      <c r="H374" s="11">
        <v>29.32</v>
      </c>
      <c r="I374" s="11">
        <v>37.643999999999998</v>
      </c>
      <c r="J374" s="11">
        <v>807.19</v>
      </c>
      <c r="K374" s="11">
        <v>-0.58023999999999998</v>
      </c>
      <c r="L374" s="11">
        <v>75.748000000000005</v>
      </c>
      <c r="M374" s="11">
        <v>0.12028999999999999</v>
      </c>
      <c r="N374" s="2" t="s">
        <v>538</v>
      </c>
    </row>
    <row r="375" spans="1:14" ht="12.3">
      <c r="A375" s="11">
        <v>1945</v>
      </c>
      <c r="B375" s="11">
        <v>2.0699999999999998</v>
      </c>
      <c r="C375" s="11">
        <v>0.12756999999999999</v>
      </c>
      <c r="D375" s="11">
        <v>7.8384999999999998</v>
      </c>
      <c r="E375" s="11">
        <v>49.624000000000002</v>
      </c>
      <c r="F375" s="11">
        <v>65.849999999999994</v>
      </c>
      <c r="G375" s="11">
        <v>242.52</v>
      </c>
      <c r="H375" s="11">
        <v>29.332000000000001</v>
      </c>
      <c r="I375" s="11">
        <v>37.655999999999999</v>
      </c>
      <c r="J375" s="11">
        <v>808.19</v>
      </c>
      <c r="K375" s="11">
        <v>-0.58081000000000005</v>
      </c>
      <c r="L375" s="11">
        <v>75.875</v>
      </c>
      <c r="M375" s="11">
        <v>0.12053</v>
      </c>
      <c r="N375" s="2" t="s">
        <v>538</v>
      </c>
    </row>
    <row r="376" spans="1:14" ht="12.3">
      <c r="A376" s="11">
        <v>1950</v>
      </c>
      <c r="B376" s="11">
        <v>2.0699999999999998</v>
      </c>
      <c r="C376" s="11">
        <v>0.12725</v>
      </c>
      <c r="D376" s="11">
        <v>7.8586</v>
      </c>
      <c r="E376" s="11">
        <v>49.771000000000001</v>
      </c>
      <c r="F376" s="11">
        <v>66.037999999999997</v>
      </c>
      <c r="G376" s="11">
        <v>242.62</v>
      </c>
      <c r="H376" s="11">
        <v>29.343</v>
      </c>
      <c r="I376" s="11">
        <v>37.667000000000002</v>
      </c>
      <c r="J376" s="11">
        <v>809.18</v>
      </c>
      <c r="K376" s="11">
        <v>-0.58137000000000005</v>
      </c>
      <c r="L376" s="11">
        <v>76.003</v>
      </c>
      <c r="M376" s="11">
        <v>0.12078</v>
      </c>
      <c r="N376" s="2" t="s">
        <v>538</v>
      </c>
    </row>
    <row r="377" spans="1:14" ht="12.3">
      <c r="A377" s="11">
        <v>1955</v>
      </c>
      <c r="B377" s="11">
        <v>2.0699999999999998</v>
      </c>
      <c r="C377" s="11">
        <v>0.12692000000000001</v>
      </c>
      <c r="D377" s="11">
        <v>7.8787000000000003</v>
      </c>
      <c r="E377" s="11">
        <v>49.917999999999999</v>
      </c>
      <c r="F377" s="11">
        <v>66.227000000000004</v>
      </c>
      <c r="G377" s="11">
        <v>242.71</v>
      </c>
      <c r="H377" s="11">
        <v>29.355</v>
      </c>
      <c r="I377" s="11">
        <v>37.679000000000002</v>
      </c>
      <c r="J377" s="11">
        <v>810.18</v>
      </c>
      <c r="K377" s="11">
        <v>-0.58192999999999995</v>
      </c>
      <c r="L377" s="11">
        <v>76.13</v>
      </c>
      <c r="M377" s="11">
        <v>0.12102</v>
      </c>
      <c r="N377" s="2" t="s">
        <v>538</v>
      </c>
    </row>
    <row r="378" spans="1:14" ht="12.3">
      <c r="A378" s="11">
        <v>1960</v>
      </c>
      <c r="B378" s="11">
        <v>2.0699999999999998</v>
      </c>
      <c r="C378" s="11">
        <v>0.12659999999999999</v>
      </c>
      <c r="D378" s="11">
        <v>7.8987999999999996</v>
      </c>
      <c r="E378" s="11">
        <v>50.064999999999998</v>
      </c>
      <c r="F378" s="11">
        <v>66.415000000000006</v>
      </c>
      <c r="G378" s="11">
        <v>242.81</v>
      </c>
      <c r="H378" s="11">
        <v>29.366</v>
      </c>
      <c r="I378" s="11">
        <v>37.69</v>
      </c>
      <c r="J378" s="11">
        <v>811.17</v>
      </c>
      <c r="K378" s="11">
        <v>-0.58248</v>
      </c>
      <c r="L378" s="11">
        <v>76.257999999999996</v>
      </c>
      <c r="M378" s="11">
        <v>0.12126000000000001</v>
      </c>
      <c r="N378" s="2" t="s">
        <v>538</v>
      </c>
    </row>
    <row r="379" spans="1:14" ht="12.3">
      <c r="A379" s="11">
        <v>1965</v>
      </c>
      <c r="B379" s="11">
        <v>2.0699999999999998</v>
      </c>
      <c r="C379" s="11">
        <v>0.12628</v>
      </c>
      <c r="D379" s="11">
        <v>7.9188999999999998</v>
      </c>
      <c r="E379" s="11">
        <v>50.212000000000003</v>
      </c>
      <c r="F379" s="11">
        <v>66.603999999999999</v>
      </c>
      <c r="G379" s="11">
        <v>242.91</v>
      </c>
      <c r="H379" s="11">
        <v>29.378</v>
      </c>
      <c r="I379" s="11">
        <v>37.701000000000001</v>
      </c>
      <c r="J379" s="11">
        <v>812.16</v>
      </c>
      <c r="K379" s="11">
        <v>-0.58303000000000005</v>
      </c>
      <c r="L379" s="11">
        <v>76.385000000000005</v>
      </c>
      <c r="M379" s="11">
        <v>0.12151000000000001</v>
      </c>
      <c r="N379" s="2" t="s">
        <v>538</v>
      </c>
    </row>
    <row r="380" spans="1:14" ht="12.3">
      <c r="A380" s="11">
        <v>1970</v>
      </c>
      <c r="B380" s="11">
        <v>2.0699999999999998</v>
      </c>
      <c r="C380" s="11">
        <v>0.12595999999999999</v>
      </c>
      <c r="D380" s="11">
        <v>7.9390000000000001</v>
      </c>
      <c r="E380" s="11">
        <v>50.357999999999997</v>
      </c>
      <c r="F380" s="11">
        <v>66.792000000000002</v>
      </c>
      <c r="G380" s="11">
        <v>243</v>
      </c>
      <c r="H380" s="11">
        <v>29.388999999999999</v>
      </c>
      <c r="I380" s="11">
        <v>37.713000000000001</v>
      </c>
      <c r="J380" s="11">
        <v>813.16</v>
      </c>
      <c r="K380" s="11">
        <v>-0.58357000000000003</v>
      </c>
      <c r="L380" s="11">
        <v>76.512</v>
      </c>
      <c r="M380" s="11">
        <v>0.12175</v>
      </c>
      <c r="N380" s="2" t="s">
        <v>538</v>
      </c>
    </row>
    <row r="381" spans="1:14" ht="12.3">
      <c r="A381" s="11">
        <v>1975</v>
      </c>
      <c r="B381" s="11">
        <v>2.0699999999999998</v>
      </c>
      <c r="C381" s="11">
        <v>0.12564</v>
      </c>
      <c r="D381" s="11">
        <v>7.9591000000000003</v>
      </c>
      <c r="E381" s="11">
        <v>50.505000000000003</v>
      </c>
      <c r="F381" s="11">
        <v>66.980999999999995</v>
      </c>
      <c r="G381" s="11">
        <v>243.1</v>
      </c>
      <c r="H381" s="11">
        <v>29.401</v>
      </c>
      <c r="I381" s="11">
        <v>37.723999999999997</v>
      </c>
      <c r="J381" s="11">
        <v>814.15</v>
      </c>
      <c r="K381" s="11">
        <v>-0.58411000000000002</v>
      </c>
      <c r="L381" s="11">
        <v>76.638999999999996</v>
      </c>
      <c r="M381" s="11">
        <v>0.12199</v>
      </c>
      <c r="N381" s="2" t="s">
        <v>538</v>
      </c>
    </row>
    <row r="382" spans="1:14" ht="12.3">
      <c r="A382" s="11">
        <v>1980</v>
      </c>
      <c r="B382" s="11">
        <v>2.0699999999999998</v>
      </c>
      <c r="C382" s="11">
        <v>0.12533</v>
      </c>
      <c r="D382" s="11">
        <v>7.9791999999999996</v>
      </c>
      <c r="E382" s="11">
        <v>50.652999999999999</v>
      </c>
      <c r="F382" s="11">
        <v>67.168999999999997</v>
      </c>
      <c r="G382" s="11">
        <v>243.19</v>
      </c>
      <c r="H382" s="11">
        <v>29.411999999999999</v>
      </c>
      <c r="I382" s="11">
        <v>37.734999999999999</v>
      </c>
      <c r="J382" s="11">
        <v>815.13</v>
      </c>
      <c r="K382" s="11">
        <v>-0.58464000000000005</v>
      </c>
      <c r="L382" s="11">
        <v>76.766000000000005</v>
      </c>
      <c r="M382" s="11">
        <v>0.12224</v>
      </c>
      <c r="N382" s="2" t="s">
        <v>538</v>
      </c>
    </row>
    <row r="383" spans="1:14" ht="12.3">
      <c r="A383" s="11">
        <v>1985</v>
      </c>
      <c r="B383" s="11">
        <v>2.0699999999999998</v>
      </c>
      <c r="C383" s="11">
        <v>0.12501000000000001</v>
      </c>
      <c r="D383" s="11">
        <v>7.9992999999999999</v>
      </c>
      <c r="E383" s="11">
        <v>50.8</v>
      </c>
      <c r="F383" s="11">
        <v>67.358000000000004</v>
      </c>
      <c r="G383" s="11">
        <v>243.29</v>
      </c>
      <c r="H383" s="11">
        <v>29.423999999999999</v>
      </c>
      <c r="I383" s="11">
        <v>37.747</v>
      </c>
      <c r="J383" s="11">
        <v>816.12</v>
      </c>
      <c r="K383" s="11">
        <v>-0.58516999999999997</v>
      </c>
      <c r="L383" s="11">
        <v>76.893000000000001</v>
      </c>
      <c r="M383" s="11">
        <v>0.12248000000000001</v>
      </c>
      <c r="N383" s="2" t="s">
        <v>538</v>
      </c>
    </row>
    <row r="384" spans="1:14" ht="12.3">
      <c r="A384" s="11">
        <v>1990</v>
      </c>
      <c r="B384" s="11">
        <v>2.0699999999999998</v>
      </c>
      <c r="C384" s="11">
        <v>0.12470000000000001</v>
      </c>
      <c r="D384" s="11">
        <v>8.0193999999999992</v>
      </c>
      <c r="E384" s="11">
        <v>50.947000000000003</v>
      </c>
      <c r="F384" s="11">
        <v>67.546999999999997</v>
      </c>
      <c r="G384" s="11">
        <v>243.38</v>
      </c>
      <c r="H384" s="11">
        <v>29.434999999999999</v>
      </c>
      <c r="I384" s="11">
        <v>37.758000000000003</v>
      </c>
      <c r="J384" s="11">
        <v>817.11</v>
      </c>
      <c r="K384" s="11">
        <v>-0.58569000000000004</v>
      </c>
      <c r="L384" s="11">
        <v>77.02</v>
      </c>
      <c r="M384" s="11">
        <v>0.12272</v>
      </c>
      <c r="N384" s="2" t="s">
        <v>538</v>
      </c>
    </row>
    <row r="385" spans="1:14" ht="12.3">
      <c r="A385" s="11">
        <v>1995</v>
      </c>
      <c r="B385" s="11">
        <v>2.0699999999999998</v>
      </c>
      <c r="C385" s="11">
        <v>0.12439</v>
      </c>
      <c r="D385" s="11">
        <v>8.0395000000000003</v>
      </c>
      <c r="E385" s="11">
        <v>51.094000000000001</v>
      </c>
      <c r="F385" s="11">
        <v>67.736000000000004</v>
      </c>
      <c r="G385" s="11">
        <v>243.48</v>
      </c>
      <c r="H385" s="11">
        <v>29.446000000000002</v>
      </c>
      <c r="I385" s="11">
        <v>37.770000000000003</v>
      </c>
      <c r="J385" s="11">
        <v>818.09</v>
      </c>
      <c r="K385" s="11">
        <v>-0.58621000000000001</v>
      </c>
      <c r="L385" s="11">
        <v>77.147000000000006</v>
      </c>
      <c r="M385" s="11">
        <v>0.12297</v>
      </c>
      <c r="N385" s="2" t="s">
        <v>538</v>
      </c>
    </row>
    <row r="386" spans="1:14" ht="12.3">
      <c r="A386" s="11">
        <v>2000</v>
      </c>
      <c r="B386" s="11">
        <v>2.0699999999999998</v>
      </c>
      <c r="C386" s="11">
        <v>0.12408</v>
      </c>
      <c r="D386" s="11">
        <v>8.0595999999999997</v>
      </c>
      <c r="E386" s="11">
        <v>51.241</v>
      </c>
      <c r="F386" s="11">
        <v>67.924999999999997</v>
      </c>
      <c r="G386" s="11">
        <v>243.57</v>
      </c>
      <c r="H386" s="11">
        <v>29.457999999999998</v>
      </c>
      <c r="I386" s="11">
        <v>37.780999999999999</v>
      </c>
      <c r="J386" s="11">
        <v>819.08</v>
      </c>
      <c r="K386" s="11">
        <v>-0.58672999999999997</v>
      </c>
      <c r="L386" s="11">
        <v>77.274000000000001</v>
      </c>
      <c r="M386" s="11">
        <v>0.12321</v>
      </c>
      <c r="N386" s="2" t="s">
        <v>538</v>
      </c>
    </row>
  </sheetData>
  <printOptions horizontalCentered="1" gridLines="1"/>
  <pageMargins left="0.7" right="0.7" top="0.75" bottom="0.75" header="0" footer="0"/>
  <pageSetup pageOrder="overThenDown" orientation="landscape" cellComments="atEnd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Q43"/>
  <sheetViews>
    <sheetView workbookViewId="0"/>
  </sheetViews>
  <sheetFormatPr defaultColWidth="12.609375" defaultRowHeight="15.75" customHeight="1"/>
  <cols>
    <col min="1" max="1" width="21.38671875" customWidth="1"/>
  </cols>
  <sheetData>
    <row r="1" spans="1:17" ht="15.75" customHeight="1">
      <c r="A1" s="9" t="s">
        <v>539</v>
      </c>
      <c r="B1" s="10">
        <f>D26</f>
        <v>310.20555555555552</v>
      </c>
      <c r="C1" s="9" t="s">
        <v>158</v>
      </c>
      <c r="D1" s="9" t="s">
        <v>540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customHeight="1">
      <c r="A2" s="9" t="s">
        <v>541</v>
      </c>
      <c r="B2" s="10">
        <f>B1</f>
        <v>310.20555555555552</v>
      </c>
      <c r="C2" s="9" t="s">
        <v>158</v>
      </c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</row>
    <row r="3" spans="1:17" ht="15.75" customHeight="1">
      <c r="A3" s="9" t="s">
        <v>542</v>
      </c>
      <c r="B3" s="10">
        <v>90</v>
      </c>
      <c r="C3" s="9" t="s">
        <v>158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</row>
    <row r="4" spans="1:17" ht="15.75" customHeight="1">
      <c r="A4" s="9" t="s">
        <v>543</v>
      </c>
      <c r="B4" s="132">
        <f>(B40*B1+B36*B3)/(B36+B40)</f>
        <v>244.59834832689646</v>
      </c>
      <c r="C4" s="9" t="s">
        <v>158</v>
      </c>
      <c r="D4" s="9" t="s">
        <v>544</v>
      </c>
      <c r="E4" s="10">
        <v>-114</v>
      </c>
      <c r="F4" s="9" t="s">
        <v>452</v>
      </c>
      <c r="G4" s="10">
        <f>E4+273.15</f>
        <v>159.14999999999998</v>
      </c>
      <c r="H4" s="9" t="s">
        <v>158</v>
      </c>
      <c r="I4" s="9"/>
      <c r="J4" s="9"/>
      <c r="K4" s="9"/>
      <c r="L4" s="9"/>
      <c r="M4" s="9"/>
      <c r="N4" s="9"/>
      <c r="O4" s="9"/>
      <c r="P4" s="9"/>
      <c r="Q4" s="9"/>
    </row>
    <row r="5" spans="1:17" ht="15.7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1:17" ht="15.75" customHeight="1">
      <c r="A6" s="9" t="s">
        <v>337</v>
      </c>
      <c r="B6" s="10">
        <v>27.5</v>
      </c>
      <c r="C6" s="9" t="s">
        <v>22</v>
      </c>
      <c r="D6" s="10">
        <f>B6*0.0254</f>
        <v>0.69850000000000001</v>
      </c>
      <c r="E6" s="9" t="s">
        <v>131</v>
      </c>
      <c r="F6" s="9" t="s">
        <v>545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</row>
    <row r="7" spans="1:17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ht="15.75" customHeight="1">
      <c r="A8" s="9" t="s">
        <v>546</v>
      </c>
      <c r="B8" s="133">
        <f>3/8</f>
        <v>0.375</v>
      </c>
      <c r="C8" s="9" t="s">
        <v>22</v>
      </c>
      <c r="D8" s="10">
        <f>B8*0.0254</f>
        <v>9.5249999999999987E-3</v>
      </c>
      <c r="E8" s="9" t="s">
        <v>131</v>
      </c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</row>
    <row r="9" spans="1:17" ht="15.75" customHeight="1">
      <c r="A9" s="9" t="s">
        <v>547</v>
      </c>
      <c r="B9" s="10">
        <v>0.04</v>
      </c>
      <c r="C9" s="9" t="s">
        <v>548</v>
      </c>
      <c r="D9" s="9"/>
      <c r="E9" s="9"/>
      <c r="F9" s="9" t="s">
        <v>549</v>
      </c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1:17" ht="15.75" customHeight="1">
      <c r="A10" s="9"/>
      <c r="B10" s="9"/>
      <c r="C10" s="9"/>
      <c r="D10" s="9"/>
      <c r="E10" s="9"/>
      <c r="F10" s="9" t="s">
        <v>550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1:17" ht="15.75" customHeight="1">
      <c r="A11" s="9"/>
      <c r="B11" s="9"/>
      <c r="C11" s="9"/>
      <c r="D11" s="9"/>
      <c r="E11" s="9" t="s">
        <v>551</v>
      </c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1:17" ht="15.75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1:17" ht="15.75" customHeight="1">
      <c r="A13" s="9" t="s">
        <v>552</v>
      </c>
      <c r="B13" s="10">
        <v>6.17</v>
      </c>
      <c r="C13" s="9" t="s">
        <v>22</v>
      </c>
      <c r="D13" s="10">
        <f t="shared" ref="D13:D14" si="0">B13*0.0254</f>
        <v>0.156718</v>
      </c>
      <c r="E13" s="9" t="s">
        <v>131</v>
      </c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1:17" ht="15.75" customHeight="1">
      <c r="A14" s="9" t="s">
        <v>553</v>
      </c>
      <c r="B14" s="10">
        <f>0.16/2</f>
        <v>0.08</v>
      </c>
      <c r="C14" s="9" t="s">
        <v>22</v>
      </c>
      <c r="D14" s="10">
        <f t="shared" si="0"/>
        <v>2.032E-3</v>
      </c>
      <c r="E14" s="9" t="s">
        <v>131</v>
      </c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</row>
    <row r="15" spans="1:17" ht="15.75" customHeight="1">
      <c r="A15" s="9" t="s">
        <v>554</v>
      </c>
      <c r="B15" s="10">
        <v>0.28799999999999998</v>
      </c>
      <c r="C15" s="9" t="s">
        <v>548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</row>
    <row r="16" spans="1:17" ht="15.7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1:17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1:17" ht="15.75" customHeight="1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</row>
    <row r="19" spans="1:17" ht="15.75" customHeight="1">
      <c r="A19" s="9" t="s">
        <v>555</v>
      </c>
      <c r="B19" s="10">
        <v>0.17</v>
      </c>
      <c r="C19" s="9" t="s">
        <v>548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</row>
    <row r="20" spans="1:17" ht="15.75" customHeight="1">
      <c r="A20" s="9" t="s">
        <v>556</v>
      </c>
      <c r="B20" s="134">
        <f>G20-0.035*2</f>
        <v>0.30499999999999999</v>
      </c>
      <c r="C20" s="9" t="s">
        <v>22</v>
      </c>
      <c r="D20" s="135">
        <f>B20*0.0254</f>
        <v>7.7469999999999995E-3</v>
      </c>
      <c r="E20" s="9" t="s">
        <v>131</v>
      </c>
      <c r="F20" s="99" t="s">
        <v>557</v>
      </c>
      <c r="G20" s="9">
        <f>3/8</f>
        <v>0.375</v>
      </c>
      <c r="H20" s="136" t="s">
        <v>558</v>
      </c>
      <c r="I20" s="9"/>
      <c r="J20" s="9"/>
      <c r="K20" s="9"/>
      <c r="L20" s="9"/>
      <c r="M20" s="9"/>
      <c r="N20" s="9"/>
      <c r="O20" s="9"/>
      <c r="P20" s="9"/>
      <c r="Q20" s="9"/>
    </row>
    <row r="21" spans="1:17" ht="15.75" customHeight="1">
      <c r="A21" s="9" t="s">
        <v>559</v>
      </c>
      <c r="B21" s="10">
        <f>B6*B20/5</f>
        <v>1.6774999999999998</v>
      </c>
      <c r="C21" s="9" t="s">
        <v>560</v>
      </c>
      <c r="D21" s="10">
        <f t="shared" ref="D21:D23" si="1">B21*0.0254^2</f>
        <v>1.0822558999999997E-3</v>
      </c>
      <c r="E21" s="9" t="s">
        <v>561</v>
      </c>
      <c r="F21" s="137" t="s">
        <v>562</v>
      </c>
      <c r="G21" s="160" t="s">
        <v>563</v>
      </c>
      <c r="H21" s="152"/>
      <c r="I21" s="152"/>
      <c r="J21" s="9"/>
      <c r="K21" s="9"/>
      <c r="L21" s="9"/>
      <c r="M21" s="9"/>
      <c r="N21" s="9"/>
      <c r="O21" s="9"/>
      <c r="P21" s="9"/>
      <c r="Q21" s="9"/>
    </row>
    <row r="22" spans="1:17" ht="15.75" customHeight="1">
      <c r="A22" s="9" t="s">
        <v>564</v>
      </c>
      <c r="B22" s="10">
        <f>B6*B20*3/5</f>
        <v>5.0324999999999998</v>
      </c>
      <c r="C22" s="9" t="s">
        <v>560</v>
      </c>
      <c r="D22" s="10">
        <f t="shared" si="1"/>
        <v>3.2467676999999996E-3</v>
      </c>
      <c r="E22" s="9" t="s">
        <v>561</v>
      </c>
      <c r="F22" s="138"/>
      <c r="G22" s="160" t="s">
        <v>565</v>
      </c>
      <c r="H22" s="152"/>
      <c r="I22" s="152"/>
      <c r="J22" s="9"/>
      <c r="K22" s="9"/>
      <c r="L22" s="9"/>
      <c r="M22" s="9"/>
      <c r="N22" s="9"/>
      <c r="O22" s="9"/>
      <c r="P22" s="9"/>
      <c r="Q22" s="9"/>
    </row>
    <row r="23" spans="1:17" ht="15.75" customHeight="1">
      <c r="A23" s="9" t="s">
        <v>566</v>
      </c>
      <c r="B23" s="10">
        <f>B6*3/8*2*B20</f>
        <v>6.2906249999999995</v>
      </c>
      <c r="C23" s="9" t="s">
        <v>560</v>
      </c>
      <c r="D23" s="10">
        <f t="shared" si="1"/>
        <v>4.0584596249999992E-3</v>
      </c>
      <c r="E23" s="9" t="s">
        <v>561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1:17" ht="15.75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1:17" ht="12.3">
      <c r="A25" s="9" t="s">
        <v>567</v>
      </c>
      <c r="B25" s="9" t="s">
        <v>568</v>
      </c>
      <c r="C25" s="161" t="s">
        <v>569</v>
      </c>
      <c r="D25" s="152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</row>
    <row r="26" spans="1:17" ht="13.8">
      <c r="A26" s="9" t="s">
        <v>570</v>
      </c>
      <c r="B26" s="140">
        <v>98.7</v>
      </c>
      <c r="C26" s="139" t="s">
        <v>571</v>
      </c>
      <c r="D26" s="10">
        <f>(B26-32)*5/9+273.15</f>
        <v>310.20555555555552</v>
      </c>
      <c r="E26" s="9" t="s">
        <v>158</v>
      </c>
      <c r="F26" s="136" t="s">
        <v>572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1:17" ht="13.8">
      <c r="A27" s="9" t="s">
        <v>573</v>
      </c>
      <c r="B27" s="140">
        <v>10</v>
      </c>
      <c r="C27" s="139" t="s">
        <v>574</v>
      </c>
      <c r="D27" s="10">
        <f>B27/2.237</f>
        <v>4.4702726866338844</v>
      </c>
      <c r="E27" s="9" t="s">
        <v>133</v>
      </c>
      <c r="F27" s="136" t="s">
        <v>572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1:17" ht="13.8">
      <c r="A28" s="9" t="s">
        <v>575</v>
      </c>
      <c r="B28" s="10">
        <v>29.75</v>
      </c>
      <c r="C28" s="9" t="s">
        <v>576</v>
      </c>
      <c r="D28" s="10">
        <f>B28*3386</f>
        <v>100733.5</v>
      </c>
      <c r="E28" s="9" t="s">
        <v>41</v>
      </c>
      <c r="F28" s="136" t="s">
        <v>572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1:17" ht="12.3">
      <c r="A29" s="9" t="s">
        <v>577</v>
      </c>
      <c r="B29" s="10">
        <v>1.8929399999999999E-5</v>
      </c>
      <c r="C29" s="9" t="s">
        <v>578</v>
      </c>
      <c r="D29" s="9"/>
      <c r="E29" s="9"/>
      <c r="F29" s="9" t="s">
        <v>579</v>
      </c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</row>
    <row r="30" spans="1:17" ht="13.8">
      <c r="A30" s="9" t="s">
        <v>580</v>
      </c>
      <c r="B30" s="10">
        <f>D27*B13/B29</f>
        <v>1457076.4248487046</v>
      </c>
      <c r="C30" s="9"/>
      <c r="D30" s="9"/>
      <c r="E30" s="9"/>
      <c r="F30" s="136" t="s">
        <v>572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</row>
    <row r="31" spans="1:17" ht="12.3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</row>
    <row r="32" spans="1:17" ht="12.3">
      <c r="A32" s="9" t="s">
        <v>581</v>
      </c>
      <c r="B32" s="10">
        <f>12.12-1.16*D27+11.6*D27^(1/2 )</f>
        <v>31.460386168702978</v>
      </c>
      <c r="C32" s="9" t="s">
        <v>582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</row>
    <row r="33" spans="1:17" ht="12.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</row>
    <row r="34" spans="1:17" ht="12.3">
      <c r="A34" s="9" t="s">
        <v>583</v>
      </c>
      <c r="B34" s="10">
        <f>1/B32/D21</f>
        <v>29.370138109083626</v>
      </c>
      <c r="C34" s="9" t="s">
        <v>584</v>
      </c>
      <c r="D34" s="9" t="s">
        <v>585</v>
      </c>
      <c r="E34" s="135">
        <f>B30/2*B30/D13*0.27</f>
        <v>1828856165595.1084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1:17" ht="12.3">
      <c r="A35" s="9" t="s">
        <v>586</v>
      </c>
      <c r="B35" s="10">
        <f>D14/B15/D21</f>
        <v>6.5193043119982601</v>
      </c>
      <c r="C35" s="9" t="s">
        <v>584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1:17" ht="12.3">
      <c r="A36" s="9" t="s">
        <v>587</v>
      </c>
      <c r="B36" s="10">
        <f>B34+B35</f>
        <v>35.889442421081888</v>
      </c>
      <c r="C36" s="9" t="s">
        <v>584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1:17" ht="12.3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38" spans="1:17" ht="12.3">
      <c r="A38" s="9" t="s">
        <v>588</v>
      </c>
      <c r="B38" s="10">
        <f>D20/B19/D23</f>
        <v>11.228542956194648</v>
      </c>
      <c r="C38" s="9" t="s">
        <v>584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</row>
    <row r="39" spans="1:17" ht="12.3">
      <c r="A39" s="9" t="s">
        <v>589</v>
      </c>
      <c r="B39" s="10">
        <f>D8/B9/D22</f>
        <v>73.342173509980398</v>
      </c>
      <c r="C39" s="9" t="s">
        <v>584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</row>
    <row r="40" spans="1:17" ht="12.3">
      <c r="A40" s="9" t="s">
        <v>590</v>
      </c>
      <c r="B40" s="10">
        <f>B39+B38</f>
        <v>84.570716466175043</v>
      </c>
      <c r="C40" s="9" t="s">
        <v>584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</row>
    <row r="41" spans="1:17" ht="12.3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</row>
    <row r="42" spans="1:17" ht="12.3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</row>
    <row r="43" spans="1:17" ht="12.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</row>
  </sheetData>
  <mergeCells count="3">
    <mergeCell ref="G21:I21"/>
    <mergeCell ref="G22:I22"/>
    <mergeCell ref="C25:D2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L37"/>
  <sheetViews>
    <sheetView workbookViewId="0"/>
  </sheetViews>
  <sheetFormatPr defaultColWidth="12.609375" defaultRowHeight="15.75" customHeight="1"/>
  <cols>
    <col min="1" max="1" width="19.609375" customWidth="1"/>
  </cols>
  <sheetData>
    <row r="1" spans="1:12" ht="15.75" customHeight="1">
      <c r="A1" s="162" t="s">
        <v>591</v>
      </c>
      <c r="B1" s="152"/>
      <c r="C1" s="152"/>
      <c r="D1" s="152"/>
      <c r="E1" s="152"/>
      <c r="F1" s="152"/>
      <c r="G1" s="152"/>
      <c r="H1" s="9"/>
      <c r="I1" s="9"/>
      <c r="J1" s="9"/>
      <c r="K1" s="9"/>
      <c r="L1" s="9"/>
    </row>
    <row r="2" spans="1:12" ht="15.75" customHeight="1">
      <c r="A2" s="141" t="s">
        <v>592</v>
      </c>
      <c r="B2" s="142"/>
      <c r="C2" s="143"/>
      <c r="D2" s="142"/>
      <c r="E2" s="143"/>
      <c r="F2" s="143"/>
      <c r="G2" s="143"/>
      <c r="H2" s="9"/>
      <c r="I2" s="9"/>
      <c r="J2" s="144" t="s">
        <v>263</v>
      </c>
      <c r="K2" s="9"/>
      <c r="L2" s="9"/>
    </row>
    <row r="3" spans="1:12" ht="15.75" customHeight="1">
      <c r="A3" s="9" t="s">
        <v>593</v>
      </c>
      <c r="B3" s="10">
        <v>80</v>
      </c>
      <c r="C3" s="9" t="s">
        <v>594</v>
      </c>
      <c r="D3" s="10">
        <f>J6</f>
        <v>299.81666666666666</v>
      </c>
      <c r="E3" s="9" t="s">
        <v>595</v>
      </c>
      <c r="F3" s="9"/>
      <c r="G3" s="9"/>
      <c r="H3" s="9"/>
      <c r="I3" s="9"/>
      <c r="J3" s="9"/>
      <c r="K3" s="9"/>
      <c r="L3" s="9"/>
    </row>
    <row r="4" spans="1:12" ht="15.75" customHeight="1">
      <c r="A4" s="9" t="s">
        <v>596</v>
      </c>
      <c r="B4" s="10">
        <v>180</v>
      </c>
      <c r="C4" s="9" t="s">
        <v>597</v>
      </c>
      <c r="D4" s="10">
        <f>B4 * J4</f>
        <v>0.77922000000000002</v>
      </c>
      <c r="E4" s="9" t="s">
        <v>249</v>
      </c>
      <c r="F4" s="9"/>
      <c r="G4" s="9"/>
      <c r="H4" s="9"/>
      <c r="I4" s="9"/>
      <c r="J4" s="10">
        <v>4.3290000000000004E-3</v>
      </c>
      <c r="K4" s="9" t="s">
        <v>598</v>
      </c>
      <c r="L4" s="9"/>
    </row>
    <row r="5" spans="1:12" ht="15.75" customHeight="1">
      <c r="A5" s="9" t="s">
        <v>599</v>
      </c>
      <c r="B5" s="10">
        <v>2</v>
      </c>
      <c r="C5" s="9" t="s">
        <v>249</v>
      </c>
      <c r="D5" s="9"/>
      <c r="E5" s="9"/>
      <c r="F5" s="9"/>
      <c r="G5" s="9"/>
      <c r="H5" s="9"/>
      <c r="I5" s="9"/>
      <c r="J5" s="10">
        <v>8.3145000000000007</v>
      </c>
      <c r="K5" s="9" t="s">
        <v>222</v>
      </c>
      <c r="L5" s="9"/>
    </row>
    <row r="6" spans="1:12" ht="15.75" customHeight="1">
      <c r="A6" s="9" t="s">
        <v>600</v>
      </c>
      <c r="B6" s="10">
        <v>1000</v>
      </c>
      <c r="C6" s="9" t="s">
        <v>7</v>
      </c>
      <c r="D6" s="10">
        <f>B6 * J7</f>
        <v>6894760</v>
      </c>
      <c r="E6" s="9" t="s">
        <v>8</v>
      </c>
      <c r="F6" s="9"/>
      <c r="G6" s="9"/>
      <c r="H6" s="9"/>
      <c r="I6" s="9"/>
      <c r="J6" s="10">
        <f>(B3 - 32) *5/9 + 273.15</f>
        <v>299.81666666666666</v>
      </c>
      <c r="K6" s="9" t="s">
        <v>601</v>
      </c>
      <c r="L6" s="9"/>
    </row>
    <row r="7" spans="1:12" ht="15.75" customHeight="1">
      <c r="A7" s="9" t="s">
        <v>602</v>
      </c>
      <c r="B7" s="10">
        <v>3500</v>
      </c>
      <c r="C7" s="83" t="s">
        <v>7</v>
      </c>
      <c r="D7" s="10">
        <f>B7 * J7</f>
        <v>24131660</v>
      </c>
      <c r="E7" s="9" t="s">
        <v>8</v>
      </c>
      <c r="F7" s="9"/>
      <c r="G7" s="9"/>
      <c r="H7" s="9"/>
      <c r="I7" s="9"/>
      <c r="J7" s="10">
        <v>6894.76</v>
      </c>
      <c r="K7" s="9" t="s">
        <v>603</v>
      </c>
      <c r="L7" s="9"/>
    </row>
    <row r="8" spans="1:12" ht="15.75" customHeight="1">
      <c r="A8" s="9" t="s">
        <v>604</v>
      </c>
      <c r="B8" s="10">
        <v>7000</v>
      </c>
      <c r="C8" s="9" t="s">
        <v>605</v>
      </c>
      <c r="D8" s="9"/>
      <c r="E8" s="9"/>
      <c r="F8" s="9"/>
      <c r="G8" s="9"/>
      <c r="H8" s="9"/>
      <c r="I8" s="9"/>
      <c r="J8" s="9"/>
      <c r="K8" s="9"/>
      <c r="L8" s="9"/>
    </row>
    <row r="9" spans="1:12" ht="15.75" customHeight="1">
      <c r="A9" s="9" t="s">
        <v>606</v>
      </c>
      <c r="B9" s="10">
        <v>67</v>
      </c>
      <c r="C9" s="9" t="s">
        <v>607</v>
      </c>
      <c r="D9" s="9"/>
      <c r="E9" s="9"/>
      <c r="F9" s="9"/>
      <c r="G9" s="9"/>
      <c r="H9" s="9"/>
      <c r="I9" s="9"/>
      <c r="J9" s="10">
        <v>1.6387100000000002E-2</v>
      </c>
      <c r="K9" s="9" t="s">
        <v>608</v>
      </c>
      <c r="L9" s="9"/>
    </row>
    <row r="10" spans="1:12" ht="15.75" customHeight="1">
      <c r="A10" s="9" t="s">
        <v>609</v>
      </c>
      <c r="B10" s="10">
        <v>1</v>
      </c>
      <c r="C10" s="9"/>
      <c r="D10" s="9"/>
      <c r="E10" s="9"/>
      <c r="F10" s="9"/>
      <c r="G10" s="9"/>
      <c r="H10" s="9"/>
      <c r="I10" s="9"/>
      <c r="J10" s="10">
        <v>3.7854100000000002</v>
      </c>
      <c r="K10" s="9" t="s">
        <v>610</v>
      </c>
      <c r="L10" s="9"/>
    </row>
    <row r="11" spans="1:12" ht="15.75" customHeight="1">
      <c r="A11" s="9"/>
      <c r="B11" s="9"/>
      <c r="C11" s="9"/>
      <c r="D11" s="9"/>
      <c r="E11" s="9"/>
      <c r="F11" s="9"/>
      <c r="G11" s="9"/>
      <c r="H11" s="9"/>
      <c r="I11" s="9"/>
      <c r="J11" s="10">
        <v>6.8045999999999995E-2</v>
      </c>
      <c r="K11" s="9" t="s">
        <v>611</v>
      </c>
      <c r="L11" s="9"/>
    </row>
    <row r="12" spans="1:12" ht="15.75" customHeight="1">
      <c r="A12" s="9" t="s">
        <v>612</v>
      </c>
      <c r="B12" s="10">
        <f>1 / (24000) * 3785 * B5</f>
        <v>0.31541666666666668</v>
      </c>
      <c r="C12" s="9" t="s">
        <v>613</v>
      </c>
      <c r="D12" s="9"/>
      <c r="E12" s="9"/>
      <c r="F12" s="9"/>
      <c r="G12" s="9"/>
      <c r="H12" s="9"/>
      <c r="I12" s="9"/>
      <c r="J12" s="9"/>
      <c r="K12" s="9"/>
      <c r="L12" s="9"/>
    </row>
    <row r="13" spans="1:12" ht="15.75" customHeight="1">
      <c r="A13" s="9" t="s">
        <v>614</v>
      </c>
      <c r="B13" s="132">
        <v>90</v>
      </c>
      <c r="C13" s="9" t="s">
        <v>613</v>
      </c>
      <c r="D13" s="9"/>
      <c r="E13" s="9"/>
      <c r="F13" s="9"/>
      <c r="G13" s="9"/>
      <c r="H13" s="9"/>
      <c r="I13" s="9"/>
      <c r="J13" s="9"/>
      <c r="K13" s="9"/>
      <c r="L13" s="9"/>
    </row>
    <row r="14" spans="1:12" ht="15.75" customHeight="1">
      <c r="A14" s="141" t="s">
        <v>615</v>
      </c>
      <c r="B14" s="142"/>
      <c r="C14" s="143"/>
      <c r="D14" s="142"/>
      <c r="E14" s="143"/>
      <c r="F14" s="143"/>
      <c r="G14" s="143"/>
      <c r="H14" s="9"/>
      <c r="I14" s="9"/>
      <c r="J14" s="9"/>
      <c r="K14" s="9"/>
      <c r="L14" s="9"/>
    </row>
    <row r="15" spans="1:12" ht="15.75" customHeight="1">
      <c r="A15" s="9" t="s">
        <v>616</v>
      </c>
      <c r="B15" s="145">
        <f>(B13 - ((B6*B12/14.7)-B12))</f>
        <v>68.858500566893426</v>
      </c>
      <c r="C15" s="9" t="s">
        <v>613</v>
      </c>
      <c r="D15" s="9"/>
      <c r="E15" s="9"/>
      <c r="F15" s="9"/>
      <c r="G15" s="9"/>
      <c r="H15" s="9"/>
      <c r="I15" s="9"/>
      <c r="J15" s="9"/>
      <c r="K15" s="9"/>
      <c r="L15" s="9"/>
    </row>
    <row r="16" spans="1:12" ht="15.75" customHeight="1">
      <c r="A16" s="9" t="s">
        <v>617</v>
      </c>
      <c r="B16" s="146">
        <f>(B13 - ((B6*B12/14.7)-B12)) * (B7/B13)</f>
        <v>2677.8305776014108</v>
      </c>
      <c r="C16" s="9" t="s">
        <v>618</v>
      </c>
      <c r="D16" s="9"/>
      <c r="E16" s="9"/>
      <c r="F16" s="9"/>
      <c r="G16" s="9"/>
      <c r="H16" s="9"/>
      <c r="I16" s="9"/>
      <c r="J16" s="9"/>
      <c r="K16" s="9"/>
      <c r="L16" s="9"/>
    </row>
    <row r="17" spans="1:12" ht="15.75" customHeight="1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ht="15.75" customHeight="1">
      <c r="A18" s="9" t="s">
        <v>619</v>
      </c>
      <c r="B18" s="10">
        <f>B8 / ((B6/14.7)^B10)</f>
        <v>102.89999999999999</v>
      </c>
      <c r="C18" s="9" t="s">
        <v>605</v>
      </c>
      <c r="D18" s="9"/>
      <c r="E18" s="9"/>
      <c r="F18" s="9"/>
      <c r="G18" s="9"/>
      <c r="H18" s="9"/>
      <c r="I18" s="9"/>
      <c r="J18" s="9"/>
      <c r="K18" s="9"/>
      <c r="L18" s="9"/>
    </row>
    <row r="19" spans="1:12" ht="15.75" customHeight="1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ht="15.75" customHeight="1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ht="15.75" customHeight="1">
      <c r="A21" s="141" t="s">
        <v>592</v>
      </c>
      <c r="B21" s="142"/>
      <c r="C21" s="143"/>
      <c r="D21" s="142"/>
      <c r="E21" s="143"/>
      <c r="F21" s="143"/>
      <c r="G21" s="143"/>
      <c r="H21" s="9"/>
      <c r="I21" s="9"/>
      <c r="J21" s="9"/>
      <c r="K21" s="9"/>
      <c r="L21" s="9"/>
    </row>
    <row r="22" spans="1:12" ht="15.75" customHeight="1">
      <c r="A22" s="9" t="s">
        <v>593</v>
      </c>
      <c r="B22" s="10">
        <f>(B3-32)*5/9+273.15</f>
        <v>299.81666666666666</v>
      </c>
      <c r="C22" s="9" t="s">
        <v>620</v>
      </c>
      <c r="D22" s="10">
        <f>J25</f>
        <v>0</v>
      </c>
      <c r="E22" s="9" t="s">
        <v>595</v>
      </c>
      <c r="F22" s="9"/>
      <c r="G22" s="9"/>
      <c r="H22" s="9"/>
      <c r="I22" s="9"/>
      <c r="J22" s="9"/>
      <c r="K22" s="9"/>
      <c r="L22" s="9"/>
    </row>
    <row r="23" spans="1:12" ht="15.75" customHeight="1">
      <c r="A23" s="9" t="s">
        <v>596</v>
      </c>
      <c r="B23" s="10">
        <f>B4*0.0163871</f>
        <v>2.9496780000000005</v>
      </c>
      <c r="C23" s="9" t="s">
        <v>337</v>
      </c>
      <c r="D23" s="10" t="e">
        <f>B23 * J23</f>
        <v>#VALUE!</v>
      </c>
      <c r="E23" s="9" t="s">
        <v>249</v>
      </c>
      <c r="F23" s="9"/>
      <c r="G23" s="9"/>
      <c r="H23" s="9"/>
      <c r="I23" s="9"/>
      <c r="J23" s="9" t="s">
        <v>621</v>
      </c>
      <c r="K23" s="147">
        <v>8.2049999999999998E-2</v>
      </c>
      <c r="L23" s="148" t="s">
        <v>622</v>
      </c>
    </row>
    <row r="24" spans="1:12" ht="15.75" customHeight="1">
      <c r="A24" s="9" t="s">
        <v>599</v>
      </c>
      <c r="B24" s="10">
        <f>B5*3.78541</f>
        <v>7.5708200000000003</v>
      </c>
      <c r="C24" s="9" t="s">
        <v>337</v>
      </c>
      <c r="D24" s="9"/>
      <c r="E24" s="9"/>
      <c r="F24" s="9"/>
      <c r="G24" s="9"/>
      <c r="H24" s="9"/>
      <c r="I24" s="9"/>
      <c r="J24" s="9"/>
      <c r="K24" s="9"/>
      <c r="L24" s="9"/>
    </row>
    <row r="25" spans="1:12" ht="12.3">
      <c r="A25" s="9" t="s">
        <v>600</v>
      </c>
      <c r="B25" s="10">
        <v>3.4</v>
      </c>
      <c r="C25" s="9" t="s">
        <v>623</v>
      </c>
      <c r="D25" s="10">
        <f>B25 * J26</f>
        <v>0</v>
      </c>
      <c r="E25" s="9" t="s">
        <v>8</v>
      </c>
      <c r="F25" s="9"/>
      <c r="G25" s="9"/>
      <c r="H25" s="9"/>
      <c r="I25" s="9"/>
      <c r="J25" s="9"/>
      <c r="K25" s="9"/>
      <c r="L25" s="9"/>
    </row>
    <row r="26" spans="1:12" ht="12.3">
      <c r="A26" s="9" t="s">
        <v>602</v>
      </c>
      <c r="B26" s="10">
        <f>B7*0.068046</f>
        <v>238.16099999999997</v>
      </c>
      <c r="C26" s="83" t="s">
        <v>623</v>
      </c>
      <c r="D26" s="10">
        <f>B26 * J26</f>
        <v>0</v>
      </c>
      <c r="E26" s="9" t="s">
        <v>8</v>
      </c>
      <c r="F26" s="9"/>
      <c r="G26" s="9"/>
      <c r="H26" s="9"/>
      <c r="I26" s="9"/>
      <c r="J26" s="9"/>
      <c r="K26" s="9"/>
      <c r="L26" s="9"/>
    </row>
    <row r="27" spans="1:12" ht="12.3">
      <c r="A27" s="9" t="s">
        <v>604</v>
      </c>
      <c r="B27" s="10">
        <v>7000</v>
      </c>
      <c r="C27" s="9" t="s">
        <v>605</v>
      </c>
      <c r="D27" s="9"/>
      <c r="E27" s="9"/>
      <c r="F27" s="9"/>
      <c r="G27" s="9"/>
      <c r="H27" s="9"/>
      <c r="I27" s="9"/>
      <c r="J27" s="9"/>
      <c r="K27" s="9"/>
      <c r="L27" s="9"/>
    </row>
    <row r="28" spans="1:12" ht="12.3">
      <c r="A28" s="9" t="s">
        <v>606</v>
      </c>
      <c r="B28" s="10">
        <v>67</v>
      </c>
      <c r="C28" s="9" t="s">
        <v>607</v>
      </c>
      <c r="D28" s="9"/>
      <c r="E28" s="9"/>
      <c r="F28" s="9"/>
      <c r="G28" s="9"/>
      <c r="H28" s="9"/>
      <c r="I28" s="9"/>
      <c r="J28" s="9"/>
      <c r="K28" s="9"/>
      <c r="L28" s="9"/>
    </row>
    <row r="29" spans="1:12" ht="12.3">
      <c r="A29" s="9" t="s">
        <v>609</v>
      </c>
      <c r="B29" s="10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</row>
    <row r="30" spans="1:12" ht="12.3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</row>
    <row r="31" spans="1:12" ht="12.3">
      <c r="A31" s="9" t="s">
        <v>624</v>
      </c>
      <c r="B31" s="10">
        <v>0.31541666699999998</v>
      </c>
      <c r="C31" s="9" t="s">
        <v>613</v>
      </c>
      <c r="D31" s="9"/>
      <c r="E31" s="9"/>
      <c r="F31" s="9"/>
      <c r="G31" s="9"/>
      <c r="H31" s="9"/>
      <c r="I31" s="9"/>
      <c r="J31" s="9"/>
      <c r="K31" s="9"/>
      <c r="L31" s="9"/>
    </row>
    <row r="32" spans="1:12" ht="12.3">
      <c r="A32" s="9" t="s">
        <v>625</v>
      </c>
      <c r="B32" s="10">
        <f>B26*B23/B22/K23</f>
        <v>28.556889261211122</v>
      </c>
      <c r="C32" s="9" t="s">
        <v>613</v>
      </c>
      <c r="D32" s="9" t="s">
        <v>626</v>
      </c>
      <c r="E32" s="9">
        <v>90</v>
      </c>
      <c r="F32" s="9" t="s">
        <v>613</v>
      </c>
      <c r="G32" s="9"/>
      <c r="H32" s="9"/>
      <c r="I32" s="9"/>
      <c r="J32" s="9"/>
      <c r="K32" s="9"/>
      <c r="L32" s="9"/>
    </row>
    <row r="33" spans="1:6" ht="17.7">
      <c r="A33" s="141" t="s">
        <v>615</v>
      </c>
      <c r="B33" s="142"/>
      <c r="C33" s="143"/>
      <c r="D33" s="142"/>
    </row>
    <row r="34" spans="1:6" ht="16.5">
      <c r="A34" s="9" t="s">
        <v>616</v>
      </c>
      <c r="B34" s="145">
        <f>(B32-(B25*B31)+B31)</f>
        <v>27.799889260411124</v>
      </c>
      <c r="C34" s="9" t="s">
        <v>613</v>
      </c>
      <c r="D34" s="9"/>
      <c r="E34">
        <f>(E32-(B25*B31)+B31)</f>
        <v>89.242999999199995</v>
      </c>
      <c r="F34" s="2" t="s">
        <v>613</v>
      </c>
    </row>
    <row r="35" spans="1:6" ht="12.3">
      <c r="A35" s="9" t="s">
        <v>617</v>
      </c>
      <c r="B35" s="146">
        <f>B34*(B26/B32)</f>
        <v>231.84771161829192</v>
      </c>
      <c r="C35" s="9" t="s">
        <v>623</v>
      </c>
      <c r="D35" s="9"/>
      <c r="E35">
        <f>E34*(B26/E32)</f>
        <v>236.15780136454964</v>
      </c>
      <c r="F35" s="2" t="s">
        <v>623</v>
      </c>
    </row>
    <row r="36" spans="1:6" ht="12.3">
      <c r="A36" s="9"/>
      <c r="B36" s="9"/>
      <c r="C36" s="9"/>
      <c r="D36" s="9"/>
    </row>
    <row r="37" spans="1:6" ht="16.5">
      <c r="A37" s="9" t="s">
        <v>619</v>
      </c>
      <c r="B37" s="10">
        <f>B27 / ((B25)^B29)</f>
        <v>52.382035655703369</v>
      </c>
      <c r="C37" s="9" t="s">
        <v>605</v>
      </c>
      <c r="D37" s="9"/>
      <c r="E37" s="20"/>
    </row>
  </sheetData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M87"/>
  <sheetViews>
    <sheetView topLeftCell="A18" workbookViewId="0">
      <selection sqref="A1:G1"/>
    </sheetView>
  </sheetViews>
  <sheetFormatPr defaultColWidth="12.609375" defaultRowHeight="15.75" customHeight="1"/>
  <cols>
    <col min="1" max="1" width="17.5" customWidth="1"/>
  </cols>
  <sheetData>
    <row r="1" spans="1:12" ht="67.5" customHeight="1">
      <c r="A1" s="151" t="s">
        <v>0</v>
      </c>
      <c r="B1" s="152"/>
      <c r="C1" s="152"/>
      <c r="D1" s="152"/>
      <c r="E1" s="152"/>
      <c r="F1" s="152"/>
      <c r="G1" s="152"/>
      <c r="I1" s="1"/>
      <c r="J1" s="1"/>
      <c r="K1" s="1"/>
      <c r="L1" s="2"/>
    </row>
    <row r="2" spans="1:12" ht="12.3">
      <c r="A2" s="3" t="s">
        <v>1</v>
      </c>
      <c r="B2" s="4"/>
      <c r="C2" s="4"/>
      <c r="D2" s="4"/>
      <c r="E2" s="4"/>
      <c r="F2" s="4"/>
      <c r="G2" s="4"/>
      <c r="I2" s="1" t="s">
        <v>2</v>
      </c>
      <c r="J2" s="1" t="s">
        <v>3</v>
      </c>
      <c r="K2" s="1" t="s">
        <v>4</v>
      </c>
      <c r="L2" s="2" t="s">
        <v>5</v>
      </c>
    </row>
    <row r="3" spans="1:12" ht="12.3">
      <c r="A3" s="2" t="s">
        <v>6</v>
      </c>
      <c r="B3" s="2">
        <v>90</v>
      </c>
      <c r="C3" s="2" t="s">
        <v>7</v>
      </c>
      <c r="D3" s="2">
        <f>I11*B3</f>
        <v>620550</v>
      </c>
      <c r="E3" s="2" t="s">
        <v>8</v>
      </c>
      <c r="F3" s="2" t="s">
        <v>9</v>
      </c>
      <c r="I3" s="2"/>
      <c r="J3" s="2"/>
      <c r="K3" s="2"/>
    </row>
    <row r="4" spans="1:12" ht="12.3">
      <c r="A4" s="2" t="s">
        <v>10</v>
      </c>
      <c r="B4" s="2">
        <v>110</v>
      </c>
      <c r="C4" s="2" t="s">
        <v>7</v>
      </c>
      <c r="D4" s="2">
        <f>I11*B4</f>
        <v>758450</v>
      </c>
      <c r="E4" s="2" t="s">
        <v>8</v>
      </c>
      <c r="F4" s="2" t="s">
        <v>11</v>
      </c>
      <c r="I4" s="2">
        <v>1000</v>
      </c>
      <c r="J4" s="2" t="s">
        <v>12</v>
      </c>
      <c r="K4" s="2" t="s">
        <v>13</v>
      </c>
    </row>
    <row r="5" spans="1:12" ht="12.3">
      <c r="A5" s="2" t="s">
        <v>14</v>
      </c>
      <c r="B5" s="2">
        <v>0.79800000000000004</v>
      </c>
      <c r="C5" s="2" t="s">
        <v>15</v>
      </c>
      <c r="D5" s="5">
        <f>B5*I4</f>
        <v>798</v>
      </c>
      <c r="E5" s="2" t="s">
        <v>13</v>
      </c>
      <c r="F5" s="2" t="s">
        <v>16</v>
      </c>
      <c r="I5" s="2">
        <v>2.2046199999999998</v>
      </c>
      <c r="J5" s="2" t="s">
        <v>17</v>
      </c>
      <c r="K5" s="2" t="s">
        <v>18</v>
      </c>
    </row>
    <row r="6" spans="1:12" ht="12.3">
      <c r="A6" s="2" t="s">
        <v>19</v>
      </c>
      <c r="B6" s="2">
        <v>1.141</v>
      </c>
      <c r="C6" s="2" t="s">
        <v>15</v>
      </c>
      <c r="D6" s="6">
        <f>B6*I4</f>
        <v>1141</v>
      </c>
      <c r="E6" s="2" t="s">
        <v>13</v>
      </c>
      <c r="F6" s="2" t="s">
        <v>20</v>
      </c>
      <c r="I6" s="2">
        <v>25.4</v>
      </c>
      <c r="J6" s="2" t="s">
        <v>21</v>
      </c>
      <c r="K6" s="2" t="s">
        <v>22</v>
      </c>
    </row>
    <row r="7" spans="1:12" ht="12.3">
      <c r="A7" s="2" t="s">
        <v>23</v>
      </c>
      <c r="B7" s="2">
        <v>1.3</v>
      </c>
      <c r="C7" s="2" t="s">
        <v>24</v>
      </c>
      <c r="D7" s="7">
        <f>B7*10^(-3)</f>
        <v>1.3000000000000002E-3</v>
      </c>
      <c r="E7" s="2" t="s">
        <v>25</v>
      </c>
      <c r="F7" s="2" t="s">
        <v>26</v>
      </c>
      <c r="I7" s="2"/>
      <c r="J7" s="2"/>
      <c r="K7" s="2"/>
    </row>
    <row r="8" spans="1:12" ht="12.3">
      <c r="A8" s="2" t="s">
        <v>27</v>
      </c>
      <c r="B8" s="2">
        <v>138</v>
      </c>
      <c r="C8" s="2" t="s">
        <v>28</v>
      </c>
      <c r="D8" s="8">
        <f>B8*10^-6</f>
        <v>1.3799999999999999E-4</v>
      </c>
      <c r="E8" s="2" t="s">
        <v>25</v>
      </c>
      <c r="F8" s="2" t="s">
        <v>29</v>
      </c>
      <c r="I8" s="2" t="s">
        <v>30</v>
      </c>
      <c r="J8" s="2" t="s">
        <v>31</v>
      </c>
      <c r="K8" s="2" t="s">
        <v>32</v>
      </c>
    </row>
    <row r="9" spans="1:12" ht="12.3">
      <c r="A9" s="9" t="s">
        <v>33</v>
      </c>
      <c r="B9" s="10">
        <v>18</v>
      </c>
      <c r="C9" s="9"/>
      <c r="D9" s="11"/>
      <c r="E9" s="2"/>
      <c r="F9" s="2"/>
      <c r="I9" s="2"/>
      <c r="J9" s="2"/>
      <c r="K9" s="2"/>
    </row>
    <row r="10" spans="1:12" ht="12.3">
      <c r="A10" s="9" t="s">
        <v>34</v>
      </c>
      <c r="B10" s="10">
        <v>2</v>
      </c>
      <c r="C10" s="9"/>
      <c r="D10" s="11"/>
      <c r="E10" s="2"/>
      <c r="F10" s="2" t="s">
        <v>35</v>
      </c>
      <c r="I10" s="2"/>
      <c r="J10" s="2"/>
      <c r="K10" s="2"/>
    </row>
    <row r="11" spans="1:12" ht="12.3">
      <c r="A11" s="1" t="s">
        <v>36</v>
      </c>
      <c r="B11" s="12">
        <v>0.875</v>
      </c>
      <c r="C11" s="1" t="s">
        <v>37</v>
      </c>
      <c r="D11" s="11">
        <f>B11*I5</f>
        <v>1.9290424999999998</v>
      </c>
      <c r="E11" s="2" t="s">
        <v>38</v>
      </c>
      <c r="F11" s="2" t="s">
        <v>39</v>
      </c>
      <c r="I11" s="2">
        <v>6895</v>
      </c>
      <c r="J11" s="2" t="s">
        <v>40</v>
      </c>
      <c r="K11" s="2" t="s">
        <v>41</v>
      </c>
    </row>
    <row r="12" spans="1:12" ht="12.3">
      <c r="A12" s="1" t="s">
        <v>42</v>
      </c>
      <c r="B12" s="13">
        <v>1.7250000000000001</v>
      </c>
      <c r="C12" s="1" t="s">
        <v>43</v>
      </c>
      <c r="F12" s="2" t="s">
        <v>44</v>
      </c>
      <c r="I12" s="2">
        <v>5.7870000000000003E-4</v>
      </c>
      <c r="J12" s="2" t="s">
        <v>45</v>
      </c>
    </row>
    <row r="13" spans="1:12" ht="12.3">
      <c r="A13" s="2" t="s">
        <v>46</v>
      </c>
      <c r="B13" s="14">
        <v>0.49199999999999999</v>
      </c>
      <c r="C13" s="2" t="s">
        <v>47</v>
      </c>
      <c r="F13" s="2" t="s">
        <v>48</v>
      </c>
    </row>
    <row r="14" spans="1:12" ht="12.3">
      <c r="A14" s="2" t="s">
        <v>49</v>
      </c>
      <c r="B14" s="11">
        <v>0.81799999999999995</v>
      </c>
      <c r="C14" s="2" t="s">
        <v>47</v>
      </c>
      <c r="F14" s="2" t="s">
        <v>50</v>
      </c>
      <c r="I14" s="2"/>
      <c r="J14" s="2"/>
    </row>
    <row r="15" spans="1:12" ht="12.3">
      <c r="A15" s="2" t="s">
        <v>51</v>
      </c>
      <c r="B15" s="2">
        <v>0.5</v>
      </c>
      <c r="C15" s="2"/>
      <c r="F15" s="2"/>
      <c r="I15" s="2"/>
      <c r="J15" s="2"/>
    </row>
    <row r="16" spans="1:12" ht="12.3">
      <c r="A16" s="1" t="s">
        <v>52</v>
      </c>
      <c r="B16" s="2"/>
      <c r="C16" s="2"/>
      <c r="F16" s="2"/>
    </row>
    <row r="17" spans="1:13" ht="12.3">
      <c r="A17" s="2" t="s">
        <v>53</v>
      </c>
      <c r="B17" s="2">
        <v>8</v>
      </c>
      <c r="C17" s="2" t="s">
        <v>54</v>
      </c>
      <c r="F17" s="2" t="s">
        <v>55</v>
      </c>
    </row>
    <row r="18" spans="1:13" ht="12.3">
      <c r="A18" s="2" t="s">
        <v>56</v>
      </c>
      <c r="B18" s="2">
        <v>8</v>
      </c>
      <c r="C18" s="2" t="s">
        <v>54</v>
      </c>
      <c r="F18" s="2" t="s">
        <v>57</v>
      </c>
    </row>
    <row r="19" spans="1:13" ht="12.3">
      <c r="A19" s="2" t="s">
        <v>58</v>
      </c>
      <c r="B19" s="2">
        <v>6</v>
      </c>
      <c r="C19" s="2" t="s">
        <v>54</v>
      </c>
      <c r="F19" s="2" t="s">
        <v>59</v>
      </c>
      <c r="L19" s="2"/>
    </row>
    <row r="20" spans="1:13" ht="12.3">
      <c r="A20" s="2" t="s">
        <v>60</v>
      </c>
      <c r="B20" s="14">
        <v>0.127</v>
      </c>
      <c r="C20" s="2" t="s">
        <v>61</v>
      </c>
      <c r="F20" s="2" t="s">
        <v>62</v>
      </c>
      <c r="L20" s="2"/>
    </row>
    <row r="21" spans="1:13" ht="12.3">
      <c r="A21" s="1" t="s">
        <v>63</v>
      </c>
      <c r="C21" s="2">
        <v>0.11</v>
      </c>
      <c r="L21" s="2"/>
    </row>
    <row r="22" spans="1:13" ht="12.3">
      <c r="A22" s="2" t="s">
        <v>64</v>
      </c>
      <c r="B22" s="2">
        <v>0.25</v>
      </c>
      <c r="C22" s="2" t="s">
        <v>65</v>
      </c>
      <c r="D22">
        <f>B22*I6</f>
        <v>6.35</v>
      </c>
      <c r="E22" s="2" t="s">
        <v>66</v>
      </c>
      <c r="F22" s="2" t="s">
        <v>67</v>
      </c>
      <c r="L22" s="2"/>
    </row>
    <row r="23" spans="1:13" ht="12.3">
      <c r="A23" s="2" t="s">
        <v>68</v>
      </c>
      <c r="B23" s="2">
        <v>0.1</v>
      </c>
      <c r="C23" s="2" t="s">
        <v>65</v>
      </c>
      <c r="D23">
        <f>B23*I6</f>
        <v>2.54</v>
      </c>
      <c r="E23" s="2" t="s">
        <v>66</v>
      </c>
      <c r="F23" s="2" t="s">
        <v>69</v>
      </c>
      <c r="L23" s="2"/>
    </row>
    <row r="24" spans="1:13" ht="12.3">
      <c r="L24" s="2"/>
    </row>
    <row r="25" spans="1:13" ht="12.3">
      <c r="L25" s="2"/>
    </row>
    <row r="26" spans="1:13" ht="12.3">
      <c r="A26" s="3" t="s">
        <v>70</v>
      </c>
      <c r="B26" s="15"/>
      <c r="C26" s="4"/>
      <c r="D26" s="15"/>
      <c r="E26" s="4"/>
      <c r="F26" s="4"/>
      <c r="G26" s="4"/>
    </row>
    <row r="27" spans="1:13" ht="12.3">
      <c r="A27" s="1" t="s">
        <v>71</v>
      </c>
      <c r="B27" s="11">
        <f>B11/(1+B12)*(1-B20)</f>
        <v>0.28032110091743118</v>
      </c>
      <c r="C27" s="2" t="s">
        <v>37</v>
      </c>
      <c r="D27" s="11">
        <f>B27*I5</f>
        <v>0.6180015055045871</v>
      </c>
      <c r="E27" s="2" t="s">
        <v>38</v>
      </c>
      <c r="F27" s="2" t="s">
        <v>72</v>
      </c>
    </row>
    <row r="28" spans="1:13" ht="12.3">
      <c r="A28" s="1" t="s">
        <v>73</v>
      </c>
      <c r="B28" s="11">
        <f>B11*B12/(1+B12)</f>
        <v>0.55389908256880738</v>
      </c>
      <c r="C28" s="2" t="s">
        <v>37</v>
      </c>
      <c r="D28" s="11">
        <f t="shared" ref="D28:D29" si="0">B28*I5</f>
        <v>1.2211369954128439</v>
      </c>
      <c r="E28" s="2" t="s">
        <v>38</v>
      </c>
      <c r="F28" s="2" t="s">
        <v>74</v>
      </c>
      <c r="L28" s="16"/>
      <c r="M28" s="2"/>
    </row>
    <row r="29" spans="1:13" ht="12.3">
      <c r="A29" s="1" t="s">
        <v>75</v>
      </c>
      <c r="B29" s="17">
        <f>B11/(1+B12)*(B20)</f>
        <v>4.077981651376146E-2</v>
      </c>
      <c r="C29" s="2" t="s">
        <v>37</v>
      </c>
      <c r="D29" s="11">
        <f t="shared" si="0"/>
        <v>1.0358073394495411</v>
      </c>
      <c r="E29" s="2" t="s">
        <v>38</v>
      </c>
      <c r="F29" s="2" t="s">
        <v>76</v>
      </c>
    </row>
    <row r="30" spans="1:13" ht="12.3">
      <c r="A30" s="2" t="s">
        <v>77</v>
      </c>
      <c r="B30" s="18">
        <f t="shared" ref="B30:B31" si="1">B27/D5</f>
        <v>3.5127957508450023E-4</v>
      </c>
      <c r="C30" s="2" t="s">
        <v>78</v>
      </c>
      <c r="D30" s="11">
        <f t="shared" ref="D30:D31" si="2">B30 * 0.000264172 * 60</f>
        <v>5.5678936745533558E-6</v>
      </c>
      <c r="E30" s="2" t="s">
        <v>79</v>
      </c>
      <c r="F30" s="2" t="s">
        <v>80</v>
      </c>
    </row>
    <row r="31" spans="1:13" ht="12.3">
      <c r="A31" s="2" t="s">
        <v>81</v>
      </c>
      <c r="B31" s="18">
        <f t="shared" si="1"/>
        <v>4.8545055439860418E-4</v>
      </c>
      <c r="C31" s="2" t="s">
        <v>78</v>
      </c>
      <c r="D31" s="11">
        <f t="shared" si="2"/>
        <v>7.6945466313952841E-6</v>
      </c>
      <c r="E31" s="2" t="s">
        <v>79</v>
      </c>
      <c r="F31" s="19" t="s">
        <v>82</v>
      </c>
    </row>
    <row r="32" spans="1:13" ht="12.3">
      <c r="A32" s="2" t="s">
        <v>83</v>
      </c>
      <c r="B32" s="18">
        <f>B27/((B14)*SQRT(2*D5*D3))</f>
        <v>1.0889242084911067E-5</v>
      </c>
      <c r="C32" s="2" t="s">
        <v>84</v>
      </c>
      <c r="D32" s="11">
        <f t="shared" ref="D32:D34" si="3">B32*1000000</f>
        <v>10.889242084911068</v>
      </c>
      <c r="E32" s="2" t="s">
        <v>85</v>
      </c>
      <c r="F32" s="2" t="s">
        <v>86</v>
      </c>
    </row>
    <row r="33" spans="1:13" ht="16.5">
      <c r="A33" s="2" t="s">
        <v>87</v>
      </c>
      <c r="B33" s="18">
        <f>B28/((B13)*SQRT(2*D6*D4))</f>
        <v>2.706102516679439E-5</v>
      </c>
      <c r="C33" s="2" t="s">
        <v>84</v>
      </c>
      <c r="D33" s="11">
        <f t="shared" si="3"/>
        <v>27.061025166794391</v>
      </c>
      <c r="E33" s="2" t="s">
        <v>85</v>
      </c>
      <c r="F33" s="2" t="s">
        <v>88</v>
      </c>
      <c r="J33" s="20"/>
      <c r="M33" s="2"/>
    </row>
    <row r="34" spans="1:13" ht="12.3">
      <c r="A34" s="2" t="s">
        <v>89</v>
      </c>
      <c r="B34" s="21">
        <f>B29/((B15)*SQRT(2*D5*D3))</f>
        <v>2.5916146694915714E-6</v>
      </c>
      <c r="C34" s="2" t="s">
        <v>84</v>
      </c>
      <c r="D34" s="11">
        <f t="shared" si="3"/>
        <v>2.5916146694915714</v>
      </c>
      <c r="E34" s="2" t="s">
        <v>85</v>
      </c>
      <c r="F34" s="2"/>
      <c r="J34" s="2"/>
    </row>
    <row r="35" spans="1:13" ht="12.3">
      <c r="A35" s="2" t="s">
        <v>90</v>
      </c>
      <c r="B35" s="22">
        <f>B32*B14</f>
        <v>8.9074000254572521E-6</v>
      </c>
      <c r="C35" s="2"/>
      <c r="D35" s="11"/>
      <c r="E35" s="2"/>
      <c r="F35" s="2"/>
      <c r="J35" s="2"/>
    </row>
    <row r="36" spans="1:13" ht="12.3">
      <c r="A36" s="2" t="s">
        <v>91</v>
      </c>
      <c r="B36" s="8">
        <f>B33*B13</f>
        <v>1.3314024382062839E-5</v>
      </c>
      <c r="C36" s="2"/>
      <c r="D36" s="11"/>
      <c r="E36" s="2"/>
      <c r="F36" s="2"/>
      <c r="J36" s="2"/>
    </row>
    <row r="37" spans="1:13" ht="12.3">
      <c r="A37" s="23" t="s">
        <v>92</v>
      </c>
      <c r="B37" s="24"/>
      <c r="C37" s="25"/>
      <c r="D37" s="26"/>
      <c r="E37" s="25"/>
      <c r="F37" s="25"/>
      <c r="G37" s="25"/>
      <c r="J37" s="2"/>
    </row>
    <row r="38" spans="1:13" ht="12.3">
      <c r="A38" s="1" t="s">
        <v>93</v>
      </c>
      <c r="B38" s="5">
        <f>2*SQRT(D32/(B17*PI()))</f>
        <v>1.3164637117436595</v>
      </c>
      <c r="C38" s="2" t="s">
        <v>66</v>
      </c>
      <c r="D38" s="5">
        <f>B38/I6</f>
        <v>5.1829279989907856E-2</v>
      </c>
      <c r="E38" s="2" t="s">
        <v>65</v>
      </c>
      <c r="F38" s="2" t="s">
        <v>94</v>
      </c>
    </row>
    <row r="39" spans="1:13" ht="12.3">
      <c r="A39" s="2" t="s">
        <v>95</v>
      </c>
      <c r="B39" s="27">
        <f>2*SQRT(D34/(B19*PI()))</f>
        <v>0.74159133871160443</v>
      </c>
      <c r="C39" s="2" t="s">
        <v>66</v>
      </c>
      <c r="D39" s="5">
        <f>B39/I6</f>
        <v>2.9196509398094664E-2</v>
      </c>
      <c r="E39" s="2" t="s">
        <v>65</v>
      </c>
      <c r="F39" s="2" t="s">
        <v>96</v>
      </c>
      <c r="L39" s="2"/>
    </row>
    <row r="40" spans="1:13" ht="12.3">
      <c r="A40" s="1" t="s">
        <v>97</v>
      </c>
      <c r="B40" s="5">
        <f>2*SQRT(D33/(B18*PI()))</f>
        <v>2.0753062232907964</v>
      </c>
      <c r="C40" s="2" t="s">
        <v>66</v>
      </c>
      <c r="D40" s="5">
        <f>B40/I6</f>
        <v>8.17049694208975E-2</v>
      </c>
      <c r="E40" s="2" t="s">
        <v>65</v>
      </c>
      <c r="F40" s="2" t="s">
        <v>98</v>
      </c>
      <c r="L40" s="2"/>
    </row>
    <row r="41" spans="1:13" ht="12.3">
      <c r="A41" s="2" t="s">
        <v>99</v>
      </c>
      <c r="B41" s="28">
        <f>B28/(B27+B29)</f>
        <v>1.7250000000000003</v>
      </c>
      <c r="C41" s="2"/>
      <c r="F41" s="2" t="s">
        <v>100</v>
      </c>
    </row>
    <row r="42" spans="1:13" ht="12.3">
      <c r="A42" s="2" t="s">
        <v>101</v>
      </c>
      <c r="B42" s="29">
        <f t="shared" ref="B42:B43" si="4">(B27)/((B32)*(D5))</f>
        <v>32.25932276510401</v>
      </c>
      <c r="C42" s="2" t="s">
        <v>102</v>
      </c>
      <c r="F42" s="2" t="s">
        <v>103</v>
      </c>
    </row>
    <row r="43" spans="1:13" ht="12.3">
      <c r="A43" s="2" t="s">
        <v>104</v>
      </c>
      <c r="B43" s="29">
        <f t="shared" si="4"/>
        <v>17.939104354194352</v>
      </c>
      <c r="C43" s="2" t="s">
        <v>102</v>
      </c>
      <c r="F43" s="2" t="s">
        <v>105</v>
      </c>
      <c r="J43" s="2"/>
    </row>
    <row r="44" spans="1:13" ht="12.3">
      <c r="A44" s="2" t="s">
        <v>106</v>
      </c>
      <c r="B44" s="29">
        <f>B29/((B34)*(D5))</f>
        <v>19.718412448107586</v>
      </c>
      <c r="C44" s="2" t="s">
        <v>102</v>
      </c>
      <c r="F44" s="2" t="s">
        <v>107</v>
      </c>
    </row>
    <row r="45" spans="1:13" ht="12.3">
      <c r="A45" s="2" t="s">
        <v>108</v>
      </c>
      <c r="B45" s="29">
        <f>8*B38</f>
        <v>10.531709693949276</v>
      </c>
      <c r="C45" s="2" t="s">
        <v>66</v>
      </c>
    </row>
    <row r="46" spans="1:13" ht="12.3">
      <c r="A46" s="2" t="s">
        <v>109</v>
      </c>
      <c r="B46" s="29">
        <f>7*B40</f>
        <v>14.527143563035574</v>
      </c>
      <c r="C46" s="2" t="s">
        <v>66</v>
      </c>
    </row>
    <row r="47" spans="1:13" ht="12.3">
      <c r="A47" s="2" t="s">
        <v>110</v>
      </c>
      <c r="B47" s="30">
        <f>E47/D39</f>
        <v>10.275200912187731</v>
      </c>
      <c r="C47" s="2" t="s">
        <v>111</v>
      </c>
      <c r="D47" s="2" t="s">
        <v>112</v>
      </c>
      <c r="E47" s="2">
        <v>0.3</v>
      </c>
      <c r="F47" s="2" t="s">
        <v>22</v>
      </c>
    </row>
    <row r="48" spans="1:13" ht="12.3">
      <c r="A48" s="1" t="s">
        <v>113</v>
      </c>
      <c r="F48" s="2" t="s">
        <v>114</v>
      </c>
    </row>
    <row r="49" spans="1:7" ht="12.3">
      <c r="A49" s="2" t="s">
        <v>115</v>
      </c>
      <c r="B49" s="2">
        <v>27</v>
      </c>
      <c r="C49" s="2" t="s">
        <v>116</v>
      </c>
      <c r="D49">
        <f t="shared" ref="D49:D50" si="5">B49*PI()/180</f>
        <v>0.47123889803846897</v>
      </c>
      <c r="E49" s="2" t="s">
        <v>117</v>
      </c>
    </row>
    <row r="50" spans="1:7" ht="12.3">
      <c r="A50" s="2" t="s">
        <v>118</v>
      </c>
      <c r="B50" s="2">
        <v>38</v>
      </c>
      <c r="C50" s="2" t="s">
        <v>119</v>
      </c>
      <c r="D50">
        <f t="shared" si="5"/>
        <v>0.66322511575784515</v>
      </c>
      <c r="E50" s="2" t="s">
        <v>117</v>
      </c>
    </row>
    <row r="52" spans="1:7" ht="12.3">
      <c r="A52" s="2" t="s">
        <v>120</v>
      </c>
      <c r="B52">
        <f>ATAN((B28*B43*SIN(D49)-((1-B20)*B27)*B42*SIN(D50))/((B28*B43*COS(D49)+((1-B20)*B27*B42*COS(D50)))))</f>
        <v>-2.3167006583099926E-2</v>
      </c>
      <c r="C52" s="2" t="s">
        <v>117</v>
      </c>
      <c r="D52">
        <f>B52*180/PI()</f>
        <v>-1.3273717011634203</v>
      </c>
      <c r="E52" s="2" t="s">
        <v>119</v>
      </c>
      <c r="F52" s="2" t="s">
        <v>121</v>
      </c>
    </row>
    <row r="53" spans="1:7" ht="12.3">
      <c r="A53" s="2"/>
      <c r="B53" s="30"/>
      <c r="C53" s="2"/>
    </row>
    <row r="54" spans="1:7" ht="12.3">
      <c r="A54" s="2"/>
      <c r="B54" s="30"/>
      <c r="C54" s="2"/>
    </row>
    <row r="55" spans="1:7" ht="12.3">
      <c r="A55" s="25" t="s">
        <v>122</v>
      </c>
      <c r="B55" s="31"/>
      <c r="C55" s="25"/>
      <c r="D55" s="25"/>
      <c r="E55" s="25"/>
      <c r="F55" s="25"/>
      <c r="G55" s="25"/>
    </row>
    <row r="56" spans="1:7" ht="12.3">
      <c r="A56" s="2" t="s">
        <v>123</v>
      </c>
      <c r="B56" s="30">
        <f>D6*(B40*0.001)*B43/(D8)</f>
        <v>307814.80382856698</v>
      </c>
      <c r="C56" s="2" t="s">
        <v>47</v>
      </c>
    </row>
    <row r="57" spans="1:7" ht="12.3">
      <c r="A57" s="2" t="s">
        <v>124</v>
      </c>
      <c r="B57" s="30">
        <f>B42*(B38*0.001)*D5/(B7*0.001)</f>
        <v>26068.958286905439</v>
      </c>
      <c r="C57" s="2" t="s">
        <v>47</v>
      </c>
    </row>
    <row r="58" spans="1:7" ht="12.3">
      <c r="A58" s="2" t="s">
        <v>125</v>
      </c>
      <c r="B58" s="30">
        <f>0.023*(B56^0.8)*(B10^0.33)</f>
        <v>710.7213089324689</v>
      </c>
      <c r="C58" s="2" t="s">
        <v>126</v>
      </c>
    </row>
    <row r="59" spans="1:7" ht="12.3">
      <c r="A59" s="2" t="s">
        <v>127</v>
      </c>
      <c r="B59" s="32">
        <f>0.023*(B57^0.8)*(B9^0.33)</f>
        <v>203.64169556978408</v>
      </c>
      <c r="C59" s="2" t="s">
        <v>126</v>
      </c>
      <c r="F59" s="2"/>
    </row>
    <row r="60" spans="1:7" ht="12.3">
      <c r="A60" s="1" t="s">
        <v>128</v>
      </c>
      <c r="B60" s="33">
        <f>B58*((B40/2*0.001)^2*PI())*(293-96)</f>
        <v>0.4736088629796153</v>
      </c>
      <c r="C60" s="2" t="s">
        <v>129</v>
      </c>
      <c r="F60" s="2"/>
    </row>
    <row r="61" spans="1:7" ht="12.3">
      <c r="A61" s="2" t="s">
        <v>130</v>
      </c>
      <c r="B61" s="34">
        <f>D61/39.37</f>
        <v>1.0922021844043688E-2</v>
      </c>
      <c r="C61" s="2" t="s">
        <v>131</v>
      </c>
      <c r="D61" s="2">
        <v>0.43</v>
      </c>
      <c r="E61" s="2" t="s">
        <v>22</v>
      </c>
      <c r="F61" s="2"/>
    </row>
    <row r="62" spans="1:7" ht="12.3">
      <c r="A62" s="2" t="s">
        <v>132</v>
      </c>
      <c r="B62" s="35">
        <f>(B28)/(((B61/2)^2*PI())*(D6))</f>
        <v>5.1814228791809063</v>
      </c>
      <c r="C62" s="2" t="s">
        <v>133</v>
      </c>
      <c r="F62" s="2"/>
    </row>
    <row r="63" spans="1:7" ht="12.3">
      <c r="A63" s="2" t="s">
        <v>134</v>
      </c>
      <c r="B63" s="30">
        <f>D6*(B61)*B62/(D8)</f>
        <v>467906.02482073242</v>
      </c>
      <c r="C63" s="2" t="s">
        <v>47</v>
      </c>
      <c r="F63" s="2"/>
    </row>
    <row r="64" spans="1:7" ht="12.3">
      <c r="A64" s="2" t="s">
        <v>135</v>
      </c>
      <c r="B64" s="32">
        <f>0.023*(B63^0.8)*(B10^0.33)</f>
        <v>993.56124817937052</v>
      </c>
      <c r="C64" s="2"/>
      <c r="F64" s="2"/>
    </row>
    <row r="65" spans="1:7" ht="12.3">
      <c r="A65" s="1" t="s">
        <v>136</v>
      </c>
      <c r="B65" s="36">
        <f>B64*((B61/2)^2*PI())*(293-96)</f>
        <v>18.338205429446958</v>
      </c>
      <c r="C65" s="2"/>
      <c r="F65" s="2"/>
    </row>
    <row r="66" spans="1:7" ht="12.3">
      <c r="A66" s="2" t="s">
        <v>137</v>
      </c>
      <c r="B66" s="34">
        <f>B65+B60</f>
        <v>18.811814292426572</v>
      </c>
      <c r="C66" s="2"/>
      <c r="F66" s="2"/>
    </row>
    <row r="67" spans="1:7" ht="12.3">
      <c r="A67" s="1" t="s">
        <v>138</v>
      </c>
      <c r="B67" s="34">
        <f>B66/(1700*B28)</f>
        <v>1.9977958912429629E-2</v>
      </c>
      <c r="C67" s="2" t="s">
        <v>139</v>
      </c>
      <c r="F67" s="2"/>
    </row>
    <row r="68" spans="1:7" ht="12.3">
      <c r="A68" s="1"/>
      <c r="B68" s="30"/>
      <c r="C68" s="2"/>
      <c r="F68" s="2"/>
    </row>
    <row r="69" spans="1:7" ht="12.3">
      <c r="A69" s="37" t="s">
        <v>140</v>
      </c>
      <c r="B69" s="38"/>
      <c r="C69" s="39"/>
      <c r="D69" s="39"/>
      <c r="E69" s="39"/>
      <c r="F69" s="39"/>
      <c r="G69" s="39"/>
    </row>
    <row r="70" spans="1:7" ht="12.3">
      <c r="A70" s="1" t="s">
        <v>141</v>
      </c>
      <c r="B70" s="6">
        <f>0.2 / ((B38/1000)/B42)</f>
        <v>4900.9057336455489</v>
      </c>
      <c r="C70" s="2" t="s">
        <v>142</v>
      </c>
      <c r="F70" s="2" t="s">
        <v>143</v>
      </c>
    </row>
    <row r="71" spans="1:7" ht="12.3">
      <c r="A71" s="153" t="s">
        <v>144</v>
      </c>
      <c r="B71" s="152"/>
    </row>
    <row r="72" spans="1:7" ht="12.3">
      <c r="A72" s="9" t="s">
        <v>145</v>
      </c>
      <c r="B72" s="9"/>
    </row>
    <row r="73" spans="1:7" ht="12.3">
      <c r="A73" s="9" t="s">
        <v>146</v>
      </c>
      <c r="B73" s="9"/>
    </row>
    <row r="74" spans="1:7" ht="12.3">
      <c r="A74" s="9"/>
      <c r="B74" s="9"/>
    </row>
    <row r="75" spans="1:7" ht="12.3">
      <c r="A75" s="9" t="s">
        <v>147</v>
      </c>
      <c r="B75" s="9"/>
    </row>
    <row r="76" spans="1:7" ht="12.3">
      <c r="A76" s="9" t="s">
        <v>148</v>
      </c>
      <c r="B76" s="9"/>
    </row>
    <row r="77" spans="1:7" ht="12.3">
      <c r="A77" s="9" t="s">
        <v>149</v>
      </c>
      <c r="B77" s="9"/>
    </row>
    <row r="78" spans="1:7" ht="12.3">
      <c r="A78" s="2"/>
    </row>
    <row r="79" spans="1:7" ht="12.3">
      <c r="A79" s="2"/>
    </row>
    <row r="80" spans="1:7" ht="12.3">
      <c r="A80" s="37" t="s">
        <v>150</v>
      </c>
      <c r="B80" s="39"/>
      <c r="C80" s="39"/>
      <c r="D80" s="39"/>
      <c r="E80" s="39"/>
      <c r="F80" s="39"/>
      <c r="G80" s="39"/>
    </row>
    <row r="81" spans="1:6" ht="12.3">
      <c r="A81" s="2" t="s">
        <v>151</v>
      </c>
      <c r="B81">
        <f>SQRT(4*B33/PI()+B22^2)</f>
        <v>0.25006890084007533</v>
      </c>
      <c r="C81" s="2" t="s">
        <v>65</v>
      </c>
      <c r="D81">
        <f>B81*I6</f>
        <v>6.3517500813379133</v>
      </c>
      <c r="E81" s="2" t="s">
        <v>66</v>
      </c>
      <c r="F81" s="2" t="s">
        <v>152</v>
      </c>
    </row>
    <row r="82" spans="1:6" ht="12.3">
      <c r="A82" s="2" t="s">
        <v>153</v>
      </c>
      <c r="B82">
        <f>SQRT(4*B32/PI()+(B81+2*B23)^2)</f>
        <v>0.45008430334441596</v>
      </c>
      <c r="C82" s="2" t="s">
        <v>65</v>
      </c>
      <c r="D82">
        <f>B82*I6</f>
        <v>11.432141304948164</v>
      </c>
      <c r="E82" s="2" t="s">
        <v>66</v>
      </c>
      <c r="F82" s="2" t="s">
        <v>154</v>
      </c>
    </row>
    <row r="83" spans="1:6" ht="12.3">
      <c r="A83" s="2" t="s">
        <v>155</v>
      </c>
      <c r="B83">
        <f>B82+2*B23</f>
        <v>0.65008430334441591</v>
      </c>
      <c r="C83" s="2" t="s">
        <v>65</v>
      </c>
      <c r="D83">
        <f>B83*I6</f>
        <v>16.512141304948162</v>
      </c>
      <c r="E83" s="2" t="s">
        <v>66</v>
      </c>
      <c r="F83" s="2" t="s">
        <v>156</v>
      </c>
    </row>
    <row r="87" spans="1:6" ht="15.75" customHeight="1">
      <c r="A87" s="152"/>
      <c r="B87" s="152"/>
    </row>
  </sheetData>
  <mergeCells count="3">
    <mergeCell ref="A1:G1"/>
    <mergeCell ref="A71:B71"/>
    <mergeCell ref="A87:B87"/>
  </mergeCells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Z34"/>
  <sheetViews>
    <sheetView workbookViewId="0"/>
  </sheetViews>
  <sheetFormatPr defaultColWidth="12.609375" defaultRowHeight="15.75" customHeight="1"/>
  <cols>
    <col min="1" max="1" width="37.109375" customWidth="1"/>
    <col min="2" max="3" width="14.109375" customWidth="1"/>
  </cols>
  <sheetData>
    <row r="1" spans="1:26" ht="12.3">
      <c r="A1" s="2" t="s">
        <v>627</v>
      </c>
    </row>
    <row r="2" spans="1:26" ht="29.25" customHeight="1">
      <c r="A2" s="25" t="s">
        <v>628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3">
      <c r="A3" s="2" t="s">
        <v>629</v>
      </c>
      <c r="B3" s="2">
        <v>255.37200000000001</v>
      </c>
      <c r="C3" s="2" t="s">
        <v>158</v>
      </c>
      <c r="H3" s="10">
        <v>6.8045999999999995E-2</v>
      </c>
      <c r="I3" s="9" t="s">
        <v>611</v>
      </c>
    </row>
    <row r="4" spans="1:26" ht="12.3">
      <c r="A4" s="2" t="s">
        <v>630</v>
      </c>
      <c r="B4" s="2">
        <v>90</v>
      </c>
      <c r="C4" s="2" t="s">
        <v>158</v>
      </c>
      <c r="H4" s="10">
        <v>1.6387100000000002E-2</v>
      </c>
      <c r="I4" s="9" t="s">
        <v>608</v>
      </c>
    </row>
    <row r="5" spans="1:26" ht="12.6">
      <c r="A5" s="2" t="s">
        <v>631</v>
      </c>
      <c r="B5" s="2">
        <v>299.81666666666666</v>
      </c>
      <c r="C5" s="2" t="s">
        <v>158</v>
      </c>
      <c r="G5" s="10" t="s">
        <v>621</v>
      </c>
      <c r="H5" s="147">
        <v>8.2049999999999998E-2</v>
      </c>
      <c r="I5" s="148" t="s">
        <v>622</v>
      </c>
    </row>
    <row r="6" spans="1:26" ht="12.3">
      <c r="A6" s="2" t="s">
        <v>632</v>
      </c>
      <c r="B6" s="11">
        <f>'Hotfire Burn _ SimpleModel'!B5-'Hotfire Burn _ SimpleModel'!B24</f>
        <v>1.0195681208516019</v>
      </c>
      <c r="C6" s="2" t="s">
        <v>337</v>
      </c>
    </row>
    <row r="7" spans="1:26" ht="12.3">
      <c r="A7" s="2" t="s">
        <v>633</v>
      </c>
      <c r="B7" s="14">
        <f>'Hotfire Burn _ SimpleModel'!B4-'Hotfire Burn _ SimpleModel'!B23</f>
        <v>1.1868242763854178</v>
      </c>
      <c r="C7" s="2" t="s">
        <v>337</v>
      </c>
    </row>
    <row r="8" spans="1:26" ht="12.3">
      <c r="A8" s="2" t="s">
        <v>634</v>
      </c>
      <c r="B8" s="2">
        <f>450*H3</f>
        <v>30.620699999999999</v>
      </c>
      <c r="C8" s="2" t="s">
        <v>623</v>
      </c>
      <c r="H8" s="2" t="s">
        <v>634</v>
      </c>
      <c r="I8" s="2">
        <v>450</v>
      </c>
      <c r="J8" s="2" t="s">
        <v>40</v>
      </c>
    </row>
    <row r="9" spans="1:26" ht="12.3">
      <c r="A9" s="2" t="s">
        <v>635</v>
      </c>
      <c r="B9" s="2">
        <f>450*H3</f>
        <v>30.620699999999999</v>
      </c>
      <c r="C9" s="2" t="s">
        <v>623</v>
      </c>
      <c r="H9" s="2" t="s">
        <v>635</v>
      </c>
      <c r="I9" s="2">
        <v>450</v>
      </c>
      <c r="J9" s="2" t="s">
        <v>40</v>
      </c>
    </row>
    <row r="10" spans="1:26" ht="12.3">
      <c r="A10" s="2" t="s">
        <v>636</v>
      </c>
      <c r="B10" s="2">
        <f>90*H4</f>
        <v>1.4748390000000002</v>
      </c>
      <c r="C10" s="2" t="s">
        <v>337</v>
      </c>
    </row>
    <row r="11" spans="1:26" ht="12.3">
      <c r="A11" s="2" t="s">
        <v>637</v>
      </c>
      <c r="B11" s="2">
        <f>3500*H3</f>
        <v>238.16099999999997</v>
      </c>
      <c r="C11" s="2" t="s">
        <v>623</v>
      </c>
    </row>
    <row r="12" spans="1:26" ht="12.3">
      <c r="A12" s="2" t="s">
        <v>638</v>
      </c>
      <c r="C12" s="2" t="s">
        <v>613</v>
      </c>
    </row>
    <row r="14" spans="1:26" ht="12.3">
      <c r="A14" s="2"/>
    </row>
    <row r="15" spans="1:26" ht="29.25" customHeight="1">
      <c r="A15" s="25" t="s">
        <v>284</v>
      </c>
    </row>
    <row r="16" spans="1:26" ht="12.3">
      <c r="B16" s="2" t="s">
        <v>639</v>
      </c>
      <c r="C16" s="2" t="s">
        <v>640</v>
      </c>
    </row>
    <row r="17" spans="1:10" ht="12.3">
      <c r="A17" s="2" t="s">
        <v>641</v>
      </c>
      <c r="B17" s="2">
        <f>B8*B6/H5/B3</f>
        <v>1.489976776141434</v>
      </c>
      <c r="C17">
        <f>B8*B6/H5/B4</f>
        <v>4.2277594364087809</v>
      </c>
      <c r="D17" s="2" t="s">
        <v>613</v>
      </c>
      <c r="H17" s="2" t="s">
        <v>642</v>
      </c>
      <c r="I17">
        <f>4.002602</f>
        <v>4.0026020000000004</v>
      </c>
      <c r="J17" s="2" t="s">
        <v>643</v>
      </c>
    </row>
    <row r="18" spans="1:10" ht="12.3">
      <c r="A18" s="2" t="s">
        <v>644</v>
      </c>
      <c r="B18">
        <f>B9*B7/H5/B5</f>
        <v>1.4772948335343654</v>
      </c>
      <c r="C18">
        <f>B18</f>
        <v>1.4772948335343654</v>
      </c>
      <c r="D18" s="2" t="s">
        <v>613</v>
      </c>
    </row>
    <row r="19" spans="1:10" ht="12.3">
      <c r="A19" s="2" t="s">
        <v>645</v>
      </c>
      <c r="B19">
        <f t="shared" ref="B19:C19" si="0">B17+B18</f>
        <v>2.9672716096757994</v>
      </c>
      <c r="C19">
        <f t="shared" si="0"/>
        <v>5.7050542699431466</v>
      </c>
      <c r="D19" s="2" t="s">
        <v>613</v>
      </c>
    </row>
    <row r="20" spans="1:10" ht="12.3">
      <c r="A20" s="2" t="s">
        <v>646</v>
      </c>
      <c r="B20">
        <f t="shared" ref="B20:C20" si="1">B19*4</f>
        <v>11.869086438703198</v>
      </c>
      <c r="C20">
        <f t="shared" si="1"/>
        <v>22.820217079772586</v>
      </c>
      <c r="D20" s="2" t="s">
        <v>613</v>
      </c>
    </row>
    <row r="21" spans="1:10" ht="12.3">
      <c r="A21" s="149" t="s">
        <v>647</v>
      </c>
      <c r="B21" s="149">
        <f>B19*I17</f>
        <v>11.876807279431576</v>
      </c>
      <c r="C21" s="149">
        <f>C19*I17</f>
        <v>22.835061630982981</v>
      </c>
      <c r="D21" s="2" t="s">
        <v>339</v>
      </c>
    </row>
    <row r="23" spans="1:10" ht="12.3">
      <c r="A23" s="2" t="s">
        <v>648</v>
      </c>
      <c r="B23">
        <f>B10*B11/H5/B5</f>
        <v>14.278444630605561</v>
      </c>
      <c r="D23" s="2" t="s">
        <v>613</v>
      </c>
    </row>
    <row r="24" spans="1:10" ht="15" customHeight="1">
      <c r="A24" s="2" t="s">
        <v>649</v>
      </c>
      <c r="B24">
        <f>(B11-B8)*B10/H5/B5</f>
        <v>12.442644606670562</v>
      </c>
      <c r="D24" s="2" t="s">
        <v>613</v>
      </c>
    </row>
    <row r="25" spans="1:10" ht="15" customHeight="1">
      <c r="A25" s="2" t="s">
        <v>650</v>
      </c>
      <c r="B25">
        <f>B24*2</f>
        <v>24.885289213341125</v>
      </c>
      <c r="D25" s="2" t="s">
        <v>613</v>
      </c>
    </row>
    <row r="27" spans="1:10" ht="31.5" customHeight="1">
      <c r="A27" s="25" t="s">
        <v>651</v>
      </c>
    </row>
    <row r="28" spans="1:10" ht="12.3">
      <c r="B28" s="2" t="s">
        <v>639</v>
      </c>
      <c r="C28" s="2" t="s">
        <v>640</v>
      </c>
    </row>
    <row r="29" spans="1:10" ht="12.3">
      <c r="A29" s="2" t="s">
        <v>652</v>
      </c>
      <c r="B29">
        <f>B20/B24</f>
        <v>0.95390383748002594</v>
      </c>
      <c r="C29">
        <f>C20/B24</f>
        <v>1.8340326997315792</v>
      </c>
      <c r="D29" s="2" t="s">
        <v>653</v>
      </c>
    </row>
    <row r="32" spans="1:10" ht="12.3">
      <c r="A32" s="2" t="s">
        <v>654</v>
      </c>
    </row>
    <row r="33" spans="1:1" ht="12.3">
      <c r="A33" s="2" t="s">
        <v>655</v>
      </c>
    </row>
    <row r="34" spans="1:1" ht="12.3">
      <c r="A34" s="2" t="s">
        <v>656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Z34"/>
  <sheetViews>
    <sheetView workbookViewId="0"/>
  </sheetViews>
  <sheetFormatPr defaultColWidth="12.609375" defaultRowHeight="15.75" customHeight="1"/>
  <cols>
    <col min="1" max="1" width="37.109375" customWidth="1"/>
    <col min="2" max="3" width="14.109375" customWidth="1"/>
  </cols>
  <sheetData>
    <row r="1" spans="1:26" ht="12.3">
      <c r="A1" s="2" t="s">
        <v>657</v>
      </c>
    </row>
    <row r="2" spans="1:26" ht="29.25" customHeight="1">
      <c r="A2" s="25" t="s">
        <v>628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.3">
      <c r="A3" s="2" t="s">
        <v>629</v>
      </c>
      <c r="B3" s="2">
        <v>255.37200000000001</v>
      </c>
      <c r="C3" s="2" t="s">
        <v>158</v>
      </c>
      <c r="H3" s="10">
        <v>6.8045999999999995E-2</v>
      </c>
      <c r="I3" s="9" t="s">
        <v>611</v>
      </c>
    </row>
    <row r="4" spans="1:26" ht="12.3">
      <c r="A4" s="2" t="s">
        <v>630</v>
      </c>
      <c r="B4" s="2">
        <v>90</v>
      </c>
      <c r="C4" s="2" t="s">
        <v>158</v>
      </c>
      <c r="H4" s="10">
        <v>1.6387100000000002E-2</v>
      </c>
      <c r="I4" s="9" t="s">
        <v>608</v>
      </c>
    </row>
    <row r="5" spans="1:26" ht="12.6">
      <c r="A5" s="2" t="s">
        <v>631</v>
      </c>
      <c r="B5" s="2">
        <v>299.81666666666666</v>
      </c>
      <c r="C5" s="2" t="s">
        <v>158</v>
      </c>
      <c r="G5" s="10" t="s">
        <v>621</v>
      </c>
      <c r="H5" s="147">
        <v>8.2049999999999998E-2</v>
      </c>
      <c r="I5" s="148" t="s">
        <v>622</v>
      </c>
    </row>
    <row r="6" spans="1:26" ht="12.3">
      <c r="A6" s="2" t="s">
        <v>632</v>
      </c>
      <c r="B6" s="2">
        <v>6.9265500000000007</v>
      </c>
      <c r="C6" s="2" t="s">
        <v>337</v>
      </c>
    </row>
    <row r="7" spans="1:26" ht="12.3">
      <c r="A7" s="2" t="s">
        <v>633</v>
      </c>
      <c r="B7" s="2">
        <v>7.57</v>
      </c>
      <c r="C7" s="2" t="s">
        <v>337</v>
      </c>
    </row>
    <row r="8" spans="1:26" ht="12.3">
      <c r="A8" s="2" t="s">
        <v>634</v>
      </c>
      <c r="B8" s="2">
        <f>450*H3</f>
        <v>30.620699999999999</v>
      </c>
      <c r="C8" s="2" t="s">
        <v>623</v>
      </c>
      <c r="H8" s="2" t="s">
        <v>634</v>
      </c>
      <c r="I8" s="2">
        <v>450</v>
      </c>
      <c r="J8" s="2" t="s">
        <v>40</v>
      </c>
    </row>
    <row r="9" spans="1:26" ht="12.3">
      <c r="A9" s="2" t="s">
        <v>635</v>
      </c>
      <c r="B9" s="2">
        <f>450*H3</f>
        <v>30.620699999999999</v>
      </c>
      <c r="C9" s="2" t="s">
        <v>623</v>
      </c>
      <c r="H9" s="2" t="s">
        <v>635</v>
      </c>
      <c r="I9" s="2">
        <v>450</v>
      </c>
      <c r="J9" s="2" t="s">
        <v>40</v>
      </c>
    </row>
    <row r="10" spans="1:26" ht="12.3">
      <c r="A10" s="2" t="s">
        <v>636</v>
      </c>
      <c r="B10" s="2">
        <f>90*H4</f>
        <v>1.4748390000000002</v>
      </c>
      <c r="C10" s="2" t="s">
        <v>337</v>
      </c>
    </row>
    <row r="11" spans="1:26" ht="12.3">
      <c r="A11" s="2" t="s">
        <v>637</v>
      </c>
      <c r="B11" s="2">
        <f>3500*H3</f>
        <v>238.16099999999997</v>
      </c>
      <c r="C11" s="2" t="s">
        <v>623</v>
      </c>
    </row>
    <row r="12" spans="1:26" ht="12.3">
      <c r="A12" s="2" t="s">
        <v>638</v>
      </c>
      <c r="C12" s="2" t="s">
        <v>613</v>
      </c>
    </row>
    <row r="14" spans="1:26" ht="12.3">
      <c r="A14" s="2"/>
    </row>
    <row r="15" spans="1:26" ht="29.25" customHeight="1">
      <c r="A15" s="25" t="s">
        <v>284</v>
      </c>
    </row>
    <row r="16" spans="1:26" ht="12.3">
      <c r="B16" s="2" t="s">
        <v>639</v>
      </c>
      <c r="C16" s="2" t="s">
        <v>640</v>
      </c>
    </row>
    <row r="17" spans="1:4" ht="12.3">
      <c r="A17" s="2" t="s">
        <v>641</v>
      </c>
      <c r="B17" s="2">
        <f>B8*B6/H5/B3</f>
        <v>10.122323783684273</v>
      </c>
      <c r="C17">
        <f>B8*B6/H5/B4</f>
        <v>28.721756325411338</v>
      </c>
      <c r="D17" s="2" t="s">
        <v>613</v>
      </c>
    </row>
    <row r="18" spans="1:4" ht="12.3">
      <c r="A18" s="2" t="s">
        <v>644</v>
      </c>
      <c r="B18">
        <f>B9*B7/H5/B5</f>
        <v>9.4227276205660129</v>
      </c>
      <c r="C18">
        <f>B18</f>
        <v>9.4227276205660129</v>
      </c>
      <c r="D18" s="2" t="s">
        <v>613</v>
      </c>
    </row>
    <row r="19" spans="1:4" ht="12.3">
      <c r="A19" s="2" t="s">
        <v>645</v>
      </c>
      <c r="B19">
        <f t="shared" ref="B19:C19" si="0">B17+B18</f>
        <v>19.545051404250287</v>
      </c>
      <c r="C19">
        <f t="shared" si="0"/>
        <v>38.144483945977349</v>
      </c>
      <c r="D19" s="2" t="s">
        <v>613</v>
      </c>
    </row>
    <row r="20" spans="1:4" ht="12.3">
      <c r="A20" s="2" t="s">
        <v>646</v>
      </c>
      <c r="B20">
        <f t="shared" ref="B20:C20" si="1">B19*4</f>
        <v>78.18020561700115</v>
      </c>
      <c r="C20">
        <f t="shared" si="1"/>
        <v>152.5779357839094</v>
      </c>
      <c r="D20" s="2" t="s">
        <v>613</v>
      </c>
    </row>
    <row r="23" spans="1:4" ht="12.3">
      <c r="A23" s="2" t="s">
        <v>648</v>
      </c>
      <c r="B23">
        <f>B10*B11/H5/B5</f>
        <v>14.278444630605561</v>
      </c>
      <c r="D23" s="2" t="s">
        <v>613</v>
      </c>
    </row>
    <row r="24" spans="1:4" ht="15" customHeight="1">
      <c r="A24" s="2" t="s">
        <v>649</v>
      </c>
      <c r="B24">
        <f>(B11-B8)*B10/H5/B5</f>
        <v>12.442644606670562</v>
      </c>
      <c r="D24" s="2" t="s">
        <v>613</v>
      </c>
    </row>
    <row r="25" spans="1:4" ht="15" customHeight="1">
      <c r="A25" s="2" t="s">
        <v>650</v>
      </c>
      <c r="B25">
        <f>B24*2</f>
        <v>24.885289213341125</v>
      </c>
      <c r="D25" s="2" t="s">
        <v>613</v>
      </c>
    </row>
    <row r="27" spans="1:4" ht="31.5" customHeight="1">
      <c r="A27" s="25" t="s">
        <v>651</v>
      </c>
    </row>
    <row r="28" spans="1:4" ht="12.3">
      <c r="B28" s="2" t="s">
        <v>639</v>
      </c>
      <c r="C28" s="2" t="s">
        <v>640</v>
      </c>
    </row>
    <row r="29" spans="1:4" ht="12.3">
      <c r="A29" s="2" t="s">
        <v>652</v>
      </c>
      <c r="B29">
        <f>B20/B24</f>
        <v>6.2832466962118616</v>
      </c>
      <c r="C29">
        <f>C20/B24</f>
        <v>12.262500505890172</v>
      </c>
      <c r="D29" s="2" t="s">
        <v>653</v>
      </c>
    </row>
    <row r="32" spans="1:4" ht="12.3">
      <c r="A32" s="2" t="s">
        <v>654</v>
      </c>
    </row>
    <row r="33" spans="1:1" ht="12.3">
      <c r="A33" s="2" t="s">
        <v>655</v>
      </c>
    </row>
    <row r="34" spans="1:1" ht="12.3">
      <c r="A34" s="2" t="s">
        <v>656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  <pageSetUpPr fitToPage="1"/>
  </sheetPr>
  <dimension ref="A1:Y386"/>
  <sheetViews>
    <sheetView workbookViewId="0"/>
  </sheetViews>
  <sheetFormatPr defaultColWidth="12.609375" defaultRowHeight="15.75" customHeight="1"/>
  <cols>
    <col min="2" max="2" width="17.71875" customWidth="1"/>
    <col min="3" max="3" width="18.109375" customWidth="1"/>
    <col min="4" max="4" width="16.109375" customWidth="1"/>
  </cols>
  <sheetData>
    <row r="1" spans="1:25" ht="15.75" customHeight="1">
      <c r="A1" s="2" t="s">
        <v>523</v>
      </c>
      <c r="B1" s="2" t="s">
        <v>658</v>
      </c>
      <c r="C1" s="2" t="s">
        <v>659</v>
      </c>
      <c r="D1" s="2" t="s">
        <v>660</v>
      </c>
      <c r="E1" s="2" t="s">
        <v>661</v>
      </c>
      <c r="F1" s="2" t="s">
        <v>662</v>
      </c>
      <c r="G1" s="2" t="s">
        <v>663</v>
      </c>
      <c r="H1" s="2" t="s">
        <v>664</v>
      </c>
      <c r="I1" s="2" t="s">
        <v>665</v>
      </c>
      <c r="J1" s="2" t="s">
        <v>666</v>
      </c>
      <c r="K1" s="2" t="s">
        <v>667</v>
      </c>
      <c r="L1" s="2" t="s">
        <v>668</v>
      </c>
      <c r="M1" s="2" t="s">
        <v>669</v>
      </c>
      <c r="N1" s="2" t="s">
        <v>670</v>
      </c>
      <c r="O1" s="2" t="s">
        <v>671</v>
      </c>
      <c r="P1" s="2" t="s">
        <v>672</v>
      </c>
      <c r="Q1" s="2" t="s">
        <v>673</v>
      </c>
      <c r="R1" s="2" t="s">
        <v>674</v>
      </c>
      <c r="S1" s="2" t="s">
        <v>675</v>
      </c>
      <c r="T1" s="2" t="s">
        <v>676</v>
      </c>
      <c r="U1" s="2" t="s">
        <v>677</v>
      </c>
      <c r="V1" s="2" t="s">
        <v>678</v>
      </c>
      <c r="W1" s="2" t="s">
        <v>679</v>
      </c>
      <c r="X1" s="2" t="s">
        <v>680</v>
      </c>
      <c r="Y1" s="2" t="s">
        <v>681</v>
      </c>
    </row>
    <row r="2" spans="1:25" ht="15.75" customHeight="1">
      <c r="A2" s="11">
        <v>77.356999999999999</v>
      </c>
      <c r="B2" s="11">
        <v>14.7</v>
      </c>
      <c r="C2" s="11">
        <v>806.07</v>
      </c>
      <c r="D2" s="11">
        <v>1.2405999999999999E-3</v>
      </c>
      <c r="E2" s="11">
        <v>-122.14</v>
      </c>
      <c r="F2" s="11">
        <v>-122.01</v>
      </c>
      <c r="G2" s="11">
        <v>2.8342000000000001</v>
      </c>
      <c r="H2" s="11">
        <v>1.0841000000000001</v>
      </c>
      <c r="I2" s="11">
        <v>2.0415000000000001</v>
      </c>
      <c r="J2" s="11">
        <v>851.37</v>
      </c>
      <c r="K2" s="11">
        <v>-4.2332999999999997E-3</v>
      </c>
      <c r="L2" s="11">
        <v>160.65</v>
      </c>
      <c r="M2" s="11">
        <v>0.14484</v>
      </c>
      <c r="N2" s="2">
        <v>8.8790999999999991E-3</v>
      </c>
      <c r="O2" s="2">
        <v>4.6132999999999997</v>
      </c>
      <c r="P2" s="2">
        <v>0.21676000000000001</v>
      </c>
      <c r="Q2" s="2">
        <v>55.19</v>
      </c>
      <c r="R2" s="2">
        <v>77.16</v>
      </c>
      <c r="S2" s="2">
        <v>5.4089999999999998</v>
      </c>
      <c r="T2" s="2">
        <v>0.77127999999999997</v>
      </c>
      <c r="U2" s="2">
        <v>1.1238999999999999</v>
      </c>
      <c r="V2" s="2">
        <v>174.83</v>
      </c>
      <c r="W2" s="2">
        <v>0.33626</v>
      </c>
      <c r="X2" s="2">
        <v>5.4442000000000004</v>
      </c>
      <c r="Y2" s="2">
        <v>7.1878000000000003E-3</v>
      </c>
    </row>
    <row r="3" spans="1:25" ht="15.75" customHeight="1">
      <c r="A3" s="11">
        <v>79.930000000000007</v>
      </c>
      <c r="B3" s="11">
        <v>19.7</v>
      </c>
      <c r="C3" s="11">
        <v>794.26</v>
      </c>
      <c r="D3" s="11">
        <v>1.2589999999999999E-3</v>
      </c>
      <c r="E3" s="11">
        <v>-116.89</v>
      </c>
      <c r="F3" s="11">
        <v>-116.72</v>
      </c>
      <c r="G3" s="11">
        <v>2.9009999999999998</v>
      </c>
      <c r="H3" s="11">
        <v>1.0694999999999999</v>
      </c>
      <c r="I3" s="11">
        <v>2.0550999999999999</v>
      </c>
      <c r="J3" s="11">
        <v>825.08</v>
      </c>
      <c r="K3" s="11">
        <v>-4.0175999999999996E-3</v>
      </c>
      <c r="L3" s="11">
        <v>145.49</v>
      </c>
      <c r="M3" s="11">
        <v>0.13972999999999999</v>
      </c>
      <c r="N3" s="2">
        <v>8.3000000000000001E-3</v>
      </c>
      <c r="O3" s="2">
        <v>6.0462999999999996</v>
      </c>
      <c r="P3" s="2">
        <v>0.16539000000000001</v>
      </c>
      <c r="Q3" s="2">
        <v>56.585000000000001</v>
      </c>
      <c r="R3" s="2">
        <v>79.05</v>
      </c>
      <c r="S3" s="2">
        <v>5.3502999999999998</v>
      </c>
      <c r="T3" s="2">
        <v>0.77715999999999996</v>
      </c>
      <c r="U3" s="2">
        <v>1.1443000000000001</v>
      </c>
      <c r="V3" s="2">
        <v>176.67</v>
      </c>
      <c r="W3" s="2">
        <v>0.31684000000000001</v>
      </c>
      <c r="X3" s="2">
        <v>5.6462000000000003</v>
      </c>
      <c r="Y3" s="2">
        <v>7.4970999999999996E-3</v>
      </c>
    </row>
    <row r="4" spans="1:25" ht="15.75" customHeight="1">
      <c r="A4" s="11">
        <v>82.046999999999997</v>
      </c>
      <c r="B4" s="11">
        <v>24.7</v>
      </c>
      <c r="C4" s="11">
        <v>784.33</v>
      </c>
      <c r="D4" s="11">
        <v>1.2750000000000001E-3</v>
      </c>
      <c r="E4" s="11">
        <v>-112.55</v>
      </c>
      <c r="F4" s="11">
        <v>-112.33</v>
      </c>
      <c r="G4" s="11">
        <v>2.9546000000000001</v>
      </c>
      <c r="H4" s="11">
        <v>1.0580000000000001</v>
      </c>
      <c r="I4" s="11">
        <v>2.0684</v>
      </c>
      <c r="J4" s="11">
        <v>803.25</v>
      </c>
      <c r="K4" s="11">
        <v>-3.8157999999999998E-3</v>
      </c>
      <c r="L4" s="11">
        <v>134.59</v>
      </c>
      <c r="M4" s="11">
        <v>0.13552</v>
      </c>
      <c r="N4" s="2">
        <v>7.8294999999999997E-3</v>
      </c>
      <c r="O4" s="2">
        <v>7.4576000000000002</v>
      </c>
      <c r="P4" s="2">
        <v>0.13408999999999999</v>
      </c>
      <c r="Q4" s="2">
        <v>57.664999999999999</v>
      </c>
      <c r="R4" s="2">
        <v>80.501000000000005</v>
      </c>
      <c r="S4" s="2">
        <v>5.3048999999999999</v>
      </c>
      <c r="T4" s="2">
        <v>0.78254000000000001</v>
      </c>
      <c r="U4" s="2">
        <v>1.1637999999999999</v>
      </c>
      <c r="V4" s="2">
        <v>178.03</v>
      </c>
      <c r="W4" s="2">
        <v>0.30247000000000002</v>
      </c>
      <c r="X4" s="2">
        <v>5.8152999999999997</v>
      </c>
      <c r="Y4" s="2">
        <v>7.7613999999999999E-3</v>
      </c>
    </row>
    <row r="5" spans="1:25" ht="15.75" customHeight="1">
      <c r="A5" s="11">
        <v>83.863</v>
      </c>
      <c r="B5" s="11">
        <v>29.7</v>
      </c>
      <c r="C5" s="11">
        <v>775.65</v>
      </c>
      <c r="D5" s="11">
        <v>1.2891999999999999E-3</v>
      </c>
      <c r="E5" s="11">
        <v>-108.81</v>
      </c>
      <c r="F5" s="11">
        <v>-108.55</v>
      </c>
      <c r="G5" s="11">
        <v>2.9998</v>
      </c>
      <c r="H5" s="11">
        <v>1.0486</v>
      </c>
      <c r="I5" s="11">
        <v>2.0815000000000001</v>
      </c>
      <c r="J5" s="11">
        <v>784.36</v>
      </c>
      <c r="K5" s="11">
        <v>-3.6229000000000001E-3</v>
      </c>
      <c r="L5" s="11">
        <v>126.18</v>
      </c>
      <c r="M5" s="11">
        <v>0.13192000000000001</v>
      </c>
      <c r="N5" s="2">
        <v>7.4302999999999999E-3</v>
      </c>
      <c r="O5" s="2">
        <v>8.8543000000000003</v>
      </c>
      <c r="P5" s="2">
        <v>0.11294</v>
      </c>
      <c r="Q5" s="2">
        <v>58.536999999999999</v>
      </c>
      <c r="R5" s="2">
        <v>81.664000000000001</v>
      </c>
      <c r="S5" s="2">
        <v>5.2679</v>
      </c>
      <c r="T5" s="2">
        <v>0.78757999999999995</v>
      </c>
      <c r="U5" s="2">
        <v>1.1827000000000001</v>
      </c>
      <c r="V5" s="2">
        <v>179.08</v>
      </c>
      <c r="W5" s="2">
        <v>0.29115000000000002</v>
      </c>
      <c r="X5" s="2">
        <v>5.9627999999999997</v>
      </c>
      <c r="Y5" s="2">
        <v>7.9965000000000001E-3</v>
      </c>
    </row>
    <row r="6" spans="1:25" ht="15.75" customHeight="1">
      <c r="A6" s="11">
        <v>85.462999999999994</v>
      </c>
      <c r="B6" s="11">
        <v>34.700000000000003</v>
      </c>
      <c r="C6" s="11">
        <v>767.87</v>
      </c>
      <c r="D6" s="11">
        <v>1.3022999999999999E-3</v>
      </c>
      <c r="E6" s="11">
        <v>-105.5</v>
      </c>
      <c r="F6" s="11">
        <v>-105.18</v>
      </c>
      <c r="G6" s="11">
        <v>3.0388999999999999</v>
      </c>
      <c r="H6" s="11">
        <v>1.0406</v>
      </c>
      <c r="I6" s="11">
        <v>2.0945999999999998</v>
      </c>
      <c r="J6" s="11">
        <v>767.56</v>
      </c>
      <c r="K6" s="11">
        <v>-3.4358000000000001E-3</v>
      </c>
      <c r="L6" s="11">
        <v>119.4</v>
      </c>
      <c r="M6" s="11">
        <v>0.12875</v>
      </c>
      <c r="N6" s="2">
        <v>7.0819999999999998E-3</v>
      </c>
      <c r="O6" s="2">
        <v>10.241</v>
      </c>
      <c r="P6" s="2">
        <v>9.7645999999999997E-2</v>
      </c>
      <c r="Q6" s="2">
        <v>59.261000000000003</v>
      </c>
      <c r="R6" s="2">
        <v>82.623000000000005</v>
      </c>
      <c r="S6" s="2">
        <v>5.2365000000000004</v>
      </c>
      <c r="T6" s="2">
        <v>0.79235999999999995</v>
      </c>
      <c r="U6" s="2">
        <v>1.2013</v>
      </c>
      <c r="V6" s="2">
        <v>179.91</v>
      </c>
      <c r="W6" s="2">
        <v>0.28184999999999999</v>
      </c>
      <c r="X6" s="2">
        <v>6.0949</v>
      </c>
      <c r="Y6" s="2">
        <v>8.2112000000000001E-3</v>
      </c>
    </row>
    <row r="7" spans="1:25" ht="15.75" customHeight="1">
      <c r="A7" s="11">
        <v>86.9</v>
      </c>
      <c r="B7" s="11">
        <v>39.700000000000003</v>
      </c>
      <c r="C7" s="11">
        <v>760.76</v>
      </c>
      <c r="D7" s="11">
        <v>1.3144999999999999E-3</v>
      </c>
      <c r="E7" s="11">
        <v>-102.51</v>
      </c>
      <c r="F7" s="11">
        <v>-102.15</v>
      </c>
      <c r="G7" s="11">
        <v>3.0737000000000001</v>
      </c>
      <c r="H7" s="11">
        <v>1.0337000000000001</v>
      </c>
      <c r="I7" s="11">
        <v>2.1076000000000001</v>
      </c>
      <c r="J7" s="11">
        <v>752.35</v>
      </c>
      <c r="K7" s="11">
        <v>-3.2525000000000002E-3</v>
      </c>
      <c r="L7" s="11">
        <v>113.76</v>
      </c>
      <c r="M7" s="11">
        <v>0.12592</v>
      </c>
      <c r="N7" s="2">
        <v>6.7720999999999996E-3</v>
      </c>
      <c r="O7" s="2">
        <v>11.621</v>
      </c>
      <c r="P7" s="2">
        <v>8.6050000000000001E-2</v>
      </c>
      <c r="Q7" s="2">
        <v>59.874000000000002</v>
      </c>
      <c r="R7" s="2">
        <v>83.427999999999997</v>
      </c>
      <c r="S7" s="2">
        <v>5.2092000000000001</v>
      </c>
      <c r="T7" s="2">
        <v>0.79693999999999998</v>
      </c>
      <c r="U7" s="2">
        <v>1.2196</v>
      </c>
      <c r="V7" s="2">
        <v>180.58</v>
      </c>
      <c r="W7" s="2">
        <v>0.27400000000000002</v>
      </c>
      <c r="X7" s="2">
        <v>6.2153</v>
      </c>
      <c r="Y7" s="2">
        <v>8.4109000000000007E-3</v>
      </c>
    </row>
    <row r="8" spans="1:25" ht="15.75" customHeight="1">
      <c r="A8" s="11">
        <v>88.207999999999998</v>
      </c>
      <c r="B8" s="11">
        <v>44.7</v>
      </c>
      <c r="C8" s="11">
        <v>754.19</v>
      </c>
      <c r="D8" s="11">
        <v>1.3259000000000001E-3</v>
      </c>
      <c r="E8" s="11">
        <v>-99.77</v>
      </c>
      <c r="F8" s="11">
        <v>-99.361000000000004</v>
      </c>
      <c r="G8" s="11">
        <v>3.105</v>
      </c>
      <c r="H8" s="11">
        <v>1.0276000000000001</v>
      </c>
      <c r="I8" s="11">
        <v>2.1206999999999998</v>
      </c>
      <c r="J8" s="11">
        <v>738.36</v>
      </c>
      <c r="K8" s="11">
        <v>-3.0717000000000001E-3</v>
      </c>
      <c r="L8" s="11">
        <v>108.95</v>
      </c>
      <c r="M8" s="11">
        <v>0.12334000000000001</v>
      </c>
      <c r="N8" s="2">
        <v>6.4922000000000001E-3</v>
      </c>
      <c r="O8" s="2">
        <v>12.997</v>
      </c>
      <c r="P8" s="2">
        <v>7.6939999999999995E-2</v>
      </c>
      <c r="Q8" s="2">
        <v>60.399000000000001</v>
      </c>
      <c r="R8" s="2">
        <v>84.111999999999995</v>
      </c>
      <c r="S8" s="2">
        <v>5.1849999999999996</v>
      </c>
      <c r="T8" s="2">
        <v>0.80137000000000003</v>
      </c>
      <c r="U8" s="2">
        <v>1.2379</v>
      </c>
      <c r="V8" s="2">
        <v>181.13</v>
      </c>
      <c r="W8" s="2">
        <v>0.26721</v>
      </c>
      <c r="X8" s="2">
        <v>6.3266</v>
      </c>
      <c r="Y8" s="2">
        <v>8.5991000000000001E-3</v>
      </c>
    </row>
    <row r="9" spans="1:25" ht="15.75" customHeight="1">
      <c r="A9" s="11">
        <v>89.412999999999997</v>
      </c>
      <c r="B9" s="11">
        <v>49.7</v>
      </c>
      <c r="C9" s="11">
        <v>748.05</v>
      </c>
      <c r="D9" s="11">
        <v>1.3368E-3</v>
      </c>
      <c r="E9" s="11">
        <v>-97.239000000000004</v>
      </c>
      <c r="F9" s="11">
        <v>-96.781000000000006</v>
      </c>
      <c r="G9" s="11">
        <v>3.1335000000000002</v>
      </c>
      <c r="H9" s="11">
        <v>1.0222</v>
      </c>
      <c r="I9" s="11">
        <v>2.1339000000000001</v>
      </c>
      <c r="J9" s="11">
        <v>725.38</v>
      </c>
      <c r="K9" s="11">
        <v>-2.8923999999999998E-3</v>
      </c>
      <c r="L9" s="11">
        <v>104.77</v>
      </c>
      <c r="M9" s="11">
        <v>0.12096</v>
      </c>
      <c r="N9" s="2">
        <v>6.2367000000000004E-3</v>
      </c>
      <c r="O9" s="2">
        <v>14.371</v>
      </c>
      <c r="P9" s="2">
        <v>6.9585999999999995E-2</v>
      </c>
      <c r="Q9" s="2">
        <v>60.853999999999999</v>
      </c>
      <c r="R9" s="2">
        <v>84.698999999999998</v>
      </c>
      <c r="S9" s="2">
        <v>5.1631999999999998</v>
      </c>
      <c r="T9" s="2">
        <v>0.80567</v>
      </c>
      <c r="U9" s="2">
        <v>1.2561</v>
      </c>
      <c r="V9" s="2">
        <v>181.58</v>
      </c>
      <c r="W9" s="2">
        <v>0.26124000000000003</v>
      </c>
      <c r="X9" s="2">
        <v>6.4306000000000001</v>
      </c>
      <c r="Y9" s="2">
        <v>8.7784999999999998E-3</v>
      </c>
    </row>
    <row r="10" spans="1:25" ht="15.75" customHeight="1">
      <c r="A10" s="11">
        <v>90.531999999999996</v>
      </c>
      <c r="B10" s="11">
        <v>54.7</v>
      </c>
      <c r="C10" s="11">
        <v>742.26</v>
      </c>
      <c r="D10" s="11">
        <v>1.3472E-3</v>
      </c>
      <c r="E10" s="11">
        <v>-94.876999999999995</v>
      </c>
      <c r="F10" s="11">
        <v>-94.369</v>
      </c>
      <c r="G10" s="11">
        <v>3.1598000000000002</v>
      </c>
      <c r="H10" s="11">
        <v>1.0173000000000001</v>
      </c>
      <c r="I10" s="11">
        <v>2.1472000000000002</v>
      </c>
      <c r="J10" s="11">
        <v>713.22</v>
      </c>
      <c r="K10" s="11">
        <v>-2.7139999999999998E-3</v>
      </c>
      <c r="L10" s="11">
        <v>101.09</v>
      </c>
      <c r="M10" s="11">
        <v>0.11876</v>
      </c>
      <c r="N10" s="2">
        <v>6.0011999999999999E-3</v>
      </c>
      <c r="O10" s="2">
        <v>15.743</v>
      </c>
      <c r="P10" s="2">
        <v>6.3518000000000005E-2</v>
      </c>
      <c r="Q10" s="2">
        <v>61.25</v>
      </c>
      <c r="R10" s="2">
        <v>85.206000000000003</v>
      </c>
      <c r="S10" s="2">
        <v>5.1433</v>
      </c>
      <c r="T10" s="2">
        <v>0.80986000000000002</v>
      </c>
      <c r="U10" s="2">
        <v>1.2744</v>
      </c>
      <c r="V10" s="2">
        <v>181.96</v>
      </c>
      <c r="W10" s="2">
        <v>0.25591999999999998</v>
      </c>
      <c r="X10" s="2">
        <v>6.5285000000000002</v>
      </c>
      <c r="Y10" s="2">
        <v>8.9508000000000001E-3</v>
      </c>
    </row>
    <row r="11" spans="1:25" ht="15.75" customHeight="1">
      <c r="A11" s="11">
        <v>91.578000000000003</v>
      </c>
      <c r="B11" s="11">
        <v>59.7</v>
      </c>
      <c r="C11" s="11">
        <v>736.78</v>
      </c>
      <c r="D11" s="11">
        <v>1.3573000000000001E-3</v>
      </c>
      <c r="E11" s="11">
        <v>-92.659000000000006</v>
      </c>
      <c r="F11" s="11">
        <v>-92.1</v>
      </c>
      <c r="G11" s="11">
        <v>3.1842000000000001</v>
      </c>
      <c r="H11" s="11">
        <v>1.0128999999999999</v>
      </c>
      <c r="I11" s="11">
        <v>2.1606000000000001</v>
      </c>
      <c r="J11" s="11">
        <v>701.75</v>
      </c>
      <c r="K11" s="11">
        <v>-2.5357999999999999E-3</v>
      </c>
      <c r="L11" s="11">
        <v>97.807000000000002</v>
      </c>
      <c r="M11" s="11">
        <v>0.11669</v>
      </c>
      <c r="N11" s="2">
        <v>5.7825999999999997E-3</v>
      </c>
      <c r="O11" s="2">
        <v>17.117000000000001</v>
      </c>
      <c r="P11" s="2">
        <v>5.8422000000000002E-2</v>
      </c>
      <c r="Q11" s="2">
        <v>61.597000000000001</v>
      </c>
      <c r="R11" s="2">
        <v>85.644999999999996</v>
      </c>
      <c r="S11" s="2">
        <v>5.1250999999999998</v>
      </c>
      <c r="T11" s="2">
        <v>0.81396999999999997</v>
      </c>
      <c r="U11" s="2">
        <v>1.2927</v>
      </c>
      <c r="V11" s="2">
        <v>182.26</v>
      </c>
      <c r="W11" s="2">
        <v>0.25112000000000001</v>
      </c>
      <c r="X11" s="2">
        <v>6.6214000000000004</v>
      </c>
      <c r="Y11" s="2">
        <v>9.1173999999999995E-3</v>
      </c>
    </row>
    <row r="12" spans="1:25" ht="15.75" customHeight="1">
      <c r="A12" s="11">
        <v>92.561999999999998</v>
      </c>
      <c r="B12" s="11">
        <v>64.7</v>
      </c>
      <c r="C12" s="11">
        <v>731.54</v>
      </c>
      <c r="D12" s="11">
        <v>1.3669999999999999E-3</v>
      </c>
      <c r="E12" s="11">
        <v>-90.563000000000002</v>
      </c>
      <c r="F12" s="11">
        <v>-89.953000000000003</v>
      </c>
      <c r="G12" s="11">
        <v>3.2069999999999999</v>
      </c>
      <c r="H12" s="11">
        <v>1.0088999999999999</v>
      </c>
      <c r="I12" s="11">
        <v>2.1743000000000001</v>
      </c>
      <c r="J12" s="11">
        <v>690.87</v>
      </c>
      <c r="K12" s="11">
        <v>-2.3573999999999999E-3</v>
      </c>
      <c r="L12" s="11">
        <v>94.847999999999999</v>
      </c>
      <c r="M12" s="11">
        <v>0.11476</v>
      </c>
      <c r="N12" s="2">
        <v>5.5785000000000001E-3</v>
      </c>
      <c r="O12" s="2">
        <v>18.491</v>
      </c>
      <c r="P12" s="2">
        <v>5.4079000000000002E-2</v>
      </c>
      <c r="Q12" s="2">
        <v>61.902000000000001</v>
      </c>
      <c r="R12" s="2">
        <v>86.025999999999996</v>
      </c>
      <c r="S12" s="2">
        <v>5.1082000000000001</v>
      </c>
      <c r="T12" s="2">
        <v>0.81801000000000001</v>
      </c>
      <c r="U12" s="2">
        <v>1.3111999999999999</v>
      </c>
      <c r="V12" s="2">
        <v>182.52</v>
      </c>
      <c r="W12" s="2">
        <v>0.24676000000000001</v>
      </c>
      <c r="X12" s="2">
        <v>6.7100999999999997</v>
      </c>
      <c r="Y12" s="2">
        <v>9.2794000000000001E-3</v>
      </c>
    </row>
    <row r="13" spans="1:25" ht="15.75" customHeight="1">
      <c r="A13" s="11">
        <v>93.492000000000004</v>
      </c>
      <c r="B13" s="11">
        <v>69.7</v>
      </c>
      <c r="C13" s="11">
        <v>726.53</v>
      </c>
      <c r="D13" s="11">
        <v>1.3764000000000001E-3</v>
      </c>
      <c r="E13" s="11">
        <v>-88.572000000000003</v>
      </c>
      <c r="F13" s="11">
        <v>-87.911000000000001</v>
      </c>
      <c r="G13" s="11">
        <v>3.2284000000000002</v>
      </c>
      <c r="H13" s="11">
        <v>1.0053000000000001</v>
      </c>
      <c r="I13" s="11">
        <v>2.1880999999999999</v>
      </c>
      <c r="J13" s="11">
        <v>680.5</v>
      </c>
      <c r="K13" s="11">
        <v>-2.1784E-3</v>
      </c>
      <c r="L13" s="11">
        <v>92.158000000000001</v>
      </c>
      <c r="M13" s="11">
        <v>0.11292000000000001</v>
      </c>
      <c r="N13" s="2">
        <v>5.3869E-3</v>
      </c>
      <c r="O13" s="2">
        <v>19.869</v>
      </c>
      <c r="P13" s="2">
        <v>5.0331000000000001E-2</v>
      </c>
      <c r="Q13" s="2">
        <v>62.168999999999997</v>
      </c>
      <c r="R13" s="2">
        <v>86.355999999999995</v>
      </c>
      <c r="S13" s="2">
        <v>5.0923999999999996</v>
      </c>
      <c r="T13" s="2">
        <v>0.82198000000000004</v>
      </c>
      <c r="U13" s="2">
        <v>1.3298000000000001</v>
      </c>
      <c r="V13" s="2">
        <v>182.72</v>
      </c>
      <c r="W13" s="2">
        <v>0.24276</v>
      </c>
      <c r="X13" s="2">
        <v>6.7949999999999999</v>
      </c>
      <c r="Y13" s="2">
        <v>9.4376000000000008E-3</v>
      </c>
    </row>
    <row r="14" spans="1:25" ht="15.75" customHeight="1">
      <c r="A14" s="11">
        <v>94.375</v>
      </c>
      <c r="B14" s="11">
        <v>74.7</v>
      </c>
      <c r="C14" s="11">
        <v>721.72</v>
      </c>
      <c r="D14" s="11">
        <v>1.3856000000000001E-3</v>
      </c>
      <c r="E14" s="11">
        <v>-86.674000000000007</v>
      </c>
      <c r="F14" s="11">
        <v>-85.96</v>
      </c>
      <c r="G14" s="11">
        <v>3.2486999999999999</v>
      </c>
      <c r="H14" s="11">
        <v>1.0019</v>
      </c>
      <c r="I14" s="11">
        <v>2.2021000000000002</v>
      </c>
      <c r="J14" s="11">
        <v>670.58</v>
      </c>
      <c r="K14" s="11">
        <v>-1.9984E-3</v>
      </c>
      <c r="L14" s="11">
        <v>89.697000000000003</v>
      </c>
      <c r="M14" s="11">
        <v>0.11119</v>
      </c>
      <c r="N14" s="2">
        <v>5.2062999999999996E-3</v>
      </c>
      <c r="O14" s="2">
        <v>21.248999999999999</v>
      </c>
      <c r="P14" s="2">
        <v>4.7060999999999999E-2</v>
      </c>
      <c r="Q14" s="2">
        <v>62.404000000000003</v>
      </c>
      <c r="R14" s="2">
        <v>86.641999999999996</v>
      </c>
      <c r="S14" s="2">
        <v>5.0776000000000003</v>
      </c>
      <c r="T14" s="2">
        <v>0.82589999999999997</v>
      </c>
      <c r="U14" s="2">
        <v>1.3487</v>
      </c>
      <c r="V14" s="2">
        <v>182.89</v>
      </c>
      <c r="W14" s="2">
        <v>0.23907</v>
      </c>
      <c r="X14" s="2">
        <v>6.8766999999999996</v>
      </c>
      <c r="Y14" s="2">
        <v>9.5928000000000003E-3</v>
      </c>
    </row>
    <row r="15" spans="1:25" ht="15.75" customHeight="1">
      <c r="A15" s="11">
        <v>95.215000000000003</v>
      </c>
      <c r="B15" s="11">
        <v>79.7</v>
      </c>
      <c r="C15" s="11">
        <v>717.07</v>
      </c>
      <c r="D15" s="11">
        <v>1.3946E-3</v>
      </c>
      <c r="E15" s="11">
        <v>-84.856999999999999</v>
      </c>
      <c r="F15" s="11">
        <v>-84.090999999999994</v>
      </c>
      <c r="G15" s="11">
        <v>3.2679</v>
      </c>
      <c r="H15" s="11">
        <v>0.99877000000000005</v>
      </c>
      <c r="I15" s="11">
        <v>2.2164000000000001</v>
      </c>
      <c r="J15" s="11">
        <v>661.05</v>
      </c>
      <c r="K15" s="11">
        <v>-1.8173E-3</v>
      </c>
      <c r="L15" s="11">
        <v>87.429000000000002</v>
      </c>
      <c r="M15" s="11">
        <v>0.10953</v>
      </c>
      <c r="N15" s="2">
        <v>5.0355E-3</v>
      </c>
      <c r="O15" s="2">
        <v>22.632999999999999</v>
      </c>
      <c r="P15" s="2">
        <v>4.4183E-2</v>
      </c>
      <c r="Q15" s="2">
        <v>62.61</v>
      </c>
      <c r="R15" s="2">
        <v>86.888999999999996</v>
      </c>
      <c r="S15" s="2">
        <v>5.0636000000000001</v>
      </c>
      <c r="T15" s="2">
        <v>0.82977999999999996</v>
      </c>
      <c r="U15" s="2">
        <v>1.3677999999999999</v>
      </c>
      <c r="V15" s="2">
        <v>183.02</v>
      </c>
      <c r="W15" s="2">
        <v>0.23563000000000001</v>
      </c>
      <c r="X15" s="2">
        <v>6.9557000000000002</v>
      </c>
      <c r="Y15" s="2">
        <v>9.7456000000000001E-3</v>
      </c>
    </row>
    <row r="16" spans="1:25" ht="15.75" customHeight="1">
      <c r="A16" s="11">
        <v>96.019000000000005</v>
      </c>
      <c r="B16" s="11">
        <v>84.7</v>
      </c>
      <c r="C16" s="11">
        <v>712.57</v>
      </c>
      <c r="D16" s="11">
        <v>1.4034E-3</v>
      </c>
      <c r="E16" s="11">
        <v>-83.113</v>
      </c>
      <c r="F16" s="11">
        <v>-82.293999999999997</v>
      </c>
      <c r="G16" s="11">
        <v>3.2862</v>
      </c>
      <c r="H16" s="11">
        <v>0.99589000000000005</v>
      </c>
      <c r="I16" s="11">
        <v>2.2309000000000001</v>
      </c>
      <c r="J16" s="11">
        <v>651.88</v>
      </c>
      <c r="K16" s="11">
        <v>-1.6345999999999999E-3</v>
      </c>
      <c r="L16" s="11">
        <v>85.328999999999994</v>
      </c>
      <c r="M16" s="11">
        <v>0.10795</v>
      </c>
      <c r="N16" s="2">
        <v>4.8732999999999997E-3</v>
      </c>
      <c r="O16" s="2">
        <v>24.021999999999998</v>
      </c>
      <c r="P16" s="2">
        <v>4.1627999999999998E-2</v>
      </c>
      <c r="Q16" s="2">
        <v>62.79</v>
      </c>
      <c r="R16" s="2">
        <v>87.1</v>
      </c>
      <c r="S16" s="2">
        <v>5.0503999999999998</v>
      </c>
      <c r="T16" s="2">
        <v>0.83362000000000003</v>
      </c>
      <c r="U16" s="2">
        <v>1.3872</v>
      </c>
      <c r="V16" s="2">
        <v>183.12</v>
      </c>
      <c r="W16" s="2">
        <v>0.23243</v>
      </c>
      <c r="X16" s="2">
        <v>7.0320999999999998</v>
      </c>
      <c r="Y16" s="2">
        <v>9.8963000000000002E-3</v>
      </c>
    </row>
    <row r="17" spans="1:25" ht="15.75" customHeight="1">
      <c r="A17" s="11">
        <v>96.789000000000001</v>
      </c>
      <c r="B17" s="11">
        <v>89.7</v>
      </c>
      <c r="C17" s="11">
        <v>708.2</v>
      </c>
      <c r="D17" s="11">
        <v>1.4120000000000001E-3</v>
      </c>
      <c r="E17" s="11">
        <v>-81.435000000000002</v>
      </c>
      <c r="F17" s="11">
        <v>-80.561000000000007</v>
      </c>
      <c r="G17" s="11">
        <v>3.3037000000000001</v>
      </c>
      <c r="H17" s="11">
        <v>0.99322999999999995</v>
      </c>
      <c r="I17" s="11">
        <v>2.2456</v>
      </c>
      <c r="J17" s="11">
        <v>643.01</v>
      </c>
      <c r="K17" s="11">
        <v>-1.4503000000000001E-3</v>
      </c>
      <c r="L17" s="11">
        <v>83.373999999999995</v>
      </c>
      <c r="M17" s="11">
        <v>0.10643</v>
      </c>
      <c r="N17" s="2">
        <v>4.7188000000000004E-3</v>
      </c>
      <c r="O17" s="2">
        <v>25.416</v>
      </c>
      <c r="P17" s="2">
        <v>3.9344999999999998E-2</v>
      </c>
      <c r="Q17" s="2">
        <v>62.945999999999998</v>
      </c>
      <c r="R17" s="2">
        <v>87.278999999999996</v>
      </c>
      <c r="S17" s="2">
        <v>5.0377999999999998</v>
      </c>
      <c r="T17" s="2">
        <v>0.83742000000000005</v>
      </c>
      <c r="U17" s="2">
        <v>1.4068000000000001</v>
      </c>
      <c r="V17" s="2">
        <v>183.19</v>
      </c>
      <c r="W17" s="2">
        <v>0.22942000000000001</v>
      </c>
      <c r="X17" s="2">
        <v>7.1063999999999998</v>
      </c>
      <c r="Y17" s="2">
        <v>1.0045999999999999E-2</v>
      </c>
    </row>
    <row r="18" spans="1:25" ht="15.75" customHeight="1">
      <c r="A18" s="11">
        <v>97.528000000000006</v>
      </c>
      <c r="B18" s="11">
        <v>94.7</v>
      </c>
      <c r="C18" s="11">
        <v>703.95</v>
      </c>
      <c r="D18" s="11">
        <v>1.4205000000000001E-3</v>
      </c>
      <c r="E18" s="11">
        <v>-79.813999999999993</v>
      </c>
      <c r="F18" s="11">
        <v>-78.887</v>
      </c>
      <c r="G18" s="11">
        <v>3.3203999999999998</v>
      </c>
      <c r="H18" s="11">
        <v>0.99075999999999997</v>
      </c>
      <c r="I18" s="11">
        <v>2.2606999999999999</v>
      </c>
      <c r="J18" s="11">
        <v>634.42999999999995</v>
      </c>
      <c r="K18" s="11">
        <v>-1.2639999999999999E-3</v>
      </c>
      <c r="L18" s="11">
        <v>81.546000000000006</v>
      </c>
      <c r="M18" s="11">
        <v>0.10498</v>
      </c>
      <c r="N18" s="2">
        <v>4.5713999999999998E-3</v>
      </c>
      <c r="O18" s="2">
        <v>26.815999999999999</v>
      </c>
      <c r="P18" s="2">
        <v>3.7290999999999998E-2</v>
      </c>
      <c r="Q18" s="2">
        <v>63.081000000000003</v>
      </c>
      <c r="R18" s="2">
        <v>87.43</v>
      </c>
      <c r="S18" s="2">
        <v>5.0256999999999996</v>
      </c>
      <c r="T18" s="2">
        <v>0.84121000000000001</v>
      </c>
      <c r="U18" s="2">
        <v>1.4268000000000001</v>
      </c>
      <c r="V18" s="2">
        <v>183.24</v>
      </c>
      <c r="W18" s="2">
        <v>0.22659000000000001</v>
      </c>
      <c r="X18" s="2">
        <v>7.1787999999999998</v>
      </c>
      <c r="Y18" s="2">
        <v>1.0194E-2</v>
      </c>
    </row>
    <row r="19" spans="1:25" ht="15.75" customHeight="1">
      <c r="A19" s="11">
        <v>98.24</v>
      </c>
      <c r="B19" s="11">
        <v>99.7</v>
      </c>
      <c r="C19" s="11">
        <v>699.82</v>
      </c>
      <c r="D19" s="11">
        <v>1.4289000000000001E-3</v>
      </c>
      <c r="E19" s="11">
        <v>-78.247</v>
      </c>
      <c r="F19" s="11">
        <v>-77.265000000000001</v>
      </c>
      <c r="G19" s="11">
        <v>3.3365</v>
      </c>
      <c r="H19" s="11">
        <v>0.98846000000000001</v>
      </c>
      <c r="I19" s="11">
        <v>2.2759999999999998</v>
      </c>
      <c r="J19" s="11">
        <v>626.11</v>
      </c>
      <c r="K19" s="11">
        <v>-1.0755999999999999E-3</v>
      </c>
      <c r="L19" s="11">
        <v>79.83</v>
      </c>
      <c r="M19" s="11">
        <v>0.10358000000000001</v>
      </c>
      <c r="N19" s="2">
        <v>4.4304000000000001E-3</v>
      </c>
      <c r="O19" s="2">
        <v>28.222000000000001</v>
      </c>
      <c r="P19" s="2">
        <v>3.5434E-2</v>
      </c>
      <c r="Q19" s="2">
        <v>63.195999999999998</v>
      </c>
      <c r="R19" s="2">
        <v>87.552999999999997</v>
      </c>
      <c r="S19" s="2">
        <v>5.0141999999999998</v>
      </c>
      <c r="T19" s="2">
        <v>0.84497</v>
      </c>
      <c r="U19" s="2">
        <v>1.4472</v>
      </c>
      <c r="V19" s="2">
        <v>183.27</v>
      </c>
      <c r="W19" s="2">
        <v>0.22391</v>
      </c>
      <c r="X19" s="2">
        <v>7.2493999999999996</v>
      </c>
      <c r="Y19" s="2">
        <v>1.0340999999999999E-2</v>
      </c>
    </row>
    <row r="20" spans="1:25" ht="15.75" customHeight="1">
      <c r="A20" s="11">
        <v>98.926000000000002</v>
      </c>
      <c r="B20" s="11">
        <v>104.7</v>
      </c>
      <c r="C20" s="11">
        <v>695.78</v>
      </c>
      <c r="D20" s="11">
        <v>1.4372E-3</v>
      </c>
      <c r="E20" s="11">
        <v>-76.728999999999999</v>
      </c>
      <c r="F20" s="11">
        <v>-75.691000000000003</v>
      </c>
      <c r="G20" s="11">
        <v>3.3519000000000001</v>
      </c>
      <c r="H20" s="11">
        <v>0.98633000000000004</v>
      </c>
      <c r="I20" s="11">
        <v>2.2917000000000001</v>
      </c>
      <c r="J20" s="11">
        <v>618.02</v>
      </c>
      <c r="K20" s="11">
        <v>-8.8495999999999996E-4</v>
      </c>
      <c r="L20" s="11">
        <v>78.213999999999999</v>
      </c>
      <c r="M20" s="11">
        <v>0.10223</v>
      </c>
      <c r="N20" s="2">
        <v>4.2953000000000002E-3</v>
      </c>
      <c r="O20" s="2">
        <v>29.635000000000002</v>
      </c>
      <c r="P20" s="2">
        <v>3.3744000000000003E-2</v>
      </c>
      <c r="Q20" s="2">
        <v>63.292999999999999</v>
      </c>
      <c r="R20" s="2">
        <v>87.652000000000001</v>
      </c>
      <c r="S20" s="2">
        <v>5.0030999999999999</v>
      </c>
      <c r="T20" s="2">
        <v>0.84870999999999996</v>
      </c>
      <c r="U20" s="2">
        <v>1.4679</v>
      </c>
      <c r="V20" s="2">
        <v>183.28</v>
      </c>
      <c r="W20" s="2">
        <v>0.22137000000000001</v>
      </c>
      <c r="X20" s="2">
        <v>7.3185000000000002</v>
      </c>
      <c r="Y20" s="2">
        <v>1.0487E-2</v>
      </c>
    </row>
    <row r="21" spans="1:25" ht="15.75" customHeight="1">
      <c r="A21" s="11">
        <v>99.59</v>
      </c>
      <c r="B21" s="11">
        <v>109.7</v>
      </c>
      <c r="C21" s="11">
        <v>691.82</v>
      </c>
      <c r="D21" s="11">
        <v>1.4455E-3</v>
      </c>
      <c r="E21" s="11">
        <v>-75.254000000000005</v>
      </c>
      <c r="F21" s="11">
        <v>-74.161000000000001</v>
      </c>
      <c r="G21" s="11">
        <v>3.3668999999999998</v>
      </c>
      <c r="H21" s="11">
        <v>0.98433999999999999</v>
      </c>
      <c r="I21" s="11">
        <v>2.3075999999999999</v>
      </c>
      <c r="J21" s="11">
        <v>610.14</v>
      </c>
      <c r="K21" s="11">
        <v>-6.9183999999999999E-4</v>
      </c>
      <c r="L21" s="11">
        <v>76.686999999999998</v>
      </c>
      <c r="M21" s="11">
        <v>0.10092</v>
      </c>
      <c r="N21" s="2">
        <v>4.1654999999999999E-3</v>
      </c>
      <c r="O21" s="2">
        <v>31.053999999999998</v>
      </c>
      <c r="P21" s="2">
        <v>3.2202000000000001E-2</v>
      </c>
      <c r="Q21" s="2">
        <v>63.372999999999998</v>
      </c>
      <c r="R21" s="2">
        <v>87.728999999999999</v>
      </c>
      <c r="S21" s="2">
        <v>4.9923999999999999</v>
      </c>
      <c r="T21" s="2">
        <v>0.85243999999999998</v>
      </c>
      <c r="U21" s="2">
        <v>1.4890000000000001</v>
      </c>
      <c r="V21" s="2">
        <v>183.27</v>
      </c>
      <c r="W21" s="2">
        <v>0.21895000000000001</v>
      </c>
      <c r="X21" s="2">
        <v>7.3861999999999997</v>
      </c>
      <c r="Y21" s="2">
        <v>1.0633E-2</v>
      </c>
    </row>
    <row r="22" spans="1:25" ht="15.75" customHeight="1">
      <c r="A22" s="11">
        <v>100.23</v>
      </c>
      <c r="B22" s="11">
        <v>114.7</v>
      </c>
      <c r="C22" s="11">
        <v>687.95</v>
      </c>
      <c r="D22" s="11">
        <v>1.4536E-3</v>
      </c>
      <c r="E22" s="11">
        <v>-73.819999999999993</v>
      </c>
      <c r="F22" s="11">
        <v>-72.671000000000006</v>
      </c>
      <c r="G22" s="11">
        <v>3.3813</v>
      </c>
      <c r="H22" s="11">
        <v>0.98250000000000004</v>
      </c>
      <c r="I22" s="11">
        <v>2.3239999999999998</v>
      </c>
      <c r="J22" s="11">
        <v>602.45000000000005</v>
      </c>
      <c r="K22" s="11">
        <v>-4.9609999999999997E-4</v>
      </c>
      <c r="L22" s="11">
        <v>75.239000000000004</v>
      </c>
      <c r="M22" s="11">
        <v>9.9655999999999995E-2</v>
      </c>
      <c r="N22" s="2">
        <v>4.0406000000000001E-3</v>
      </c>
      <c r="O22" s="2">
        <v>32.481999999999999</v>
      </c>
      <c r="P22" s="2">
        <v>3.0786000000000001E-2</v>
      </c>
      <c r="Q22" s="2">
        <v>63.436999999999998</v>
      </c>
      <c r="R22" s="2">
        <v>87.784000000000006</v>
      </c>
      <c r="S22" s="2">
        <v>4.9821</v>
      </c>
      <c r="T22" s="2">
        <v>0.85616000000000003</v>
      </c>
      <c r="U22" s="2">
        <v>1.5105</v>
      </c>
      <c r="V22" s="2">
        <v>183.24</v>
      </c>
      <c r="W22" s="2">
        <v>0.21664</v>
      </c>
      <c r="X22" s="2">
        <v>7.4526000000000003</v>
      </c>
      <c r="Y22" s="2">
        <v>1.0779E-2</v>
      </c>
    </row>
    <row r="23" spans="1:25" ht="15.75" customHeight="1">
      <c r="A23" s="11">
        <v>100.85</v>
      </c>
      <c r="B23" s="11">
        <v>119.7</v>
      </c>
      <c r="C23" s="11">
        <v>684.15</v>
      </c>
      <c r="D23" s="11">
        <v>1.4617E-3</v>
      </c>
      <c r="E23" s="11">
        <v>-72.424000000000007</v>
      </c>
      <c r="F23" s="11">
        <v>-71.218000000000004</v>
      </c>
      <c r="G23" s="11">
        <v>3.3952</v>
      </c>
      <c r="H23" s="11">
        <v>0.98079000000000005</v>
      </c>
      <c r="I23" s="11">
        <v>2.3407</v>
      </c>
      <c r="J23" s="11">
        <v>594.95000000000005</v>
      </c>
      <c r="K23" s="11">
        <v>-2.9756999999999999E-4</v>
      </c>
      <c r="L23" s="11">
        <v>73.864000000000004</v>
      </c>
      <c r="M23" s="11">
        <v>9.8432000000000006E-2</v>
      </c>
      <c r="N23" s="2">
        <v>3.9204000000000001E-3</v>
      </c>
      <c r="O23" s="2">
        <v>33.917000000000002</v>
      </c>
      <c r="P23" s="2">
        <v>2.9482999999999999E-2</v>
      </c>
      <c r="Q23" s="2">
        <v>63.487000000000002</v>
      </c>
      <c r="R23" s="2">
        <v>87.82</v>
      </c>
      <c r="S23" s="2">
        <v>4.9721000000000002</v>
      </c>
      <c r="T23" s="2">
        <v>0.85987999999999998</v>
      </c>
      <c r="U23" s="2">
        <v>1.5325</v>
      </c>
      <c r="V23" s="2">
        <v>183.2</v>
      </c>
      <c r="W23" s="2">
        <v>0.21442</v>
      </c>
      <c r="X23" s="2">
        <v>7.5179</v>
      </c>
      <c r="Y23" s="2">
        <v>1.0925000000000001E-2</v>
      </c>
    </row>
    <row r="24" spans="1:25" ht="15.75" customHeight="1">
      <c r="A24" s="11">
        <v>101.46</v>
      </c>
      <c r="B24" s="11">
        <v>124.7</v>
      </c>
      <c r="C24" s="11">
        <v>680.42</v>
      </c>
      <c r="D24" s="11">
        <v>1.4697E-3</v>
      </c>
      <c r="E24" s="11">
        <v>-71.061999999999998</v>
      </c>
      <c r="F24" s="11">
        <v>-69.798000000000002</v>
      </c>
      <c r="G24" s="11">
        <v>3.4087999999999998</v>
      </c>
      <c r="H24" s="11">
        <v>0.97919999999999996</v>
      </c>
      <c r="I24" s="11">
        <v>2.3576999999999999</v>
      </c>
      <c r="J24" s="11">
        <v>587.61</v>
      </c>
      <c r="K24" s="11">
        <v>-9.6095999999999996E-5</v>
      </c>
      <c r="L24" s="11">
        <v>72.554000000000002</v>
      </c>
      <c r="M24" s="11">
        <v>9.7243999999999997E-2</v>
      </c>
      <c r="N24" s="2">
        <v>3.8043E-3</v>
      </c>
      <c r="O24" s="2">
        <v>35.360999999999997</v>
      </c>
      <c r="P24" s="2">
        <v>2.8278999999999999E-2</v>
      </c>
      <c r="Q24" s="2">
        <v>63.523000000000003</v>
      </c>
      <c r="R24" s="2">
        <v>87.837000000000003</v>
      </c>
      <c r="S24" s="2">
        <v>4.9625000000000004</v>
      </c>
      <c r="T24" s="2">
        <v>0.86358000000000001</v>
      </c>
      <c r="U24" s="2">
        <v>1.5549999999999999</v>
      </c>
      <c r="V24" s="2">
        <v>183.14</v>
      </c>
      <c r="W24" s="2">
        <v>0.21229999999999999</v>
      </c>
      <c r="X24" s="2">
        <v>7.5820999999999996</v>
      </c>
      <c r="Y24" s="2">
        <v>1.1070999999999999E-2</v>
      </c>
    </row>
    <row r="25" spans="1:25" ht="12.3">
      <c r="A25" s="11">
        <v>102.04</v>
      </c>
      <c r="B25" s="11">
        <v>129.69999999999999</v>
      </c>
      <c r="C25" s="11">
        <v>676.75</v>
      </c>
      <c r="D25" s="11">
        <v>1.4775999999999999E-3</v>
      </c>
      <c r="E25" s="11">
        <v>-69.731999999999999</v>
      </c>
      <c r="F25" s="11">
        <v>-68.411000000000001</v>
      </c>
      <c r="G25" s="11">
        <v>3.4218999999999999</v>
      </c>
      <c r="H25" s="11">
        <v>0.97772000000000003</v>
      </c>
      <c r="I25" s="11">
        <v>2.3752</v>
      </c>
      <c r="J25" s="11">
        <v>580.41999999999996</v>
      </c>
      <c r="K25" s="11">
        <v>1.0848E-4</v>
      </c>
      <c r="L25" s="11">
        <v>71.302999999999997</v>
      </c>
      <c r="M25" s="11">
        <v>9.6089999999999995E-2</v>
      </c>
      <c r="N25" s="2">
        <v>3.6922999999999999E-3</v>
      </c>
      <c r="O25" s="2">
        <v>36.814</v>
      </c>
      <c r="P25" s="2">
        <v>2.7163E-2</v>
      </c>
      <c r="Q25" s="2">
        <v>63.545000000000002</v>
      </c>
      <c r="R25" s="2">
        <v>87.835999999999999</v>
      </c>
      <c r="S25" s="2">
        <v>4.9531000000000001</v>
      </c>
      <c r="T25" s="2">
        <v>0.86728000000000005</v>
      </c>
      <c r="U25" s="2">
        <v>1.5780000000000001</v>
      </c>
      <c r="V25" s="2">
        <v>183.07</v>
      </c>
      <c r="W25" s="2">
        <v>0.21024999999999999</v>
      </c>
      <c r="X25" s="2">
        <v>7.6455000000000002</v>
      </c>
      <c r="Y25" s="2">
        <v>1.1218000000000001E-2</v>
      </c>
    </row>
    <row r="26" spans="1:25" ht="12.3">
      <c r="A26" s="11">
        <v>102.61</v>
      </c>
      <c r="B26" s="11">
        <v>134.69999999999999</v>
      </c>
      <c r="C26" s="11">
        <v>673.14</v>
      </c>
      <c r="D26" s="11">
        <v>1.4855999999999999E-3</v>
      </c>
      <c r="E26" s="11">
        <v>-68.432000000000002</v>
      </c>
      <c r="F26" s="11">
        <v>-67.052000000000007</v>
      </c>
      <c r="G26" s="11">
        <v>3.4346999999999999</v>
      </c>
      <c r="H26" s="11">
        <v>0.97636000000000001</v>
      </c>
      <c r="I26" s="11">
        <v>2.3931</v>
      </c>
      <c r="J26" s="11">
        <v>573.38</v>
      </c>
      <c r="K26" s="11">
        <v>3.1630999999999999E-4</v>
      </c>
      <c r="L26" s="11">
        <v>70.105999999999995</v>
      </c>
      <c r="M26" s="11">
        <v>9.4966999999999996E-2</v>
      </c>
      <c r="N26" s="2">
        <v>3.5839000000000001E-3</v>
      </c>
      <c r="O26" s="2">
        <v>38.277000000000001</v>
      </c>
      <c r="P26" s="2">
        <v>2.6126E-2</v>
      </c>
      <c r="Q26" s="2">
        <v>63.555</v>
      </c>
      <c r="R26" s="2">
        <v>87.819000000000003</v>
      </c>
      <c r="S26" s="2">
        <v>4.9439000000000002</v>
      </c>
      <c r="T26" s="2">
        <v>0.87097999999999998</v>
      </c>
      <c r="U26" s="2">
        <v>1.6013999999999999</v>
      </c>
      <c r="V26" s="2">
        <v>182.99</v>
      </c>
      <c r="W26" s="2">
        <v>0.20827999999999999</v>
      </c>
      <c r="X26" s="2">
        <v>7.7080000000000002</v>
      </c>
      <c r="Y26" s="2">
        <v>1.1365E-2</v>
      </c>
    </row>
    <row r="27" spans="1:25" ht="12.3">
      <c r="A27" s="11">
        <v>103.17</v>
      </c>
      <c r="B27" s="11">
        <v>139.69999999999999</v>
      </c>
      <c r="C27" s="11">
        <v>669.58</v>
      </c>
      <c r="D27" s="11">
        <v>1.4935E-3</v>
      </c>
      <c r="E27" s="11">
        <v>-67.159000000000006</v>
      </c>
      <c r="F27" s="11">
        <v>-65.72</v>
      </c>
      <c r="G27" s="11">
        <v>3.4470999999999998</v>
      </c>
      <c r="H27" s="11">
        <v>0.97509999999999997</v>
      </c>
      <c r="I27" s="11">
        <v>2.4114</v>
      </c>
      <c r="J27" s="11">
        <v>566.47</v>
      </c>
      <c r="K27" s="11">
        <v>5.2755E-4</v>
      </c>
      <c r="L27" s="11">
        <v>68.957999999999998</v>
      </c>
      <c r="M27" s="11">
        <v>9.3873999999999999E-2</v>
      </c>
      <c r="N27" s="2">
        <v>3.4789999999999999E-3</v>
      </c>
      <c r="O27" s="2">
        <v>39.749000000000002</v>
      </c>
      <c r="P27" s="2">
        <v>2.5158E-2</v>
      </c>
      <c r="Q27" s="2">
        <v>63.554000000000002</v>
      </c>
      <c r="R27" s="2">
        <v>87.786000000000001</v>
      </c>
      <c r="S27" s="2">
        <v>4.9349999999999996</v>
      </c>
      <c r="T27" s="2">
        <v>0.87465999999999999</v>
      </c>
      <c r="U27" s="2">
        <v>1.6254999999999999</v>
      </c>
      <c r="V27" s="2">
        <v>182.9</v>
      </c>
      <c r="W27" s="2">
        <v>0.20638000000000001</v>
      </c>
      <c r="X27" s="2">
        <v>7.7698</v>
      </c>
      <c r="Y27" s="2">
        <v>1.1513000000000001E-2</v>
      </c>
    </row>
    <row r="28" spans="1:25" ht="12.3">
      <c r="A28" s="11">
        <v>103.71</v>
      </c>
      <c r="B28" s="11">
        <v>144.69999999999999</v>
      </c>
      <c r="C28" s="11">
        <v>666.06</v>
      </c>
      <c r="D28" s="11">
        <v>1.5014E-3</v>
      </c>
      <c r="E28" s="11">
        <v>-65.912000000000006</v>
      </c>
      <c r="F28" s="11">
        <v>-64.414000000000001</v>
      </c>
      <c r="G28" s="11">
        <v>3.4592000000000001</v>
      </c>
      <c r="H28" s="11">
        <v>0.97394000000000003</v>
      </c>
      <c r="I28" s="11">
        <v>2.4302000000000001</v>
      </c>
      <c r="J28" s="11">
        <v>559.67999999999995</v>
      </c>
      <c r="K28" s="11">
        <v>7.4235000000000002E-4</v>
      </c>
      <c r="L28" s="11">
        <v>67.855999999999995</v>
      </c>
      <c r="M28" s="11">
        <v>9.2809000000000003E-2</v>
      </c>
      <c r="N28" s="2">
        <v>3.3774E-3</v>
      </c>
      <c r="O28" s="2">
        <v>41.231000000000002</v>
      </c>
      <c r="P28" s="2">
        <v>2.4254000000000001E-2</v>
      </c>
      <c r="Q28" s="2">
        <v>63.54</v>
      </c>
      <c r="R28" s="2">
        <v>87.738</v>
      </c>
      <c r="S28" s="2">
        <v>4.9263000000000003</v>
      </c>
      <c r="T28" s="2">
        <v>0.87834000000000001</v>
      </c>
      <c r="U28" s="2">
        <v>1.6500999999999999</v>
      </c>
      <c r="V28" s="2">
        <v>182.8</v>
      </c>
      <c r="W28" s="2">
        <v>0.20454</v>
      </c>
      <c r="X28" s="2">
        <v>7.8310000000000004</v>
      </c>
      <c r="Y28" s="2">
        <v>1.1660999999999999E-2</v>
      </c>
    </row>
    <row r="29" spans="1:25" ht="12.3">
      <c r="A29" s="11">
        <v>104.24</v>
      </c>
      <c r="B29" s="11">
        <v>149.69999999999999</v>
      </c>
      <c r="C29" s="11">
        <v>662.59</v>
      </c>
      <c r="D29" s="11">
        <v>1.5092E-3</v>
      </c>
      <c r="E29" s="11">
        <v>-64.688999999999993</v>
      </c>
      <c r="F29" s="11">
        <v>-63.131</v>
      </c>
      <c r="G29" s="11">
        <v>3.4710999999999999</v>
      </c>
      <c r="H29" s="11">
        <v>0.97287999999999997</v>
      </c>
      <c r="I29" s="11">
        <v>2.4493999999999998</v>
      </c>
      <c r="J29" s="11">
        <v>553</v>
      </c>
      <c r="K29" s="11">
        <v>9.6088E-4</v>
      </c>
      <c r="L29" s="11">
        <v>66.796000000000006</v>
      </c>
      <c r="M29" s="11">
        <v>9.1770000000000004E-2</v>
      </c>
      <c r="N29" s="2">
        <v>3.2788000000000001E-3</v>
      </c>
      <c r="O29" s="2">
        <v>42.722999999999999</v>
      </c>
      <c r="P29" s="2">
        <v>2.3406E-2</v>
      </c>
      <c r="Q29" s="2">
        <v>63.515999999999998</v>
      </c>
      <c r="R29" s="2">
        <v>87.674999999999997</v>
      </c>
      <c r="S29" s="2">
        <v>4.9177999999999997</v>
      </c>
      <c r="T29" s="2">
        <v>0.88200999999999996</v>
      </c>
      <c r="U29" s="2">
        <v>1.6753</v>
      </c>
      <c r="V29" s="2">
        <v>182.69</v>
      </c>
      <c r="W29" s="2">
        <v>0.20275000000000001</v>
      </c>
      <c r="X29" s="2">
        <v>7.8914999999999997</v>
      </c>
      <c r="Y29" s="2">
        <v>1.1811E-2</v>
      </c>
    </row>
    <row r="30" spans="1:25" ht="12.3">
      <c r="A30" s="11">
        <v>104.75</v>
      </c>
      <c r="B30" s="11">
        <v>154.69999999999999</v>
      </c>
      <c r="C30" s="11">
        <v>659.16</v>
      </c>
      <c r="D30" s="11">
        <v>1.5171E-3</v>
      </c>
      <c r="E30" s="11">
        <v>-63.488999999999997</v>
      </c>
      <c r="F30" s="11">
        <v>-61.871000000000002</v>
      </c>
      <c r="G30" s="11">
        <v>3.4826000000000001</v>
      </c>
      <c r="H30" s="11">
        <v>0.97191000000000005</v>
      </c>
      <c r="I30" s="11">
        <v>2.4691999999999998</v>
      </c>
      <c r="J30" s="11">
        <v>546.44000000000005</v>
      </c>
      <c r="K30" s="11">
        <v>1.1833E-3</v>
      </c>
      <c r="L30" s="11">
        <v>65.774000000000001</v>
      </c>
      <c r="M30" s="11">
        <v>9.0755000000000002E-2</v>
      </c>
      <c r="N30" s="2">
        <v>3.1830999999999999E-3</v>
      </c>
      <c r="O30" s="2">
        <v>44.226999999999997</v>
      </c>
      <c r="P30" s="2">
        <v>2.2610999999999999E-2</v>
      </c>
      <c r="Q30" s="2">
        <v>63.481999999999999</v>
      </c>
      <c r="R30" s="2">
        <v>87.599000000000004</v>
      </c>
      <c r="S30" s="2">
        <v>4.9095000000000004</v>
      </c>
      <c r="T30" s="2">
        <v>0.88566999999999996</v>
      </c>
      <c r="U30" s="2">
        <v>1.7011000000000001</v>
      </c>
      <c r="V30" s="2">
        <v>182.57</v>
      </c>
      <c r="W30" s="2">
        <v>0.20102999999999999</v>
      </c>
      <c r="X30" s="2">
        <v>7.9515000000000002</v>
      </c>
      <c r="Y30" s="2">
        <v>1.1962E-2</v>
      </c>
    </row>
    <row r="31" spans="1:25" ht="12.3">
      <c r="A31" s="11">
        <v>105.26</v>
      </c>
      <c r="B31" s="11">
        <v>159.69999999999999</v>
      </c>
      <c r="C31" s="11">
        <v>655.77</v>
      </c>
      <c r="D31" s="11">
        <v>1.5249E-3</v>
      </c>
      <c r="E31" s="11">
        <v>-62.31</v>
      </c>
      <c r="F31" s="11">
        <v>-60.63</v>
      </c>
      <c r="G31" s="11">
        <v>3.4940000000000002</v>
      </c>
      <c r="H31" s="11">
        <v>0.97104000000000001</v>
      </c>
      <c r="I31" s="11">
        <v>2.4893999999999998</v>
      </c>
      <c r="J31" s="11">
        <v>539.98</v>
      </c>
      <c r="K31" s="11">
        <v>1.4097000000000001E-3</v>
      </c>
      <c r="L31" s="11">
        <v>64.787999999999997</v>
      </c>
      <c r="M31" s="11">
        <v>8.9763999999999997E-2</v>
      </c>
      <c r="N31" s="2">
        <v>3.0902E-3</v>
      </c>
      <c r="O31" s="2">
        <v>45.741999999999997</v>
      </c>
      <c r="P31" s="2">
        <v>2.1861999999999999E-2</v>
      </c>
      <c r="Q31" s="2">
        <v>63.438000000000002</v>
      </c>
      <c r="R31" s="2">
        <v>87.51</v>
      </c>
      <c r="S31" s="2">
        <v>4.9013999999999998</v>
      </c>
      <c r="T31" s="2">
        <v>0.88932999999999995</v>
      </c>
      <c r="U31" s="2">
        <v>1.7277</v>
      </c>
      <c r="V31" s="2">
        <v>182.44</v>
      </c>
      <c r="W31" s="2">
        <v>0.19935</v>
      </c>
      <c r="X31" s="2">
        <v>8.0111000000000008</v>
      </c>
      <c r="Y31" s="2">
        <v>1.2114E-2</v>
      </c>
    </row>
    <row r="32" spans="1:25" ht="12.3">
      <c r="A32" s="11">
        <v>105.75</v>
      </c>
      <c r="B32" s="11">
        <v>164.7</v>
      </c>
      <c r="C32" s="11">
        <v>652.41</v>
      </c>
      <c r="D32" s="11">
        <v>1.5328E-3</v>
      </c>
      <c r="E32" s="11">
        <v>-61.15</v>
      </c>
      <c r="F32" s="11">
        <v>-59.408999999999999</v>
      </c>
      <c r="G32" s="11">
        <v>3.5049999999999999</v>
      </c>
      <c r="H32" s="11">
        <v>0.97023999999999999</v>
      </c>
      <c r="I32" s="11">
        <v>2.5103</v>
      </c>
      <c r="J32" s="11">
        <v>533.61</v>
      </c>
      <c r="K32" s="11">
        <v>1.6404E-3</v>
      </c>
      <c r="L32" s="11">
        <v>63.834000000000003</v>
      </c>
      <c r="M32" s="11">
        <v>8.8793999999999998E-2</v>
      </c>
      <c r="N32" s="2">
        <v>2.9997999999999999E-3</v>
      </c>
      <c r="O32" s="2">
        <v>47.268000000000001</v>
      </c>
      <c r="P32" s="2">
        <v>2.1156000000000001E-2</v>
      </c>
      <c r="Q32" s="2">
        <v>63.383000000000003</v>
      </c>
      <c r="R32" s="2">
        <v>87.406999999999996</v>
      </c>
      <c r="S32" s="2">
        <v>4.8933999999999997</v>
      </c>
      <c r="T32" s="2">
        <v>0.89297000000000004</v>
      </c>
      <c r="U32" s="2">
        <v>1.7548999999999999</v>
      </c>
      <c r="V32" s="2">
        <v>182.31</v>
      </c>
      <c r="W32" s="2">
        <v>0.19771</v>
      </c>
      <c r="X32" s="2">
        <v>8.0701999999999998</v>
      </c>
      <c r="Y32" s="2">
        <v>1.2267E-2</v>
      </c>
    </row>
    <row r="33" spans="1:25" ht="12.3">
      <c r="A33" s="11">
        <v>106.23</v>
      </c>
      <c r="B33" s="11">
        <v>169.7</v>
      </c>
      <c r="C33" s="11">
        <v>649.08000000000004</v>
      </c>
      <c r="D33" s="11">
        <v>1.5406E-3</v>
      </c>
      <c r="E33" s="11">
        <v>-60.009</v>
      </c>
      <c r="F33" s="11">
        <v>-58.207000000000001</v>
      </c>
      <c r="G33" s="11">
        <v>3.5158999999999998</v>
      </c>
      <c r="H33" s="11">
        <v>0.96953999999999996</v>
      </c>
      <c r="I33" s="11">
        <v>2.5316000000000001</v>
      </c>
      <c r="J33" s="11">
        <v>527.33000000000004</v>
      </c>
      <c r="K33" s="11">
        <v>1.8753999999999999E-3</v>
      </c>
      <c r="L33" s="11">
        <v>62.911999999999999</v>
      </c>
      <c r="M33" s="11">
        <v>8.7845999999999994E-2</v>
      </c>
      <c r="N33" s="2">
        <v>2.9118999999999998E-3</v>
      </c>
      <c r="O33" s="2">
        <v>48.807000000000002</v>
      </c>
      <c r="P33" s="2">
        <v>2.0489E-2</v>
      </c>
      <c r="Q33" s="2">
        <v>63.32</v>
      </c>
      <c r="R33" s="2">
        <v>87.292000000000002</v>
      </c>
      <c r="S33" s="2">
        <v>4.8855000000000004</v>
      </c>
      <c r="T33" s="2">
        <v>0.89661999999999997</v>
      </c>
      <c r="U33" s="2">
        <v>1.7828999999999999</v>
      </c>
      <c r="V33" s="2">
        <v>182.17</v>
      </c>
      <c r="W33" s="2">
        <v>0.19613</v>
      </c>
      <c r="X33" s="2">
        <v>8.1289999999999996</v>
      </c>
      <c r="Y33" s="2">
        <v>1.2422000000000001E-2</v>
      </c>
    </row>
    <row r="34" spans="1:25" ht="12.3">
      <c r="A34" s="11">
        <v>106.71</v>
      </c>
      <c r="B34" s="11">
        <v>174.7</v>
      </c>
      <c r="C34" s="11">
        <v>645.78</v>
      </c>
      <c r="D34" s="11">
        <v>1.5485E-3</v>
      </c>
      <c r="E34" s="11">
        <v>-58.886000000000003</v>
      </c>
      <c r="F34" s="11">
        <v>-57.021000000000001</v>
      </c>
      <c r="G34" s="11">
        <v>3.5265</v>
      </c>
      <c r="H34" s="11">
        <v>0.96891000000000005</v>
      </c>
      <c r="I34" s="11">
        <v>2.5535999999999999</v>
      </c>
      <c r="J34" s="11">
        <v>521.13</v>
      </c>
      <c r="K34" s="11">
        <v>2.1150000000000001E-3</v>
      </c>
      <c r="L34" s="11">
        <v>62.018000000000001</v>
      </c>
      <c r="M34" s="11">
        <v>8.6916999999999994E-2</v>
      </c>
      <c r="N34" s="2">
        <v>2.8264000000000002E-3</v>
      </c>
      <c r="O34" s="2">
        <v>50.359000000000002</v>
      </c>
      <c r="P34" s="2">
        <v>1.9858000000000001E-2</v>
      </c>
      <c r="Q34" s="2">
        <v>63.247</v>
      </c>
      <c r="R34" s="2">
        <v>87.165000000000006</v>
      </c>
      <c r="S34" s="2">
        <v>4.8777999999999997</v>
      </c>
      <c r="T34" s="2">
        <v>0.90025999999999995</v>
      </c>
      <c r="U34" s="2">
        <v>1.8117000000000001</v>
      </c>
      <c r="V34" s="2">
        <v>182.03</v>
      </c>
      <c r="W34" s="2">
        <v>0.19458</v>
      </c>
      <c r="X34" s="2">
        <v>8.1875</v>
      </c>
      <c r="Y34" s="2">
        <v>1.2579E-2</v>
      </c>
    </row>
    <row r="35" spans="1:25" ht="12.3">
      <c r="A35" s="11">
        <v>107.17</v>
      </c>
      <c r="B35" s="11">
        <v>179.7</v>
      </c>
      <c r="C35" s="11">
        <v>642.51</v>
      </c>
      <c r="D35" s="11">
        <v>1.5564000000000001E-3</v>
      </c>
      <c r="E35" s="11">
        <v>-57.779000000000003</v>
      </c>
      <c r="F35" s="11">
        <v>-55.850999999999999</v>
      </c>
      <c r="G35" s="11">
        <v>3.5369999999999999</v>
      </c>
      <c r="H35" s="11">
        <v>0.96836999999999995</v>
      </c>
      <c r="I35" s="11">
        <v>2.5762999999999998</v>
      </c>
      <c r="J35" s="11">
        <v>515.01</v>
      </c>
      <c r="K35" s="11">
        <v>2.3592999999999999E-3</v>
      </c>
      <c r="L35" s="11">
        <v>61.151000000000003</v>
      </c>
      <c r="M35" s="11">
        <v>8.6008000000000001E-2</v>
      </c>
      <c r="N35" s="2">
        <v>2.7431000000000001E-3</v>
      </c>
      <c r="O35" s="2">
        <v>51.923000000000002</v>
      </c>
      <c r="P35" s="2">
        <v>1.9258999999999998E-2</v>
      </c>
      <c r="Q35" s="2">
        <v>63.164999999999999</v>
      </c>
      <c r="R35" s="2">
        <v>87.027000000000001</v>
      </c>
      <c r="S35" s="2">
        <v>4.8701999999999996</v>
      </c>
      <c r="T35" s="2">
        <v>0.90390000000000004</v>
      </c>
      <c r="U35" s="2">
        <v>1.8412999999999999</v>
      </c>
      <c r="V35" s="2">
        <v>181.88</v>
      </c>
      <c r="W35" s="2">
        <v>0.19306000000000001</v>
      </c>
      <c r="X35" s="2">
        <v>8.2457999999999991</v>
      </c>
      <c r="Y35" s="2">
        <v>1.2737E-2</v>
      </c>
    </row>
    <row r="36" spans="1:25" ht="12.3">
      <c r="A36" s="11">
        <v>107.62</v>
      </c>
      <c r="B36" s="11">
        <v>184.7</v>
      </c>
      <c r="C36" s="11">
        <v>639.26</v>
      </c>
      <c r="D36" s="11">
        <v>1.5643E-3</v>
      </c>
      <c r="E36" s="11">
        <v>-56.688000000000002</v>
      </c>
      <c r="F36" s="11">
        <v>-54.695999999999998</v>
      </c>
      <c r="G36" s="11">
        <v>3.5472000000000001</v>
      </c>
      <c r="H36" s="11">
        <v>0.96791000000000005</v>
      </c>
      <c r="I36" s="11">
        <v>2.5996000000000001</v>
      </c>
      <c r="J36" s="11">
        <v>508.97</v>
      </c>
      <c r="K36" s="11">
        <v>2.6085000000000001E-3</v>
      </c>
      <c r="L36" s="11">
        <v>60.308</v>
      </c>
      <c r="M36" s="11">
        <v>8.5115999999999997E-2</v>
      </c>
      <c r="N36" s="2">
        <v>2.6619E-3</v>
      </c>
      <c r="O36" s="2">
        <v>53.502000000000002</v>
      </c>
      <c r="P36" s="2">
        <v>1.8690999999999999E-2</v>
      </c>
      <c r="Q36" s="2">
        <v>63.073999999999998</v>
      </c>
      <c r="R36" s="2">
        <v>86.876000000000005</v>
      </c>
      <c r="S36" s="2">
        <v>4.8627000000000002</v>
      </c>
      <c r="T36" s="2">
        <v>0.90754000000000001</v>
      </c>
      <c r="U36" s="2">
        <v>1.8718999999999999</v>
      </c>
      <c r="V36" s="2">
        <v>181.72</v>
      </c>
      <c r="W36" s="2">
        <v>0.19158</v>
      </c>
      <c r="X36" s="2">
        <v>8.3038000000000007</v>
      </c>
      <c r="Y36" s="2">
        <v>1.2898E-2</v>
      </c>
    </row>
    <row r="37" spans="1:25" ht="12.3">
      <c r="A37" s="11">
        <v>108.07</v>
      </c>
      <c r="B37" s="11">
        <v>189.7</v>
      </c>
      <c r="C37" s="11">
        <v>636.03</v>
      </c>
      <c r="D37" s="11">
        <v>1.5723E-3</v>
      </c>
      <c r="E37" s="11">
        <v>-55.610999999999997</v>
      </c>
      <c r="F37" s="11">
        <v>-53.554000000000002</v>
      </c>
      <c r="G37" s="11">
        <v>3.5573000000000001</v>
      </c>
      <c r="H37" s="11">
        <v>0.96752000000000005</v>
      </c>
      <c r="I37" s="11">
        <v>2.6234999999999999</v>
      </c>
      <c r="J37" s="11">
        <v>503</v>
      </c>
      <c r="K37" s="11">
        <v>2.8628E-3</v>
      </c>
      <c r="L37" s="11">
        <v>59.488</v>
      </c>
      <c r="M37" s="11">
        <v>8.4241999999999997E-2</v>
      </c>
      <c r="N37" s="2">
        <v>2.5826999999999998E-3</v>
      </c>
      <c r="O37" s="2">
        <v>55.094000000000001</v>
      </c>
      <c r="P37" s="2">
        <v>1.8151E-2</v>
      </c>
      <c r="Q37" s="2">
        <v>62.973999999999997</v>
      </c>
      <c r="R37" s="2">
        <v>86.715000000000003</v>
      </c>
      <c r="S37" s="2">
        <v>4.8552999999999997</v>
      </c>
      <c r="T37" s="2">
        <v>0.91120999999999996</v>
      </c>
      <c r="U37" s="2">
        <v>1.9034</v>
      </c>
      <c r="V37" s="2">
        <v>181.56</v>
      </c>
      <c r="W37" s="2">
        <v>0.19014</v>
      </c>
      <c r="X37" s="2">
        <v>8.3617000000000008</v>
      </c>
      <c r="Y37" s="2">
        <v>1.306E-2</v>
      </c>
    </row>
    <row r="38" spans="1:25" ht="12.3">
      <c r="A38" s="11">
        <v>108.5</v>
      </c>
      <c r="B38" s="11">
        <v>194.7</v>
      </c>
      <c r="C38" s="11">
        <v>632.82000000000005</v>
      </c>
      <c r="D38" s="11">
        <v>1.5801999999999999E-3</v>
      </c>
      <c r="E38" s="11">
        <v>-54.548000000000002</v>
      </c>
      <c r="F38" s="11">
        <v>-52.427</v>
      </c>
      <c r="G38" s="11">
        <v>3.5672000000000001</v>
      </c>
      <c r="H38" s="11">
        <v>0.96721999999999997</v>
      </c>
      <c r="I38" s="11">
        <v>2.6482999999999999</v>
      </c>
      <c r="J38" s="11">
        <v>497.09</v>
      </c>
      <c r="K38" s="11">
        <v>3.1224E-3</v>
      </c>
      <c r="L38" s="11">
        <v>58.691000000000003</v>
      </c>
      <c r="M38" s="11">
        <v>8.3384E-2</v>
      </c>
      <c r="N38" s="2">
        <v>2.5054999999999999E-3</v>
      </c>
      <c r="O38" s="2">
        <v>56.701000000000001</v>
      </c>
      <c r="P38" s="2">
        <v>1.7637E-2</v>
      </c>
      <c r="Q38" s="2">
        <v>62.866</v>
      </c>
      <c r="R38" s="2">
        <v>86.542000000000002</v>
      </c>
      <c r="S38" s="2">
        <v>4.8479999999999999</v>
      </c>
      <c r="T38" s="2">
        <v>0.91488999999999998</v>
      </c>
      <c r="U38" s="2">
        <v>1.9359</v>
      </c>
      <c r="V38" s="2">
        <v>181.39</v>
      </c>
      <c r="W38" s="2">
        <v>0.18872</v>
      </c>
      <c r="X38" s="2">
        <v>8.4194999999999993</v>
      </c>
      <c r="Y38" s="2">
        <v>1.3224E-2</v>
      </c>
    </row>
    <row r="39" spans="1:25" ht="12.3">
      <c r="A39" s="11">
        <v>108.93</v>
      </c>
      <c r="B39" s="11">
        <v>199.7</v>
      </c>
      <c r="C39" s="11">
        <v>629.62</v>
      </c>
      <c r="D39" s="11">
        <v>1.5881999999999999E-3</v>
      </c>
      <c r="E39" s="11">
        <v>-53.497999999999998</v>
      </c>
      <c r="F39" s="11">
        <v>-51.311</v>
      </c>
      <c r="G39" s="11">
        <v>3.577</v>
      </c>
      <c r="H39" s="11">
        <v>0.96699000000000002</v>
      </c>
      <c r="I39" s="11">
        <v>2.6737000000000002</v>
      </c>
      <c r="J39" s="11">
        <v>491.25</v>
      </c>
      <c r="K39" s="11">
        <v>3.3874999999999999E-3</v>
      </c>
      <c r="L39" s="11">
        <v>57.912999999999997</v>
      </c>
      <c r="M39" s="11">
        <v>8.2542000000000004E-2</v>
      </c>
      <c r="N39" s="2">
        <v>2.4302E-3</v>
      </c>
      <c r="O39" s="2">
        <v>58.322000000000003</v>
      </c>
      <c r="P39" s="2">
        <v>1.7146000000000002E-2</v>
      </c>
      <c r="Q39" s="2">
        <v>62.75</v>
      </c>
      <c r="R39" s="2">
        <v>86.358000000000004</v>
      </c>
      <c r="S39" s="2">
        <v>4.8407999999999998</v>
      </c>
      <c r="T39" s="2">
        <v>0.91859999999999997</v>
      </c>
      <c r="U39" s="2">
        <v>1.9695</v>
      </c>
      <c r="V39" s="2">
        <v>181.22</v>
      </c>
      <c r="W39" s="2">
        <v>0.18731999999999999</v>
      </c>
      <c r="X39" s="2">
        <v>8.4771999999999998</v>
      </c>
      <c r="Y39" s="2">
        <v>1.3391E-2</v>
      </c>
    </row>
    <row r="40" spans="1:25" ht="12.3">
      <c r="A40" s="11">
        <v>109.35</v>
      </c>
      <c r="B40" s="11">
        <v>204.7</v>
      </c>
      <c r="C40" s="11">
        <v>626.45000000000005</v>
      </c>
      <c r="D40" s="11">
        <v>1.5962999999999999E-3</v>
      </c>
      <c r="E40" s="11">
        <v>-52.46</v>
      </c>
      <c r="F40" s="11">
        <v>-50.207000000000001</v>
      </c>
      <c r="G40" s="11">
        <v>3.5865999999999998</v>
      </c>
      <c r="H40" s="11">
        <v>0.96682999999999997</v>
      </c>
      <c r="I40" s="11">
        <v>2.7</v>
      </c>
      <c r="J40" s="11">
        <v>485.46</v>
      </c>
      <c r="K40" s="11">
        <v>3.6584E-3</v>
      </c>
      <c r="L40" s="11">
        <v>57.155000000000001</v>
      </c>
      <c r="M40" s="11">
        <v>8.1713999999999995E-2</v>
      </c>
      <c r="N40" s="2">
        <v>2.3565999999999999E-3</v>
      </c>
      <c r="O40" s="2">
        <v>59.96</v>
      </c>
      <c r="P40" s="2">
        <v>1.6677999999999998E-2</v>
      </c>
      <c r="Q40" s="2">
        <v>62.625</v>
      </c>
      <c r="R40" s="2">
        <v>86.164000000000001</v>
      </c>
      <c r="S40" s="2">
        <v>4.8337000000000003</v>
      </c>
      <c r="T40" s="2">
        <v>0.92234000000000005</v>
      </c>
      <c r="U40" s="2">
        <v>2.0043000000000002</v>
      </c>
      <c r="V40" s="2">
        <v>181.05</v>
      </c>
      <c r="W40" s="2">
        <v>0.18595</v>
      </c>
      <c r="X40" s="2">
        <v>8.5348000000000006</v>
      </c>
      <c r="Y40" s="2">
        <v>1.3561E-2</v>
      </c>
    </row>
    <row r="41" spans="1:25" ht="12.3">
      <c r="A41" s="11">
        <v>109.76</v>
      </c>
      <c r="B41" s="11">
        <v>209.7</v>
      </c>
      <c r="C41" s="11">
        <v>623.28</v>
      </c>
      <c r="D41" s="11">
        <v>1.6044E-3</v>
      </c>
      <c r="E41" s="11">
        <v>-51.433999999999997</v>
      </c>
      <c r="F41" s="11">
        <v>-49.115000000000002</v>
      </c>
      <c r="G41" s="11">
        <v>3.5960000000000001</v>
      </c>
      <c r="H41" s="11">
        <v>0.96675</v>
      </c>
      <c r="I41" s="11">
        <v>2.7271000000000001</v>
      </c>
      <c r="J41" s="11">
        <v>479.74</v>
      </c>
      <c r="K41" s="11">
        <v>3.9351000000000004E-3</v>
      </c>
      <c r="L41" s="11">
        <v>56.414999999999999</v>
      </c>
      <c r="M41" s="11">
        <v>8.0902000000000002E-2</v>
      </c>
      <c r="N41" s="2">
        <v>2.2848E-3</v>
      </c>
      <c r="O41" s="2">
        <v>61.613</v>
      </c>
      <c r="P41" s="2">
        <v>1.6230000000000001E-2</v>
      </c>
      <c r="Q41" s="2">
        <v>62.493000000000002</v>
      </c>
      <c r="R41" s="2">
        <v>85.959000000000003</v>
      </c>
      <c r="S41" s="2">
        <v>4.8266</v>
      </c>
      <c r="T41" s="2">
        <v>0.92613000000000001</v>
      </c>
      <c r="U41" s="2">
        <v>2.0402999999999998</v>
      </c>
      <c r="V41" s="2">
        <v>180.87</v>
      </c>
      <c r="W41" s="2">
        <v>0.18459999999999999</v>
      </c>
      <c r="X41" s="2">
        <v>8.5924999999999994</v>
      </c>
      <c r="Y41" s="2">
        <v>1.3733E-2</v>
      </c>
    </row>
    <row r="42" spans="1:25" ht="12.3">
      <c r="A42" s="11">
        <v>110.17</v>
      </c>
      <c r="B42" s="11">
        <v>214.7</v>
      </c>
      <c r="C42" s="11">
        <v>620.13</v>
      </c>
      <c r="D42" s="11">
        <v>1.6126000000000001E-3</v>
      </c>
      <c r="E42" s="11">
        <v>-50.418999999999997</v>
      </c>
      <c r="F42" s="11">
        <v>-48.031999999999996</v>
      </c>
      <c r="G42" s="11">
        <v>3.6053999999999999</v>
      </c>
      <c r="H42" s="11">
        <v>0.96675</v>
      </c>
      <c r="I42" s="11">
        <v>2.7551999999999999</v>
      </c>
      <c r="J42" s="11">
        <v>474.06</v>
      </c>
      <c r="K42" s="11">
        <v>4.2180000000000004E-3</v>
      </c>
      <c r="L42" s="11">
        <v>55.691000000000003</v>
      </c>
      <c r="M42" s="11">
        <v>8.0102999999999994E-2</v>
      </c>
      <c r="N42" s="2">
        <v>2.2146000000000002E-3</v>
      </c>
      <c r="O42" s="2">
        <v>63.283000000000001</v>
      </c>
      <c r="P42" s="2">
        <v>1.5802E-2</v>
      </c>
      <c r="Q42" s="2">
        <v>62.351999999999997</v>
      </c>
      <c r="R42" s="2">
        <v>85.742999999999995</v>
      </c>
      <c r="S42" s="2">
        <v>4.8197000000000001</v>
      </c>
      <c r="T42" s="2">
        <v>0.92996999999999996</v>
      </c>
      <c r="U42" s="2">
        <v>2.0777000000000001</v>
      </c>
      <c r="V42" s="2">
        <v>180.68</v>
      </c>
      <c r="W42" s="2">
        <v>0.18326999999999999</v>
      </c>
      <c r="X42" s="2">
        <v>8.6502999999999997</v>
      </c>
      <c r="Y42" s="2">
        <v>1.3908E-2</v>
      </c>
    </row>
    <row r="43" spans="1:25" ht="12.3">
      <c r="A43" s="11">
        <v>110.57</v>
      </c>
      <c r="B43" s="11">
        <v>219.7</v>
      </c>
      <c r="C43" s="11">
        <v>616.99</v>
      </c>
      <c r="D43" s="11">
        <v>1.6207999999999999E-3</v>
      </c>
      <c r="E43" s="11">
        <v>-49.414000000000001</v>
      </c>
      <c r="F43" s="11">
        <v>-46.959000000000003</v>
      </c>
      <c r="G43" s="11">
        <v>3.6145999999999998</v>
      </c>
      <c r="H43" s="11">
        <v>0.96682000000000001</v>
      </c>
      <c r="I43" s="11">
        <v>2.7841</v>
      </c>
      <c r="J43" s="11">
        <v>468.44</v>
      </c>
      <c r="K43" s="11">
        <v>4.5073999999999999E-3</v>
      </c>
      <c r="L43" s="11">
        <v>54.982999999999997</v>
      </c>
      <c r="M43" s="11">
        <v>7.9318E-2</v>
      </c>
      <c r="N43" s="2">
        <v>2.1459999999999999E-3</v>
      </c>
      <c r="O43" s="2">
        <v>64.97</v>
      </c>
      <c r="P43" s="2">
        <v>1.5391999999999999E-2</v>
      </c>
      <c r="Q43" s="2">
        <v>62.203000000000003</v>
      </c>
      <c r="R43" s="2">
        <v>85.518000000000001</v>
      </c>
      <c r="S43" s="2">
        <v>4.8127000000000004</v>
      </c>
      <c r="T43" s="2">
        <v>0.93388000000000004</v>
      </c>
      <c r="U43" s="2">
        <v>2.1164000000000001</v>
      </c>
      <c r="V43" s="2">
        <v>180.49</v>
      </c>
      <c r="W43" s="2">
        <v>0.18195</v>
      </c>
      <c r="X43" s="2">
        <v>8.7081</v>
      </c>
      <c r="Y43" s="2">
        <v>1.4085E-2</v>
      </c>
    </row>
    <row r="44" spans="1:25" ht="12.3">
      <c r="A44" s="11">
        <v>110.96</v>
      </c>
      <c r="B44" s="11">
        <v>224.7</v>
      </c>
      <c r="C44" s="11">
        <v>613.85</v>
      </c>
      <c r="D44" s="11">
        <v>1.6291000000000001E-3</v>
      </c>
      <c r="E44" s="11">
        <v>-48.418999999999997</v>
      </c>
      <c r="F44" s="11">
        <v>-45.895000000000003</v>
      </c>
      <c r="G44" s="11">
        <v>3.6236999999999999</v>
      </c>
      <c r="H44" s="11">
        <v>0.96697</v>
      </c>
      <c r="I44" s="11">
        <v>2.8140999999999998</v>
      </c>
      <c r="J44" s="11">
        <v>462.86</v>
      </c>
      <c r="K44" s="11">
        <v>4.8032999999999999E-3</v>
      </c>
      <c r="L44" s="11">
        <v>54.29</v>
      </c>
      <c r="M44" s="11">
        <v>7.8545000000000004E-2</v>
      </c>
      <c r="N44" s="2">
        <v>2.0788999999999998E-3</v>
      </c>
      <c r="O44" s="2">
        <v>66.674999999999997</v>
      </c>
      <c r="P44" s="2">
        <v>1.4997999999999999E-2</v>
      </c>
      <c r="Q44" s="2">
        <v>62.045999999999999</v>
      </c>
      <c r="R44" s="2">
        <v>85.281000000000006</v>
      </c>
      <c r="S44" s="2">
        <v>4.8059000000000003</v>
      </c>
      <c r="T44" s="2">
        <v>0.93786000000000003</v>
      </c>
      <c r="U44" s="2">
        <v>2.1566999999999998</v>
      </c>
      <c r="V44" s="2">
        <v>180.3</v>
      </c>
      <c r="W44" s="2">
        <v>0.18065000000000001</v>
      </c>
      <c r="X44" s="2">
        <v>8.7660999999999998</v>
      </c>
      <c r="Y44" s="2">
        <v>1.4265999999999999E-2</v>
      </c>
    </row>
    <row r="45" spans="1:25" ht="12.3">
      <c r="A45" s="11">
        <v>111.35</v>
      </c>
      <c r="B45" s="11">
        <v>229.7</v>
      </c>
      <c r="C45" s="11">
        <v>610.73</v>
      </c>
      <c r="D45" s="11">
        <v>1.6374E-3</v>
      </c>
      <c r="E45" s="11">
        <v>-47.433</v>
      </c>
      <c r="F45" s="11">
        <v>-44.84</v>
      </c>
      <c r="G45" s="11">
        <v>3.6326999999999998</v>
      </c>
      <c r="H45" s="11">
        <v>0.96719999999999995</v>
      </c>
      <c r="I45" s="11">
        <v>2.8451</v>
      </c>
      <c r="J45" s="11">
        <v>457.33</v>
      </c>
      <c r="K45" s="11">
        <v>5.1062E-3</v>
      </c>
      <c r="L45" s="11">
        <v>53.610999999999997</v>
      </c>
      <c r="M45" s="11">
        <v>7.7785000000000007E-2</v>
      </c>
      <c r="N45" s="2">
        <v>2.0133E-3</v>
      </c>
      <c r="O45" s="2">
        <v>68.399000000000001</v>
      </c>
      <c r="P45" s="2">
        <v>1.4619999999999999E-2</v>
      </c>
      <c r="Q45" s="2">
        <v>61.88</v>
      </c>
      <c r="R45" s="2">
        <v>85.034999999999997</v>
      </c>
      <c r="S45" s="2">
        <v>4.7991000000000001</v>
      </c>
      <c r="T45" s="2">
        <v>0.94191999999999998</v>
      </c>
      <c r="U45" s="2">
        <v>2.1985999999999999</v>
      </c>
      <c r="V45" s="2">
        <v>180.1</v>
      </c>
      <c r="W45" s="2">
        <v>0.17935999999999999</v>
      </c>
      <c r="X45" s="2">
        <v>8.8241999999999994</v>
      </c>
      <c r="Y45" s="2">
        <v>1.4449999999999999E-2</v>
      </c>
    </row>
    <row r="46" spans="1:25" ht="12.3">
      <c r="A46" s="11">
        <v>111.73</v>
      </c>
      <c r="B46" s="11">
        <v>234.7</v>
      </c>
      <c r="C46" s="11">
        <v>607.6</v>
      </c>
      <c r="D46" s="11">
        <v>1.6458E-3</v>
      </c>
      <c r="E46" s="11">
        <v>-46.456000000000003</v>
      </c>
      <c r="F46" s="11">
        <v>-43.792000000000002</v>
      </c>
      <c r="G46" s="11">
        <v>3.6415999999999999</v>
      </c>
      <c r="H46" s="11">
        <v>0.96750000000000003</v>
      </c>
      <c r="I46" s="11">
        <v>2.8772000000000002</v>
      </c>
      <c r="J46" s="11">
        <v>451.84</v>
      </c>
      <c r="K46" s="11">
        <v>5.4162999999999998E-3</v>
      </c>
      <c r="L46" s="11">
        <v>52.945</v>
      </c>
      <c r="M46" s="11">
        <v>7.7036999999999994E-2</v>
      </c>
      <c r="N46" s="2">
        <v>1.9492000000000001E-3</v>
      </c>
      <c r="O46" s="2">
        <v>70.141000000000005</v>
      </c>
      <c r="P46" s="2">
        <v>1.4257000000000001E-2</v>
      </c>
      <c r="Q46" s="2">
        <v>61.707000000000001</v>
      </c>
      <c r="R46" s="2">
        <v>84.778000000000006</v>
      </c>
      <c r="S46" s="2">
        <v>4.7923</v>
      </c>
      <c r="T46" s="2">
        <v>0.94606000000000001</v>
      </c>
      <c r="U46" s="2">
        <v>2.2422</v>
      </c>
      <c r="V46" s="2">
        <v>179.9</v>
      </c>
      <c r="W46" s="2">
        <v>0.17807000000000001</v>
      </c>
      <c r="X46" s="2">
        <v>8.8825000000000003</v>
      </c>
      <c r="Y46" s="2">
        <v>1.4638E-2</v>
      </c>
    </row>
    <row r="47" spans="1:25" ht="12.3">
      <c r="A47" s="11">
        <v>112.1</v>
      </c>
      <c r="B47" s="11">
        <v>239.7</v>
      </c>
      <c r="C47" s="11">
        <v>604.49</v>
      </c>
      <c r="D47" s="11">
        <v>1.6543E-3</v>
      </c>
      <c r="E47" s="11">
        <v>-45.485999999999997</v>
      </c>
      <c r="F47" s="11">
        <v>-42.752000000000002</v>
      </c>
      <c r="G47" s="11">
        <v>3.6503999999999999</v>
      </c>
      <c r="H47" s="11">
        <v>0.96787999999999996</v>
      </c>
      <c r="I47" s="11">
        <v>2.9104000000000001</v>
      </c>
      <c r="J47" s="11">
        <v>446.38</v>
      </c>
      <c r="K47" s="11">
        <v>5.7339000000000001E-3</v>
      </c>
      <c r="L47" s="11">
        <v>52.292000000000002</v>
      </c>
      <c r="M47" s="11">
        <v>7.6300999999999994E-2</v>
      </c>
      <c r="N47" s="2">
        <v>1.8864000000000001E-3</v>
      </c>
      <c r="O47" s="2">
        <v>71.903000000000006</v>
      </c>
      <c r="P47" s="2">
        <v>1.3908E-2</v>
      </c>
      <c r="Q47" s="2">
        <v>61.526000000000003</v>
      </c>
      <c r="R47" s="2">
        <v>84.510999999999996</v>
      </c>
      <c r="S47" s="2">
        <v>4.7855999999999996</v>
      </c>
      <c r="T47" s="2">
        <v>0.95030000000000003</v>
      </c>
      <c r="U47" s="2">
        <v>2.2875999999999999</v>
      </c>
      <c r="V47" s="2">
        <v>179.69</v>
      </c>
      <c r="W47" s="2">
        <v>0.17680000000000001</v>
      </c>
      <c r="X47" s="2">
        <v>8.9411000000000005</v>
      </c>
      <c r="Y47" s="2">
        <v>1.4829999999999999E-2</v>
      </c>
    </row>
    <row r="48" spans="1:25" ht="12.3">
      <c r="A48" s="11">
        <v>112.47</v>
      </c>
      <c r="B48" s="11">
        <v>244.7</v>
      </c>
      <c r="C48" s="11">
        <v>601.37</v>
      </c>
      <c r="D48" s="11">
        <v>1.6628999999999999E-3</v>
      </c>
      <c r="E48" s="11">
        <v>-44.524000000000001</v>
      </c>
      <c r="F48" s="11">
        <v>-41.719000000000001</v>
      </c>
      <c r="G48" s="11">
        <v>3.6591</v>
      </c>
      <c r="H48" s="11">
        <v>0.96833999999999998</v>
      </c>
      <c r="I48" s="11">
        <v>2.9449999999999998</v>
      </c>
      <c r="J48" s="11">
        <v>440.97</v>
      </c>
      <c r="K48" s="11">
        <v>6.0593000000000001E-3</v>
      </c>
      <c r="L48" s="11">
        <v>51.65</v>
      </c>
      <c r="M48" s="11">
        <v>7.5576000000000004E-2</v>
      </c>
      <c r="N48" s="2">
        <v>1.825E-3</v>
      </c>
      <c r="O48" s="2">
        <v>73.686000000000007</v>
      </c>
      <c r="P48" s="2">
        <v>1.3571E-2</v>
      </c>
      <c r="Q48" s="2">
        <v>61.337000000000003</v>
      </c>
      <c r="R48" s="2">
        <v>84.233000000000004</v>
      </c>
      <c r="S48" s="2">
        <v>4.7789000000000001</v>
      </c>
      <c r="T48" s="2">
        <v>0.95464000000000004</v>
      </c>
      <c r="U48" s="2">
        <v>2.3349000000000002</v>
      </c>
      <c r="V48" s="2">
        <v>179.47</v>
      </c>
      <c r="W48" s="2">
        <v>0.17552999999999999</v>
      </c>
      <c r="X48" s="2">
        <v>9</v>
      </c>
      <c r="Y48" s="2">
        <v>1.5025E-2</v>
      </c>
    </row>
    <row r="49" spans="1:25" ht="12.3">
      <c r="A49" s="11">
        <v>112.84</v>
      </c>
      <c r="B49" s="11">
        <v>249.7</v>
      </c>
      <c r="C49" s="11">
        <v>598.25</v>
      </c>
      <c r="D49" s="11">
        <v>1.6715E-3</v>
      </c>
      <c r="E49" s="11">
        <v>-43.57</v>
      </c>
      <c r="F49" s="11">
        <v>-40.692</v>
      </c>
      <c r="G49" s="11">
        <v>3.6677</v>
      </c>
      <c r="H49" s="11">
        <v>0.96887999999999996</v>
      </c>
      <c r="I49" s="11">
        <v>2.9807999999999999</v>
      </c>
      <c r="J49" s="11">
        <v>435.6</v>
      </c>
      <c r="K49" s="11">
        <v>6.3929E-3</v>
      </c>
      <c r="L49" s="11">
        <v>51.02</v>
      </c>
      <c r="M49" s="11">
        <v>7.4861999999999998E-2</v>
      </c>
      <c r="N49" s="2">
        <v>1.7649E-3</v>
      </c>
      <c r="O49" s="2">
        <v>75.489999999999995</v>
      </c>
      <c r="P49" s="2">
        <v>1.3247E-2</v>
      </c>
      <c r="Q49" s="2">
        <v>61.14</v>
      </c>
      <c r="R49" s="2">
        <v>83.945999999999998</v>
      </c>
      <c r="S49" s="2">
        <v>4.7721999999999998</v>
      </c>
      <c r="T49" s="2">
        <v>0.95909</v>
      </c>
      <c r="U49" s="2">
        <v>2.3843000000000001</v>
      </c>
      <c r="V49" s="2">
        <v>179.25</v>
      </c>
      <c r="W49" s="2">
        <v>0.17427000000000001</v>
      </c>
      <c r="X49" s="2">
        <v>9.0592000000000006</v>
      </c>
      <c r="Y49" s="2">
        <v>1.5224E-2</v>
      </c>
    </row>
    <row r="50" spans="1:25" ht="12.3">
      <c r="A50" s="11">
        <v>113.2</v>
      </c>
      <c r="B50" s="11">
        <v>254.7</v>
      </c>
      <c r="C50" s="11">
        <v>595.14</v>
      </c>
      <c r="D50" s="11">
        <v>1.6803E-3</v>
      </c>
      <c r="E50" s="11">
        <v>-42.622</v>
      </c>
      <c r="F50" s="11">
        <v>-39.670999999999999</v>
      </c>
      <c r="G50" s="11">
        <v>3.6762000000000001</v>
      </c>
      <c r="H50" s="11">
        <v>0.96950000000000003</v>
      </c>
      <c r="I50" s="11">
        <v>3.0179999999999998</v>
      </c>
      <c r="J50" s="11">
        <v>430.25</v>
      </c>
      <c r="K50" s="11">
        <v>6.7348E-3</v>
      </c>
      <c r="L50" s="11">
        <v>50.399000000000001</v>
      </c>
      <c r="M50" s="11">
        <v>7.4158000000000002E-2</v>
      </c>
      <c r="N50" s="2">
        <v>1.7060000000000001E-3</v>
      </c>
      <c r="O50" s="2">
        <v>77.316000000000003</v>
      </c>
      <c r="P50" s="2">
        <v>1.2933999999999999E-2</v>
      </c>
      <c r="Q50" s="2">
        <v>60.933999999999997</v>
      </c>
      <c r="R50" s="2">
        <v>83.647999999999996</v>
      </c>
      <c r="S50" s="2">
        <v>4.7656000000000001</v>
      </c>
      <c r="T50" s="2">
        <v>0.96365000000000001</v>
      </c>
      <c r="U50" s="2">
        <v>2.4359000000000002</v>
      </c>
      <c r="V50" s="2">
        <v>179.03</v>
      </c>
      <c r="W50" s="2">
        <v>0.17301</v>
      </c>
      <c r="X50" s="2">
        <v>9.1188000000000002</v>
      </c>
      <c r="Y50" s="2">
        <v>1.5428000000000001E-2</v>
      </c>
    </row>
    <row r="51" spans="1:25" ht="12.3">
      <c r="A51" s="11">
        <v>113.55</v>
      </c>
      <c r="B51" s="11">
        <v>259.7</v>
      </c>
      <c r="C51" s="11">
        <v>592.02</v>
      </c>
      <c r="D51" s="11">
        <v>1.6891E-3</v>
      </c>
      <c r="E51" s="11">
        <v>-41.68</v>
      </c>
      <c r="F51" s="11">
        <v>-38.655000000000001</v>
      </c>
      <c r="G51" s="11">
        <v>3.6846000000000001</v>
      </c>
      <c r="H51" s="11">
        <v>0.97019999999999995</v>
      </c>
      <c r="I51" s="11">
        <v>3.0567000000000002</v>
      </c>
      <c r="J51" s="11">
        <v>424.94</v>
      </c>
      <c r="K51" s="11">
        <v>7.0857000000000003E-3</v>
      </c>
      <c r="L51" s="11">
        <v>49.789000000000001</v>
      </c>
      <c r="M51" s="11">
        <v>7.3465000000000003E-2</v>
      </c>
      <c r="N51" s="2">
        <v>1.6484E-3</v>
      </c>
      <c r="O51" s="2">
        <v>79.164000000000001</v>
      </c>
      <c r="P51" s="2">
        <v>1.2632000000000001E-2</v>
      </c>
      <c r="Q51" s="2">
        <v>60.720999999999997</v>
      </c>
      <c r="R51" s="2">
        <v>83.338999999999999</v>
      </c>
      <c r="S51" s="2">
        <v>4.7590000000000003</v>
      </c>
      <c r="T51" s="2">
        <v>0.96833000000000002</v>
      </c>
      <c r="U51" s="2">
        <v>2.4899</v>
      </c>
      <c r="V51" s="2">
        <v>178.79</v>
      </c>
      <c r="W51" s="2">
        <v>0.17175000000000001</v>
      </c>
      <c r="X51" s="2">
        <v>9.1788000000000007</v>
      </c>
      <c r="Y51" s="2">
        <v>1.5637000000000002E-2</v>
      </c>
    </row>
    <row r="52" spans="1:25" ht="12.3">
      <c r="A52" s="11">
        <v>113.9</v>
      </c>
      <c r="B52" s="11">
        <v>264.7</v>
      </c>
      <c r="C52" s="11">
        <v>588.9</v>
      </c>
      <c r="D52" s="11">
        <v>1.6980999999999999E-3</v>
      </c>
      <c r="E52" s="11">
        <v>-40.743000000000002</v>
      </c>
      <c r="F52" s="11">
        <v>-37.643999999999998</v>
      </c>
      <c r="G52" s="11">
        <v>3.6930000000000001</v>
      </c>
      <c r="H52" s="11">
        <v>0.97099000000000002</v>
      </c>
      <c r="I52" s="11">
        <v>3.097</v>
      </c>
      <c r="J52" s="11">
        <v>419.66</v>
      </c>
      <c r="K52" s="11">
        <v>7.4457000000000004E-3</v>
      </c>
      <c r="L52" s="11">
        <v>49.186999999999998</v>
      </c>
      <c r="M52" s="11">
        <v>7.2780999999999998E-2</v>
      </c>
      <c r="N52" s="2">
        <v>1.5919E-3</v>
      </c>
      <c r="O52" s="2">
        <v>81.037000000000006</v>
      </c>
      <c r="P52" s="2">
        <v>1.234E-2</v>
      </c>
      <c r="Q52" s="2">
        <v>60.499000000000002</v>
      </c>
      <c r="R52" s="2">
        <v>83.02</v>
      </c>
      <c r="S52" s="2">
        <v>4.7523999999999997</v>
      </c>
      <c r="T52" s="2">
        <v>0.97311999999999999</v>
      </c>
      <c r="U52" s="2">
        <v>2.5463</v>
      </c>
      <c r="V52" s="2">
        <v>178.56</v>
      </c>
      <c r="W52" s="2">
        <v>0.17050000000000001</v>
      </c>
      <c r="X52" s="2">
        <v>9.2393000000000001</v>
      </c>
      <c r="Y52" s="2">
        <v>1.585E-2</v>
      </c>
    </row>
    <row r="53" spans="1:25" ht="12.3">
      <c r="A53" s="11">
        <v>114.24</v>
      </c>
      <c r="B53" s="11">
        <v>269.7</v>
      </c>
      <c r="C53" s="11">
        <v>585.77</v>
      </c>
      <c r="D53" s="11">
        <v>1.7072000000000001E-3</v>
      </c>
      <c r="E53" s="11">
        <v>-39.813000000000002</v>
      </c>
      <c r="F53" s="11">
        <v>-36.637999999999998</v>
      </c>
      <c r="G53" s="11">
        <v>3.7012999999999998</v>
      </c>
      <c r="H53" s="11">
        <v>0.97185999999999995</v>
      </c>
      <c r="I53" s="11">
        <v>3.1389999999999998</v>
      </c>
      <c r="J53" s="11">
        <v>414.4</v>
      </c>
      <c r="K53" s="11">
        <v>7.8154000000000001E-3</v>
      </c>
      <c r="L53" s="11">
        <v>48.594999999999999</v>
      </c>
      <c r="M53" s="11">
        <v>7.2107000000000004E-2</v>
      </c>
      <c r="N53" s="2">
        <v>1.5365999999999999E-3</v>
      </c>
      <c r="O53" s="2">
        <v>82.933999999999997</v>
      </c>
      <c r="P53" s="2">
        <v>1.2057999999999999E-2</v>
      </c>
      <c r="Q53" s="2">
        <v>60.268999999999998</v>
      </c>
      <c r="R53" s="2">
        <v>82.691000000000003</v>
      </c>
      <c r="S53" s="2">
        <v>4.7458</v>
      </c>
      <c r="T53" s="2">
        <v>0.97804000000000002</v>
      </c>
      <c r="U53" s="2">
        <v>2.6053999999999999</v>
      </c>
      <c r="V53" s="2">
        <v>178.32</v>
      </c>
      <c r="W53" s="2">
        <v>0.16924</v>
      </c>
      <c r="X53" s="2">
        <v>9.3003</v>
      </c>
      <c r="Y53" s="2">
        <v>1.6069E-2</v>
      </c>
    </row>
    <row r="54" spans="1:25" ht="12.3">
      <c r="A54" s="11">
        <v>114.58</v>
      </c>
      <c r="B54" s="11">
        <v>274.7</v>
      </c>
      <c r="C54" s="11">
        <v>582.63</v>
      </c>
      <c r="D54" s="11">
        <v>1.7163E-3</v>
      </c>
      <c r="E54" s="11">
        <v>-38.887</v>
      </c>
      <c r="F54" s="11">
        <v>-35.636000000000003</v>
      </c>
      <c r="G54" s="11">
        <v>3.7096</v>
      </c>
      <c r="H54" s="11">
        <v>0.97282999999999997</v>
      </c>
      <c r="I54" s="11">
        <v>3.1827999999999999</v>
      </c>
      <c r="J54" s="11">
        <v>409.17</v>
      </c>
      <c r="K54" s="11">
        <v>8.1951000000000003E-3</v>
      </c>
      <c r="L54" s="11">
        <v>48.01</v>
      </c>
      <c r="M54" s="11">
        <v>7.1443000000000006E-2</v>
      </c>
      <c r="N54" s="2">
        <v>1.4824E-3</v>
      </c>
      <c r="O54" s="2">
        <v>84.855999999999995</v>
      </c>
      <c r="P54" s="2">
        <v>1.1785E-2</v>
      </c>
      <c r="Q54" s="2">
        <v>60.030999999999999</v>
      </c>
      <c r="R54" s="2">
        <v>82.350999999999999</v>
      </c>
      <c r="S54" s="2">
        <v>4.7393000000000001</v>
      </c>
      <c r="T54" s="2">
        <v>0.98309000000000002</v>
      </c>
      <c r="U54" s="2">
        <v>2.6674000000000002</v>
      </c>
      <c r="V54" s="2">
        <v>178.07</v>
      </c>
      <c r="W54" s="2">
        <v>0.16799</v>
      </c>
      <c r="X54" s="2">
        <v>9.3618000000000006</v>
      </c>
      <c r="Y54" s="2">
        <v>1.6292000000000001E-2</v>
      </c>
    </row>
    <row r="55" spans="1:25" ht="12.3">
      <c r="A55" s="11">
        <v>114.92</v>
      </c>
      <c r="B55" s="11">
        <v>279.7</v>
      </c>
      <c r="C55" s="11">
        <v>579.49</v>
      </c>
      <c r="D55" s="11">
        <v>1.7256999999999999E-3</v>
      </c>
      <c r="E55" s="11">
        <v>-37.965000000000003</v>
      </c>
      <c r="F55" s="11">
        <v>-34.637</v>
      </c>
      <c r="G55" s="11">
        <v>3.7176999999999998</v>
      </c>
      <c r="H55" s="11">
        <v>0.97387999999999997</v>
      </c>
      <c r="I55" s="11">
        <v>3.2286000000000001</v>
      </c>
      <c r="J55" s="11">
        <v>403.97</v>
      </c>
      <c r="K55" s="11">
        <v>8.5854E-3</v>
      </c>
      <c r="L55" s="11">
        <v>47.433</v>
      </c>
      <c r="M55" s="11">
        <v>7.0788000000000004E-2</v>
      </c>
      <c r="N55" s="2">
        <v>1.4293000000000001E-3</v>
      </c>
      <c r="O55" s="2">
        <v>86.805000000000007</v>
      </c>
      <c r="P55" s="2">
        <v>1.1520000000000001E-2</v>
      </c>
      <c r="Q55" s="2">
        <v>59.783999999999999</v>
      </c>
      <c r="R55" s="2">
        <v>82</v>
      </c>
      <c r="S55" s="2">
        <v>4.7327000000000004</v>
      </c>
      <c r="T55" s="2">
        <v>0.98826000000000003</v>
      </c>
      <c r="U55" s="2">
        <v>2.7324000000000002</v>
      </c>
      <c r="V55" s="2">
        <v>177.81</v>
      </c>
      <c r="W55" s="2">
        <v>0.16672999999999999</v>
      </c>
      <c r="X55" s="2">
        <v>9.4238999999999997</v>
      </c>
      <c r="Y55" s="2">
        <v>1.6521999999999998E-2</v>
      </c>
    </row>
    <row r="56" spans="1:25" ht="12.3">
      <c r="A56" s="11">
        <v>115.25</v>
      </c>
      <c r="B56" s="11">
        <v>284.7</v>
      </c>
      <c r="C56" s="11">
        <v>576.33000000000004</v>
      </c>
      <c r="D56" s="11">
        <v>1.7351000000000001E-3</v>
      </c>
      <c r="E56" s="11">
        <v>-37.046999999999997</v>
      </c>
      <c r="F56" s="11">
        <v>-33.642000000000003</v>
      </c>
      <c r="G56" s="11">
        <v>3.7259000000000002</v>
      </c>
      <c r="H56" s="11">
        <v>0.97502999999999995</v>
      </c>
      <c r="I56" s="11">
        <v>3.2764000000000002</v>
      </c>
      <c r="J56" s="11">
        <v>398.78</v>
      </c>
      <c r="K56" s="11">
        <v>8.9867000000000002E-3</v>
      </c>
      <c r="L56" s="11">
        <v>46.863</v>
      </c>
      <c r="M56" s="11">
        <v>7.0140999999999995E-2</v>
      </c>
      <c r="N56" s="2">
        <v>1.3772999999999999E-3</v>
      </c>
      <c r="O56" s="2">
        <v>88.781999999999996</v>
      </c>
      <c r="P56" s="2">
        <v>1.1264E-2</v>
      </c>
      <c r="Q56" s="2">
        <v>59.527999999999999</v>
      </c>
      <c r="R56" s="2">
        <v>81.638000000000005</v>
      </c>
      <c r="S56" s="2">
        <v>4.7260999999999997</v>
      </c>
      <c r="T56" s="2">
        <v>0.99356999999999995</v>
      </c>
      <c r="U56" s="2">
        <v>2.8006000000000002</v>
      </c>
      <c r="V56" s="2">
        <v>177.55</v>
      </c>
      <c r="W56" s="2">
        <v>0.16547000000000001</v>
      </c>
      <c r="X56" s="2">
        <v>9.4867000000000008</v>
      </c>
      <c r="Y56" s="2">
        <v>1.6757999999999999E-2</v>
      </c>
    </row>
    <row r="57" spans="1:25" ht="12.3">
      <c r="A57" s="11">
        <v>115.57</v>
      </c>
      <c r="B57" s="11">
        <v>289.7</v>
      </c>
      <c r="C57" s="11">
        <v>573.16999999999996</v>
      </c>
      <c r="D57" s="11">
        <v>1.7447000000000001E-3</v>
      </c>
      <c r="E57" s="11">
        <v>-36.134</v>
      </c>
      <c r="F57" s="11">
        <v>-32.649000000000001</v>
      </c>
      <c r="G57" s="11">
        <v>3.734</v>
      </c>
      <c r="H57" s="11">
        <v>0.97628000000000004</v>
      </c>
      <c r="I57" s="11">
        <v>3.3264</v>
      </c>
      <c r="J57" s="11">
        <v>393.61</v>
      </c>
      <c r="K57" s="11">
        <v>9.3994999999999999E-3</v>
      </c>
      <c r="L57" s="11">
        <v>46.3</v>
      </c>
      <c r="M57" s="11">
        <v>6.9503999999999996E-2</v>
      </c>
      <c r="N57" s="2">
        <v>1.3263000000000001E-3</v>
      </c>
      <c r="O57" s="2">
        <v>90.787000000000006</v>
      </c>
      <c r="P57" s="2">
        <v>1.1015E-2</v>
      </c>
      <c r="Q57" s="2">
        <v>59.262999999999998</v>
      </c>
      <c r="R57" s="2">
        <v>81.263999999999996</v>
      </c>
      <c r="S57" s="2">
        <v>4.7195999999999998</v>
      </c>
      <c r="T57" s="2">
        <v>0.99900999999999995</v>
      </c>
      <c r="U57" s="2">
        <v>2.8723999999999998</v>
      </c>
      <c r="V57" s="2">
        <v>177.29</v>
      </c>
      <c r="W57" s="2">
        <v>0.16420999999999999</v>
      </c>
      <c r="X57" s="2">
        <v>9.5501000000000005</v>
      </c>
      <c r="Y57" s="2">
        <v>1.7000000000000001E-2</v>
      </c>
    </row>
    <row r="58" spans="1:25" ht="12.3">
      <c r="A58" s="11">
        <v>115.9</v>
      </c>
      <c r="B58" s="11">
        <v>294.7</v>
      </c>
      <c r="C58" s="11">
        <v>569.99</v>
      </c>
      <c r="D58" s="11">
        <v>1.7543999999999999E-3</v>
      </c>
      <c r="E58" s="11">
        <v>-35.222999999999999</v>
      </c>
      <c r="F58" s="11">
        <v>-31.658000000000001</v>
      </c>
      <c r="G58" s="11">
        <v>3.742</v>
      </c>
      <c r="H58" s="11">
        <v>0.97763</v>
      </c>
      <c r="I58" s="11">
        <v>3.3788</v>
      </c>
      <c r="J58" s="11">
        <v>388.46</v>
      </c>
      <c r="K58" s="11">
        <v>9.8244999999999999E-3</v>
      </c>
      <c r="L58" s="11">
        <v>45.743000000000002</v>
      </c>
      <c r="M58" s="11">
        <v>6.8875000000000006E-2</v>
      </c>
      <c r="N58" s="2">
        <v>1.2764E-3</v>
      </c>
      <c r="O58" s="2">
        <v>92.822000000000003</v>
      </c>
      <c r="P58" s="2">
        <v>1.0773E-2</v>
      </c>
      <c r="Q58" s="2">
        <v>58.99</v>
      </c>
      <c r="R58" s="2">
        <v>80.88</v>
      </c>
      <c r="S58" s="2">
        <v>4.7130000000000001</v>
      </c>
      <c r="T58" s="2">
        <v>1.0045999999999999</v>
      </c>
      <c r="U58" s="2">
        <v>2.9479000000000002</v>
      </c>
      <c r="V58" s="2">
        <v>177.02</v>
      </c>
      <c r="W58" s="2">
        <v>0.16294</v>
      </c>
      <c r="X58" s="2">
        <v>9.6143999999999998</v>
      </c>
      <c r="Y58" s="2">
        <v>1.7249E-2</v>
      </c>
    </row>
    <row r="59" spans="1:25" ht="12.3">
      <c r="A59" s="11">
        <v>116.21</v>
      </c>
      <c r="B59" s="11">
        <v>299.7</v>
      </c>
      <c r="C59" s="11">
        <v>566.79999999999995</v>
      </c>
      <c r="D59" s="11">
        <v>1.7642999999999999E-3</v>
      </c>
      <c r="E59" s="11">
        <v>-34.314999999999998</v>
      </c>
      <c r="F59" s="11">
        <v>-30.669</v>
      </c>
      <c r="G59" s="11">
        <v>3.75</v>
      </c>
      <c r="H59" s="11">
        <v>0.97909000000000002</v>
      </c>
      <c r="I59" s="11">
        <v>3.4338000000000002</v>
      </c>
      <c r="J59" s="11">
        <v>383.33</v>
      </c>
      <c r="K59" s="11">
        <v>1.0262E-2</v>
      </c>
      <c r="L59" s="11">
        <v>45.192</v>
      </c>
      <c r="M59" s="11">
        <v>6.8254999999999996E-2</v>
      </c>
      <c r="N59" s="2">
        <v>1.2274E-3</v>
      </c>
      <c r="O59" s="2">
        <v>94.888999999999996</v>
      </c>
      <c r="P59" s="2">
        <v>1.0539E-2</v>
      </c>
      <c r="Q59" s="2">
        <v>58.707000000000001</v>
      </c>
      <c r="R59" s="2">
        <v>80.483999999999995</v>
      </c>
      <c r="S59" s="2">
        <v>4.7064000000000004</v>
      </c>
      <c r="T59" s="2">
        <v>1.0103</v>
      </c>
      <c r="U59" s="2">
        <v>3.0274999999999999</v>
      </c>
      <c r="V59" s="2">
        <v>176.74</v>
      </c>
      <c r="W59" s="2">
        <v>0.16167000000000001</v>
      </c>
      <c r="X59" s="2">
        <v>9.6793999999999993</v>
      </c>
      <c r="Y59" s="2">
        <v>1.7505E-2</v>
      </c>
    </row>
    <row r="60" spans="1:25" ht="12.3">
      <c r="A60" s="11">
        <v>116.53</v>
      </c>
      <c r="B60" s="11">
        <v>304.7</v>
      </c>
      <c r="C60" s="11">
        <v>563.59</v>
      </c>
      <c r="D60" s="11">
        <v>1.7744E-3</v>
      </c>
      <c r="E60" s="11">
        <v>-33.408999999999999</v>
      </c>
      <c r="F60" s="11">
        <v>-29.681999999999999</v>
      </c>
      <c r="G60" s="11">
        <v>3.758</v>
      </c>
      <c r="H60" s="11">
        <v>0.98065999999999998</v>
      </c>
      <c r="I60" s="11">
        <v>3.4916</v>
      </c>
      <c r="J60" s="11">
        <v>378.21</v>
      </c>
      <c r="K60" s="11">
        <v>1.0713E-2</v>
      </c>
      <c r="L60" s="11">
        <v>44.646000000000001</v>
      </c>
      <c r="M60" s="11">
        <v>6.7642999999999995E-2</v>
      </c>
      <c r="N60" s="2">
        <v>1.1793999999999999E-3</v>
      </c>
      <c r="O60" s="2">
        <v>96.988</v>
      </c>
      <c r="P60" s="2">
        <v>1.0311000000000001E-2</v>
      </c>
      <c r="Q60" s="2">
        <v>58.414999999999999</v>
      </c>
      <c r="R60" s="2">
        <v>80.075000000000003</v>
      </c>
      <c r="S60" s="2">
        <v>4.6997999999999998</v>
      </c>
      <c r="T60" s="2">
        <v>1.0162</v>
      </c>
      <c r="U60" s="2">
        <v>3.1114999999999999</v>
      </c>
      <c r="V60" s="2">
        <v>176.45</v>
      </c>
      <c r="W60" s="2">
        <v>0.16039999999999999</v>
      </c>
      <c r="X60" s="2">
        <v>9.7453000000000003</v>
      </c>
      <c r="Y60" s="2">
        <v>1.7769E-2</v>
      </c>
    </row>
    <row r="61" spans="1:25" ht="12.3">
      <c r="A61" s="11">
        <v>116.84</v>
      </c>
      <c r="B61" s="11">
        <v>309.7</v>
      </c>
      <c r="C61" s="11">
        <v>560.36</v>
      </c>
      <c r="D61" s="11">
        <v>1.7845999999999999E-3</v>
      </c>
      <c r="E61" s="11">
        <v>-32.506</v>
      </c>
      <c r="F61" s="11">
        <v>-28.695</v>
      </c>
      <c r="G61" s="11">
        <v>3.7658999999999998</v>
      </c>
      <c r="H61" s="11">
        <v>0.98233999999999999</v>
      </c>
      <c r="I61" s="11">
        <v>3.5524</v>
      </c>
      <c r="J61" s="11">
        <v>373.1</v>
      </c>
      <c r="K61" s="11">
        <v>1.1179E-2</v>
      </c>
      <c r="L61" s="11">
        <v>44.104999999999997</v>
      </c>
      <c r="M61" s="11">
        <v>6.7040000000000002E-2</v>
      </c>
      <c r="N61" s="2">
        <v>1.1324E-3</v>
      </c>
      <c r="O61" s="2">
        <v>99.120999999999995</v>
      </c>
      <c r="P61" s="2">
        <v>1.0089000000000001E-2</v>
      </c>
      <c r="Q61" s="2">
        <v>58.113</v>
      </c>
      <c r="R61" s="2">
        <v>79.655000000000001</v>
      </c>
      <c r="S61" s="2">
        <v>4.6932</v>
      </c>
      <c r="T61" s="2">
        <v>1.0221</v>
      </c>
      <c r="U61" s="2">
        <v>3.2002999999999999</v>
      </c>
      <c r="V61" s="2">
        <v>176.17</v>
      </c>
      <c r="W61" s="2">
        <v>0.15911</v>
      </c>
      <c r="X61" s="2">
        <v>9.8122000000000007</v>
      </c>
      <c r="Y61" s="2">
        <v>1.8041000000000001E-2</v>
      </c>
    </row>
    <row r="62" spans="1:25" ht="12.3">
      <c r="A62" s="11">
        <v>117.15</v>
      </c>
      <c r="B62" s="11">
        <v>314.7</v>
      </c>
      <c r="C62" s="11">
        <v>557.11</v>
      </c>
      <c r="D62" s="11">
        <v>1.7949999999999999E-3</v>
      </c>
      <c r="E62" s="11">
        <v>-31.603999999999999</v>
      </c>
      <c r="F62" s="11">
        <v>-27.709</v>
      </c>
      <c r="G62" s="11">
        <v>3.7738</v>
      </c>
      <c r="H62" s="11">
        <v>0.98414999999999997</v>
      </c>
      <c r="I62" s="11">
        <v>3.6164000000000001</v>
      </c>
      <c r="J62" s="11">
        <v>367.99</v>
      </c>
      <c r="K62" s="11">
        <v>1.1658999999999999E-2</v>
      </c>
      <c r="L62" s="11">
        <v>43.567999999999998</v>
      </c>
      <c r="M62" s="11">
        <v>6.6444000000000003E-2</v>
      </c>
      <c r="N62" s="2">
        <v>1.0862999999999999E-3</v>
      </c>
      <c r="O62" s="2">
        <v>101.29</v>
      </c>
      <c r="P62" s="2">
        <v>9.8726000000000005E-3</v>
      </c>
      <c r="Q62" s="2">
        <v>57.801000000000002</v>
      </c>
      <c r="R62" s="2">
        <v>79.221999999999994</v>
      </c>
      <c r="S62" s="2">
        <v>4.6866000000000003</v>
      </c>
      <c r="T62" s="2">
        <v>1.0283</v>
      </c>
      <c r="U62" s="2">
        <v>3.2942</v>
      </c>
      <c r="V62" s="2">
        <v>175.87</v>
      </c>
      <c r="W62" s="2">
        <v>0.15783</v>
      </c>
      <c r="X62" s="2">
        <v>9.8800000000000008</v>
      </c>
      <c r="Y62" s="2">
        <v>1.8321E-2</v>
      </c>
    </row>
    <row r="63" spans="1:25" ht="12.3">
      <c r="A63" s="11">
        <v>117.45</v>
      </c>
      <c r="B63" s="11">
        <v>319.7</v>
      </c>
      <c r="C63" s="11">
        <v>553.83000000000004</v>
      </c>
      <c r="D63" s="11">
        <v>1.8056000000000001E-3</v>
      </c>
      <c r="E63" s="11">
        <v>-30.702999999999999</v>
      </c>
      <c r="F63" s="11">
        <v>-26.722999999999999</v>
      </c>
      <c r="G63" s="11">
        <v>3.7816999999999998</v>
      </c>
      <c r="H63" s="11">
        <v>0.98607999999999996</v>
      </c>
      <c r="I63" s="11">
        <v>3.6840999999999999</v>
      </c>
      <c r="J63" s="11">
        <v>362.89</v>
      </c>
      <c r="K63" s="11">
        <v>1.2154999999999999E-2</v>
      </c>
      <c r="L63" s="11">
        <v>43.036000000000001</v>
      </c>
      <c r="M63" s="11">
        <v>6.5856999999999999E-2</v>
      </c>
      <c r="N63" s="2">
        <v>1.0411000000000001E-3</v>
      </c>
      <c r="O63" s="2">
        <v>103.5</v>
      </c>
      <c r="P63" s="2">
        <v>9.6620999999999999E-3</v>
      </c>
      <c r="Q63" s="2">
        <v>57.478999999999999</v>
      </c>
      <c r="R63" s="2">
        <v>78.777000000000001</v>
      </c>
      <c r="S63" s="2">
        <v>4.6798999999999999</v>
      </c>
      <c r="T63" s="2">
        <v>1.0346</v>
      </c>
      <c r="U63" s="2">
        <v>3.3936999999999999</v>
      </c>
      <c r="V63" s="2">
        <v>175.57</v>
      </c>
      <c r="W63" s="2">
        <v>0.15653</v>
      </c>
      <c r="X63" s="2">
        <v>9.9489999999999998</v>
      </c>
      <c r="Y63" s="2">
        <v>1.8610999999999999E-2</v>
      </c>
    </row>
    <row r="64" spans="1:25" ht="12.3">
      <c r="A64" s="11">
        <v>117.75</v>
      </c>
      <c r="B64" s="11">
        <v>324.7</v>
      </c>
      <c r="C64" s="11">
        <v>550.54</v>
      </c>
      <c r="D64" s="11">
        <v>1.8163999999999999E-3</v>
      </c>
      <c r="E64" s="11">
        <v>-29.802</v>
      </c>
      <c r="F64" s="11">
        <v>-25.736000000000001</v>
      </c>
      <c r="G64" s="11">
        <v>3.7894999999999999</v>
      </c>
      <c r="H64" s="11">
        <v>0.98816000000000004</v>
      </c>
      <c r="I64" s="11">
        <v>3.7555000000000001</v>
      </c>
      <c r="J64" s="11">
        <v>357.79</v>
      </c>
      <c r="K64" s="11">
        <v>1.2666999999999999E-2</v>
      </c>
      <c r="L64" s="11">
        <v>42.508000000000003</v>
      </c>
      <c r="M64" s="11">
        <v>6.5278000000000003E-2</v>
      </c>
      <c r="N64" s="2">
        <v>9.9678000000000006E-4</v>
      </c>
      <c r="O64" s="2">
        <v>105.74</v>
      </c>
      <c r="P64" s="2">
        <v>9.4569000000000007E-3</v>
      </c>
      <c r="Q64" s="2">
        <v>57.146000000000001</v>
      </c>
      <c r="R64" s="2">
        <v>78.317999999999998</v>
      </c>
      <c r="S64" s="2">
        <v>4.6731999999999996</v>
      </c>
      <c r="T64" s="2">
        <v>1.0410999999999999</v>
      </c>
      <c r="U64" s="2">
        <v>3.4992999999999999</v>
      </c>
      <c r="V64" s="2">
        <v>175.26</v>
      </c>
      <c r="W64" s="2">
        <v>0.15522</v>
      </c>
      <c r="X64" s="2">
        <v>10.019</v>
      </c>
      <c r="Y64" s="2">
        <v>1.8911000000000001E-2</v>
      </c>
    </row>
    <row r="65" spans="1:25" ht="12.3">
      <c r="A65" s="11">
        <v>118.05</v>
      </c>
      <c r="B65" s="11">
        <v>329.7</v>
      </c>
      <c r="C65" s="11">
        <v>547.21</v>
      </c>
      <c r="D65" s="11">
        <v>1.8274999999999999E-3</v>
      </c>
      <c r="E65" s="11">
        <v>-28.902000000000001</v>
      </c>
      <c r="F65" s="11">
        <v>-24.748000000000001</v>
      </c>
      <c r="G65" s="11">
        <v>3.7974000000000001</v>
      </c>
      <c r="H65" s="11">
        <v>0.99036999999999997</v>
      </c>
      <c r="I65" s="11">
        <v>3.8311999999999999</v>
      </c>
      <c r="J65" s="11">
        <v>352.7</v>
      </c>
      <c r="K65" s="11">
        <v>1.3197E-2</v>
      </c>
      <c r="L65" s="11">
        <v>41.981999999999999</v>
      </c>
      <c r="M65" s="11">
        <v>6.4707000000000001E-2</v>
      </c>
      <c r="N65" s="2">
        <v>9.5337000000000004E-4</v>
      </c>
      <c r="O65" s="2">
        <v>108.03</v>
      </c>
      <c r="P65" s="2">
        <v>9.2568000000000008E-3</v>
      </c>
      <c r="Q65" s="2">
        <v>56.802</v>
      </c>
      <c r="R65" s="2">
        <v>77.844999999999999</v>
      </c>
      <c r="S65" s="2">
        <v>4.6665000000000001</v>
      </c>
      <c r="T65" s="2">
        <v>1.0477000000000001</v>
      </c>
      <c r="U65" s="2">
        <v>3.6116000000000001</v>
      </c>
      <c r="V65" s="2">
        <v>174.95</v>
      </c>
      <c r="W65" s="2">
        <v>0.15390999999999999</v>
      </c>
      <c r="X65" s="2">
        <v>10.09</v>
      </c>
      <c r="Y65" s="2">
        <v>1.9220999999999999E-2</v>
      </c>
    </row>
    <row r="66" spans="1:25" ht="12.3">
      <c r="A66" s="11">
        <v>118.34</v>
      </c>
      <c r="B66" s="11">
        <v>334.7</v>
      </c>
      <c r="C66" s="11">
        <v>543.86</v>
      </c>
      <c r="D66" s="11">
        <v>1.8387E-3</v>
      </c>
      <c r="E66" s="11">
        <v>-28.001999999999999</v>
      </c>
      <c r="F66" s="11">
        <v>-23.757999999999999</v>
      </c>
      <c r="G66" s="11">
        <v>3.8052000000000001</v>
      </c>
      <c r="H66" s="11">
        <v>0.99275000000000002</v>
      </c>
      <c r="I66" s="11">
        <v>3.9116</v>
      </c>
      <c r="J66" s="11">
        <v>347.6</v>
      </c>
      <c r="K66" s="11">
        <v>1.3746E-2</v>
      </c>
      <c r="L66" s="11">
        <v>41.46</v>
      </c>
      <c r="M66" s="11">
        <v>6.4144000000000007E-2</v>
      </c>
      <c r="N66" s="2">
        <v>9.1082999999999995E-4</v>
      </c>
      <c r="O66" s="2">
        <v>110.36</v>
      </c>
      <c r="P66" s="2">
        <v>9.0612999999999996E-3</v>
      </c>
      <c r="Q66" s="2">
        <v>56.447000000000003</v>
      </c>
      <c r="R66" s="2">
        <v>77.358000000000004</v>
      </c>
      <c r="S66" s="2">
        <v>4.6597</v>
      </c>
      <c r="T66" s="2">
        <v>1.0545</v>
      </c>
      <c r="U66" s="2">
        <v>3.7311999999999999</v>
      </c>
      <c r="V66" s="2">
        <v>174.63</v>
      </c>
      <c r="W66" s="2">
        <v>0.15257999999999999</v>
      </c>
      <c r="X66" s="2">
        <v>10.163</v>
      </c>
      <c r="Y66" s="2">
        <v>1.9543000000000001E-2</v>
      </c>
    </row>
    <row r="67" spans="1:25" ht="12.3">
      <c r="A67" s="11">
        <v>118.63</v>
      </c>
      <c r="B67" s="11">
        <v>339.7</v>
      </c>
      <c r="C67" s="11">
        <v>540.47</v>
      </c>
      <c r="D67" s="11">
        <v>1.8502E-3</v>
      </c>
      <c r="E67" s="11">
        <v>-27.1</v>
      </c>
      <c r="F67" s="11">
        <v>-22.766999999999999</v>
      </c>
      <c r="G67" s="11">
        <v>3.8130000000000002</v>
      </c>
      <c r="H67" s="11">
        <v>0.99529000000000001</v>
      </c>
      <c r="I67" s="11">
        <v>3.9969999999999999</v>
      </c>
      <c r="J67" s="11">
        <v>342.49</v>
      </c>
      <c r="K67" s="11">
        <v>1.4314E-2</v>
      </c>
      <c r="L67" s="11">
        <v>40.941000000000003</v>
      </c>
      <c r="M67" s="11">
        <v>6.3589999999999994E-2</v>
      </c>
      <c r="N67" s="2">
        <v>8.6914000000000002E-4</v>
      </c>
      <c r="O67" s="2">
        <v>112.74</v>
      </c>
      <c r="P67" s="2">
        <v>8.8702999999999994E-3</v>
      </c>
      <c r="Q67" s="2">
        <v>56.081000000000003</v>
      </c>
      <c r="R67" s="2">
        <v>76.855999999999995</v>
      </c>
      <c r="S67" s="2">
        <v>4.6528</v>
      </c>
      <c r="T67" s="2">
        <v>1.0615000000000001</v>
      </c>
      <c r="U67" s="2">
        <v>3.859</v>
      </c>
      <c r="V67" s="2">
        <v>174.3</v>
      </c>
      <c r="W67" s="2">
        <v>0.15124000000000001</v>
      </c>
      <c r="X67" s="2">
        <v>10.237</v>
      </c>
      <c r="Y67" s="2">
        <v>1.9876000000000001E-2</v>
      </c>
    </row>
    <row r="68" spans="1:25" ht="12.3">
      <c r="A68" s="11">
        <v>118.92</v>
      </c>
      <c r="B68" s="11">
        <v>344.7</v>
      </c>
      <c r="C68" s="11">
        <v>537.04999999999995</v>
      </c>
      <c r="D68" s="11">
        <v>1.8619999999999999E-3</v>
      </c>
      <c r="E68" s="11">
        <v>-26.198</v>
      </c>
      <c r="F68" s="11">
        <v>-21.771999999999998</v>
      </c>
      <c r="G68" s="11">
        <v>3.8209</v>
      </c>
      <c r="H68" s="11">
        <v>0.99800999999999995</v>
      </c>
      <c r="I68" s="11">
        <v>4.0880999999999998</v>
      </c>
      <c r="J68" s="11">
        <v>337.37</v>
      </c>
      <c r="K68" s="11">
        <v>1.4904000000000001E-2</v>
      </c>
      <c r="L68" s="11">
        <v>40.423000000000002</v>
      </c>
      <c r="M68" s="11">
        <v>6.3044000000000003E-2</v>
      </c>
      <c r="N68" s="2">
        <v>8.2830000000000002E-4</v>
      </c>
      <c r="O68" s="2">
        <v>115.16</v>
      </c>
      <c r="P68" s="2">
        <v>8.6835999999999997E-3</v>
      </c>
      <c r="Q68" s="2">
        <v>55.701999999999998</v>
      </c>
      <c r="R68" s="2">
        <v>76.338999999999999</v>
      </c>
      <c r="S68" s="2">
        <v>4.6459000000000001</v>
      </c>
      <c r="T68" s="2">
        <v>1.0686</v>
      </c>
      <c r="U68" s="2">
        <v>3.9956</v>
      </c>
      <c r="V68" s="2">
        <v>173.97</v>
      </c>
      <c r="W68" s="2">
        <v>0.14989</v>
      </c>
      <c r="X68" s="2">
        <v>10.313000000000001</v>
      </c>
      <c r="Y68" s="2">
        <v>2.0223000000000001E-2</v>
      </c>
    </row>
    <row r="69" spans="1:25" ht="12.3">
      <c r="A69" s="11">
        <v>119.2</v>
      </c>
      <c r="B69" s="11">
        <v>349.7</v>
      </c>
      <c r="C69" s="11">
        <v>533.59</v>
      </c>
      <c r="D69" s="11">
        <v>1.8741000000000001E-3</v>
      </c>
      <c r="E69" s="11">
        <v>-25.292999999999999</v>
      </c>
      <c r="F69" s="11">
        <v>-20.774999999999999</v>
      </c>
      <c r="G69" s="11">
        <v>3.8287</v>
      </c>
      <c r="H69" s="11">
        <v>1.0008999999999999</v>
      </c>
      <c r="I69" s="11">
        <v>4.1852999999999998</v>
      </c>
      <c r="J69" s="11">
        <v>332.24</v>
      </c>
      <c r="K69" s="11">
        <v>1.5514999999999999E-2</v>
      </c>
      <c r="L69" s="11">
        <v>39.908000000000001</v>
      </c>
      <c r="M69" s="11">
        <v>6.2506000000000006E-2</v>
      </c>
      <c r="N69" s="2">
        <v>7.8828000000000004E-4</v>
      </c>
      <c r="O69" s="2">
        <v>117.63</v>
      </c>
      <c r="P69" s="2">
        <v>8.5009999999999999E-3</v>
      </c>
      <c r="Q69" s="2">
        <v>55.31</v>
      </c>
      <c r="R69" s="2">
        <v>75.807000000000002</v>
      </c>
      <c r="S69" s="2">
        <v>4.6390000000000002</v>
      </c>
      <c r="T69" s="2">
        <v>1.0760000000000001</v>
      </c>
      <c r="U69" s="2">
        <v>4.1421000000000001</v>
      </c>
      <c r="V69" s="2">
        <v>173.63</v>
      </c>
      <c r="W69" s="2">
        <v>0.14853</v>
      </c>
      <c r="X69" s="2">
        <v>10.39</v>
      </c>
      <c r="Y69" s="2">
        <v>2.0584000000000002E-2</v>
      </c>
    </row>
    <row r="70" spans="1:25" ht="12.3">
      <c r="A70" s="11">
        <v>119.48</v>
      </c>
      <c r="B70" s="11">
        <v>354.7</v>
      </c>
      <c r="C70" s="11">
        <v>530.09</v>
      </c>
      <c r="D70" s="11">
        <v>1.8864999999999999E-3</v>
      </c>
      <c r="E70" s="11">
        <v>-24.385999999999999</v>
      </c>
      <c r="F70" s="11">
        <v>-19.773</v>
      </c>
      <c r="G70" s="11">
        <v>3.8365999999999998</v>
      </c>
      <c r="H70" s="11">
        <v>1.004</v>
      </c>
      <c r="I70" s="11">
        <v>4.2895000000000003</v>
      </c>
      <c r="J70" s="11">
        <v>327.10000000000002</v>
      </c>
      <c r="K70" s="11">
        <v>1.6150999999999999E-2</v>
      </c>
      <c r="L70" s="11">
        <v>39.393000000000001</v>
      </c>
      <c r="M70" s="11">
        <v>6.1977999999999998E-2</v>
      </c>
      <c r="N70" s="2">
        <v>7.4909E-4</v>
      </c>
      <c r="O70" s="2">
        <v>120.16</v>
      </c>
      <c r="P70" s="2">
        <v>8.3221000000000007E-3</v>
      </c>
      <c r="Q70" s="2">
        <v>54.905000000000001</v>
      </c>
      <c r="R70" s="2">
        <v>75.257000000000005</v>
      </c>
      <c r="S70" s="2">
        <v>4.6318999999999999</v>
      </c>
      <c r="T70" s="2">
        <v>1.0835999999999999</v>
      </c>
      <c r="U70" s="2">
        <v>4.2995000000000001</v>
      </c>
      <c r="V70" s="2">
        <v>173.29</v>
      </c>
      <c r="W70" s="2">
        <v>0.14715</v>
      </c>
      <c r="X70" s="2">
        <v>10.468999999999999</v>
      </c>
      <c r="Y70" s="2">
        <v>2.0959999999999999E-2</v>
      </c>
    </row>
    <row r="71" spans="1:25" ht="12.3">
      <c r="A71" s="11">
        <v>119.76</v>
      </c>
      <c r="B71" s="11">
        <v>359.7</v>
      </c>
      <c r="C71" s="11">
        <v>526.54</v>
      </c>
      <c r="D71" s="11">
        <v>1.8992E-3</v>
      </c>
      <c r="E71" s="11">
        <v>-23.475999999999999</v>
      </c>
      <c r="F71" s="11">
        <v>-18.765999999999998</v>
      </c>
      <c r="G71" s="11">
        <v>3.8443999999999998</v>
      </c>
      <c r="H71" s="11">
        <v>1.0074000000000001</v>
      </c>
      <c r="I71" s="11">
        <v>4.4013</v>
      </c>
      <c r="J71" s="11">
        <v>321.93</v>
      </c>
      <c r="K71" s="11">
        <v>1.6812000000000001E-2</v>
      </c>
      <c r="L71" s="11">
        <v>38.880000000000003</v>
      </c>
      <c r="M71" s="11">
        <v>6.1457999999999999E-2</v>
      </c>
      <c r="N71" s="2">
        <v>7.1071000000000003E-4</v>
      </c>
      <c r="O71" s="2">
        <v>122.75</v>
      </c>
      <c r="P71" s="2">
        <v>8.1467999999999992E-3</v>
      </c>
      <c r="Q71" s="2">
        <v>54.485999999999997</v>
      </c>
      <c r="R71" s="2">
        <v>74.69</v>
      </c>
      <c r="S71" s="2">
        <v>4.6247999999999996</v>
      </c>
      <c r="T71" s="2">
        <v>1.0913999999999999</v>
      </c>
      <c r="U71" s="2">
        <v>4.4691999999999998</v>
      </c>
      <c r="V71" s="2">
        <v>172.93</v>
      </c>
      <c r="W71" s="2">
        <v>0.14574999999999999</v>
      </c>
      <c r="X71" s="2">
        <v>10.55</v>
      </c>
      <c r="Y71" s="2">
        <v>2.1351999999999999E-2</v>
      </c>
    </row>
    <row r="72" spans="1:25" ht="12.3">
      <c r="A72" s="11">
        <v>120.03</v>
      </c>
      <c r="B72" s="11">
        <v>364.7</v>
      </c>
      <c r="C72" s="11">
        <v>522.94000000000005</v>
      </c>
      <c r="D72" s="11">
        <v>1.9122E-3</v>
      </c>
      <c r="E72" s="11">
        <v>-22.562999999999999</v>
      </c>
      <c r="F72" s="11">
        <v>-17.754000000000001</v>
      </c>
      <c r="G72" s="11">
        <v>3.8523000000000001</v>
      </c>
      <c r="H72" s="11">
        <v>1.0109999999999999</v>
      </c>
      <c r="I72" s="11">
        <v>4.5217999999999998</v>
      </c>
      <c r="J72" s="11">
        <v>316.74</v>
      </c>
      <c r="K72" s="11">
        <v>1.7500999999999999E-2</v>
      </c>
      <c r="L72" s="11">
        <v>38.366999999999997</v>
      </c>
      <c r="M72" s="11">
        <v>6.0948000000000002E-2</v>
      </c>
      <c r="N72" s="2">
        <v>6.7312999999999997E-4</v>
      </c>
      <c r="O72" s="2">
        <v>125.39</v>
      </c>
      <c r="P72" s="2">
        <v>7.9749E-3</v>
      </c>
      <c r="Q72" s="2">
        <v>54.052</v>
      </c>
      <c r="R72" s="2">
        <v>74.105000000000004</v>
      </c>
      <c r="S72" s="2">
        <v>4.6176000000000004</v>
      </c>
      <c r="T72" s="2">
        <v>1.0994999999999999</v>
      </c>
      <c r="U72" s="2">
        <v>4.6525999999999996</v>
      </c>
      <c r="V72" s="2">
        <v>172.57</v>
      </c>
      <c r="W72" s="2">
        <v>0.14433000000000001</v>
      </c>
      <c r="X72" s="2">
        <v>10.632999999999999</v>
      </c>
      <c r="Y72" s="2">
        <v>2.1763000000000001E-2</v>
      </c>
    </row>
    <row r="73" spans="1:25" ht="12.3">
      <c r="A73" s="11">
        <v>120.3</v>
      </c>
      <c r="B73" s="11">
        <v>369.7</v>
      </c>
      <c r="C73" s="11">
        <v>519.29999999999995</v>
      </c>
      <c r="D73" s="11">
        <v>1.9257E-3</v>
      </c>
      <c r="E73" s="11">
        <v>-21.643999999999998</v>
      </c>
      <c r="F73" s="11">
        <v>-16.736000000000001</v>
      </c>
      <c r="G73" s="11">
        <v>3.8603000000000001</v>
      </c>
      <c r="H73" s="11">
        <v>1.0148999999999999</v>
      </c>
      <c r="I73" s="11">
        <v>4.6519000000000004</v>
      </c>
      <c r="J73" s="11">
        <v>311.51</v>
      </c>
      <c r="K73" s="11">
        <v>1.8218000000000002E-2</v>
      </c>
      <c r="L73" s="11">
        <v>37.853999999999999</v>
      </c>
      <c r="M73" s="11">
        <v>6.0449000000000003E-2</v>
      </c>
      <c r="N73" s="2">
        <v>6.3635000000000004E-4</v>
      </c>
      <c r="O73" s="2">
        <v>128.1</v>
      </c>
      <c r="P73" s="2">
        <v>7.8060999999999998E-3</v>
      </c>
      <c r="Q73" s="2">
        <v>53.603000000000002</v>
      </c>
      <c r="R73" s="2">
        <v>73.5</v>
      </c>
      <c r="S73" s="2">
        <v>4.6102999999999996</v>
      </c>
      <c r="T73" s="2">
        <v>1.1077999999999999</v>
      </c>
      <c r="U73" s="2">
        <v>4.8513999999999999</v>
      </c>
      <c r="V73" s="2">
        <v>172.19</v>
      </c>
      <c r="W73" s="2">
        <v>0.1429</v>
      </c>
      <c r="X73" s="2">
        <v>10.718</v>
      </c>
      <c r="Y73" s="2">
        <v>2.2193000000000001E-2</v>
      </c>
    </row>
    <row r="74" spans="1:25" ht="12.3">
      <c r="A74" s="11">
        <v>120.57</v>
      </c>
      <c r="B74" s="11">
        <v>374.7</v>
      </c>
      <c r="C74" s="11">
        <v>515.59</v>
      </c>
      <c r="D74" s="11">
        <v>1.9395E-3</v>
      </c>
      <c r="E74" s="11">
        <v>-20.721</v>
      </c>
      <c r="F74" s="11">
        <v>-15.71</v>
      </c>
      <c r="G74" s="11">
        <v>3.8681999999999999</v>
      </c>
      <c r="H74" s="11">
        <v>1.0189999999999999</v>
      </c>
      <c r="I74" s="11">
        <v>4.7930000000000001</v>
      </c>
      <c r="J74" s="11">
        <v>306.26</v>
      </c>
      <c r="K74" s="11">
        <v>1.8967999999999999E-2</v>
      </c>
      <c r="L74" s="11">
        <v>37.341000000000001</v>
      </c>
      <c r="M74" s="11">
        <v>5.9959999999999999E-2</v>
      </c>
      <c r="N74" s="2">
        <v>6.0035999999999998E-4</v>
      </c>
      <c r="O74" s="2">
        <v>130.88</v>
      </c>
      <c r="P74" s="2">
        <v>7.6403E-3</v>
      </c>
      <c r="Q74" s="2">
        <v>53.137</v>
      </c>
      <c r="R74" s="2">
        <v>72.876000000000005</v>
      </c>
      <c r="S74" s="2">
        <v>4.6029</v>
      </c>
      <c r="T74" s="2">
        <v>1.1164000000000001</v>
      </c>
      <c r="U74" s="2">
        <v>5.0675999999999997</v>
      </c>
      <c r="V74" s="2">
        <v>171.81</v>
      </c>
      <c r="W74" s="2">
        <v>0.14144000000000001</v>
      </c>
      <c r="X74" s="2">
        <v>10.805999999999999</v>
      </c>
      <c r="Y74" s="2">
        <v>2.2644000000000001E-2</v>
      </c>
    </row>
    <row r="75" spans="1:25" ht="12.3">
      <c r="A75" s="11">
        <v>120.84</v>
      </c>
      <c r="B75" s="11">
        <v>379.7</v>
      </c>
      <c r="C75" s="11">
        <v>511.82</v>
      </c>
      <c r="D75" s="11">
        <v>1.9537999999999999E-3</v>
      </c>
      <c r="E75" s="11">
        <v>-19.791</v>
      </c>
      <c r="F75" s="11">
        <v>-14.676</v>
      </c>
      <c r="G75" s="11">
        <v>3.8761999999999999</v>
      </c>
      <c r="H75" s="11">
        <v>1.0235000000000001</v>
      </c>
      <c r="I75" s="11">
        <v>4.9465000000000003</v>
      </c>
      <c r="J75" s="11">
        <v>300.95999999999998</v>
      </c>
      <c r="K75" s="11">
        <v>1.9751000000000001E-2</v>
      </c>
      <c r="L75" s="11">
        <v>36.826000000000001</v>
      </c>
      <c r="M75" s="11">
        <v>5.9483000000000001E-2</v>
      </c>
      <c r="N75" s="2">
        <v>5.6514E-4</v>
      </c>
      <c r="O75" s="2">
        <v>133.74</v>
      </c>
      <c r="P75" s="2">
        <v>7.4773000000000001E-3</v>
      </c>
      <c r="Q75" s="2">
        <v>52.654000000000003</v>
      </c>
      <c r="R75" s="2">
        <v>72.228999999999999</v>
      </c>
      <c r="S75" s="2">
        <v>4.5953999999999997</v>
      </c>
      <c r="T75" s="2">
        <v>1.1253</v>
      </c>
      <c r="U75" s="2">
        <v>5.3037000000000001</v>
      </c>
      <c r="V75" s="2">
        <v>171.42</v>
      </c>
      <c r="W75" s="2">
        <v>0.13996</v>
      </c>
      <c r="X75" s="2">
        <v>10.896000000000001</v>
      </c>
      <c r="Y75" s="2">
        <v>2.3119000000000001E-2</v>
      </c>
    </row>
    <row r="76" spans="1:25" ht="12.3">
      <c r="A76" s="11">
        <v>121.1</v>
      </c>
      <c r="B76" s="11">
        <v>384.7</v>
      </c>
      <c r="C76" s="11">
        <v>507.99</v>
      </c>
      <c r="D76" s="11">
        <v>1.9685000000000002E-3</v>
      </c>
      <c r="E76" s="11">
        <v>-18.855</v>
      </c>
      <c r="F76" s="11">
        <v>-13.632999999999999</v>
      </c>
      <c r="G76" s="11">
        <v>3.8843000000000001</v>
      </c>
      <c r="H76" s="11">
        <v>1.0284</v>
      </c>
      <c r="I76" s="11">
        <v>5.1142000000000003</v>
      </c>
      <c r="J76" s="11">
        <v>295.62</v>
      </c>
      <c r="K76" s="11">
        <v>2.0570999999999999E-2</v>
      </c>
      <c r="L76" s="11">
        <v>36.31</v>
      </c>
      <c r="M76" s="11">
        <v>5.9018000000000001E-2</v>
      </c>
      <c r="N76" s="2">
        <v>5.3070999999999999E-4</v>
      </c>
      <c r="O76" s="2">
        <v>136.66999999999999</v>
      </c>
      <c r="P76" s="2">
        <v>7.3169000000000003E-3</v>
      </c>
      <c r="Q76" s="2">
        <v>52.152000000000001</v>
      </c>
      <c r="R76" s="2">
        <v>71.56</v>
      </c>
      <c r="S76" s="2">
        <v>4.5877999999999997</v>
      </c>
      <c r="T76" s="2">
        <v>1.1346000000000001</v>
      </c>
      <c r="U76" s="2">
        <v>5.5624000000000002</v>
      </c>
      <c r="V76" s="2">
        <v>171.02</v>
      </c>
      <c r="W76" s="2">
        <v>0.13844999999999999</v>
      </c>
      <c r="X76" s="2">
        <v>10.989000000000001</v>
      </c>
      <c r="Y76" s="2">
        <v>2.3619999999999999E-2</v>
      </c>
    </row>
    <row r="77" spans="1:25" ht="12.3">
      <c r="A77" s="11">
        <v>121.36</v>
      </c>
      <c r="B77" s="11">
        <v>389.7</v>
      </c>
      <c r="C77" s="11">
        <v>504.08</v>
      </c>
      <c r="D77" s="11">
        <v>1.9838E-3</v>
      </c>
      <c r="E77" s="11">
        <v>-17.91</v>
      </c>
      <c r="F77" s="11">
        <v>-12.58</v>
      </c>
      <c r="G77" s="11">
        <v>3.8923999999999999</v>
      </c>
      <c r="H77" s="11">
        <v>1.0337000000000001</v>
      </c>
      <c r="I77" s="11">
        <v>5.2981999999999996</v>
      </c>
      <c r="J77" s="11">
        <v>290.23</v>
      </c>
      <c r="K77" s="11">
        <v>2.1430999999999999E-2</v>
      </c>
      <c r="L77" s="11">
        <v>35.792000000000002</v>
      </c>
      <c r="M77" s="11">
        <v>5.8568000000000002E-2</v>
      </c>
      <c r="N77" s="2">
        <v>4.9704999999999997E-4</v>
      </c>
      <c r="O77" s="2">
        <v>139.69</v>
      </c>
      <c r="P77" s="2">
        <v>7.1587999999999999E-3</v>
      </c>
      <c r="Q77" s="2">
        <v>51.631</v>
      </c>
      <c r="R77" s="2">
        <v>70.866</v>
      </c>
      <c r="S77" s="2">
        <v>4.58</v>
      </c>
      <c r="T77" s="2">
        <v>1.1443000000000001</v>
      </c>
      <c r="U77" s="2">
        <v>5.8472</v>
      </c>
      <c r="V77" s="2">
        <v>170.6</v>
      </c>
      <c r="W77" s="2">
        <v>0.13691</v>
      </c>
      <c r="X77" s="2">
        <v>11.085000000000001</v>
      </c>
      <c r="Y77" s="2">
        <v>2.4150000000000001E-2</v>
      </c>
    </row>
    <row r="78" spans="1:25" ht="12.3">
      <c r="A78" s="11">
        <v>121.62</v>
      </c>
      <c r="B78" s="11">
        <v>394.7</v>
      </c>
      <c r="C78" s="11">
        <v>500.09</v>
      </c>
      <c r="D78" s="11">
        <v>1.9997000000000001E-3</v>
      </c>
      <c r="E78" s="11">
        <v>-16.956</v>
      </c>
      <c r="F78" s="11">
        <v>-11.513999999999999</v>
      </c>
      <c r="G78" s="11">
        <v>3.9005999999999998</v>
      </c>
      <c r="H78" s="11">
        <v>1.0394000000000001</v>
      </c>
      <c r="I78" s="11">
        <v>5.5011000000000001</v>
      </c>
      <c r="J78" s="11">
        <v>284.77999999999997</v>
      </c>
      <c r="K78" s="11">
        <v>2.2335000000000001E-2</v>
      </c>
      <c r="L78" s="11">
        <v>35.271000000000001</v>
      </c>
      <c r="M78" s="11">
        <v>5.8132999999999997E-2</v>
      </c>
      <c r="N78" s="2">
        <v>4.6417000000000002E-4</v>
      </c>
      <c r="O78" s="2">
        <v>142.80000000000001</v>
      </c>
      <c r="P78" s="2">
        <v>7.0028E-3</v>
      </c>
      <c r="Q78" s="2">
        <v>51.088999999999999</v>
      </c>
      <c r="R78" s="2">
        <v>70.146000000000001</v>
      </c>
      <c r="S78" s="2">
        <v>4.5720999999999998</v>
      </c>
      <c r="T78" s="2">
        <v>1.1544000000000001</v>
      </c>
      <c r="U78" s="2">
        <v>6.1620999999999997</v>
      </c>
      <c r="V78" s="2">
        <v>170.17</v>
      </c>
      <c r="W78" s="2">
        <v>0.13533999999999999</v>
      </c>
      <c r="X78" s="2">
        <v>11.185</v>
      </c>
      <c r="Y78" s="2">
        <v>2.4712000000000001E-2</v>
      </c>
    </row>
    <row r="79" spans="1:25" ht="12.3">
      <c r="A79" s="11">
        <v>121.88</v>
      </c>
      <c r="B79" s="11">
        <v>399.7</v>
      </c>
      <c r="C79" s="11">
        <v>496</v>
      </c>
      <c r="D79" s="11">
        <v>2.0160999999999998E-3</v>
      </c>
      <c r="E79" s="11">
        <v>-15.991</v>
      </c>
      <c r="F79" s="11">
        <v>-10.435</v>
      </c>
      <c r="G79" s="11">
        <v>3.9089</v>
      </c>
      <c r="H79" s="11">
        <v>1.0456000000000001</v>
      </c>
      <c r="I79" s="11">
        <v>5.7260999999999997</v>
      </c>
      <c r="J79" s="11">
        <v>279.27</v>
      </c>
      <c r="K79" s="11">
        <v>2.3285E-2</v>
      </c>
      <c r="L79" s="11">
        <v>34.747</v>
      </c>
      <c r="M79" s="11">
        <v>5.7715000000000002E-2</v>
      </c>
      <c r="N79" s="2">
        <v>4.3206000000000001E-4</v>
      </c>
      <c r="O79" s="2">
        <v>146.01</v>
      </c>
      <c r="P79" s="2">
        <v>6.8488000000000004E-3</v>
      </c>
      <c r="Q79" s="2">
        <v>50.524000000000001</v>
      </c>
      <c r="R79" s="2">
        <v>69.397999999999996</v>
      </c>
      <c r="S79" s="2">
        <v>4.5640000000000001</v>
      </c>
      <c r="T79" s="2">
        <v>1.1649</v>
      </c>
      <c r="U79" s="2">
        <v>6.5122</v>
      </c>
      <c r="V79" s="2">
        <v>169.72</v>
      </c>
      <c r="W79" s="2">
        <v>0.13372999999999999</v>
      </c>
      <c r="X79" s="2">
        <v>11.288</v>
      </c>
      <c r="Y79" s="2">
        <v>2.5309000000000002E-2</v>
      </c>
    </row>
    <row r="80" spans="1:25" ht="12.3">
      <c r="A80" s="11">
        <v>122.13</v>
      </c>
      <c r="B80" s="11">
        <v>404.7</v>
      </c>
      <c r="C80" s="11">
        <v>491.82</v>
      </c>
      <c r="D80" s="11">
        <v>2.0333E-3</v>
      </c>
      <c r="E80" s="11">
        <v>-15.015000000000001</v>
      </c>
      <c r="F80" s="11">
        <v>-9.3415999999999997</v>
      </c>
      <c r="G80" s="11">
        <v>3.9173</v>
      </c>
      <c r="H80" s="11">
        <v>1.0525</v>
      </c>
      <c r="I80" s="11">
        <v>5.9768999999999997</v>
      </c>
      <c r="J80" s="11">
        <v>273.68</v>
      </c>
      <c r="K80" s="11">
        <v>2.4288000000000001E-2</v>
      </c>
      <c r="L80" s="11">
        <v>34.218000000000004</v>
      </c>
      <c r="M80" s="11">
        <v>5.7317E-2</v>
      </c>
      <c r="N80" s="2">
        <v>4.0072000000000003E-4</v>
      </c>
      <c r="O80" s="2">
        <v>149.33000000000001</v>
      </c>
      <c r="P80" s="2">
        <v>6.6965999999999996E-3</v>
      </c>
      <c r="Q80" s="2">
        <v>49.933999999999997</v>
      </c>
      <c r="R80" s="2">
        <v>68.619</v>
      </c>
      <c r="S80" s="2">
        <v>4.5556999999999999</v>
      </c>
      <c r="T80" s="2">
        <v>1.1759999999999999</v>
      </c>
      <c r="U80" s="2">
        <v>6.9036</v>
      </c>
      <c r="V80" s="2">
        <v>169.25</v>
      </c>
      <c r="W80" s="2">
        <v>0.13209000000000001</v>
      </c>
      <c r="X80" s="2">
        <v>11.395</v>
      </c>
      <c r="Y80" s="2">
        <v>2.5947000000000001E-2</v>
      </c>
    </row>
    <row r="81" spans="1:25" ht="12.3">
      <c r="A81" s="11">
        <v>122.38</v>
      </c>
      <c r="B81" s="11">
        <v>409.7</v>
      </c>
      <c r="C81" s="11">
        <v>487.53</v>
      </c>
      <c r="D81" s="11">
        <v>2.0512E-3</v>
      </c>
      <c r="E81" s="11">
        <v>-14.025</v>
      </c>
      <c r="F81" s="11">
        <v>-8.2307000000000006</v>
      </c>
      <c r="G81" s="11">
        <v>3.9258000000000002</v>
      </c>
      <c r="H81" s="11">
        <v>1.0599000000000001</v>
      </c>
      <c r="I81" s="11">
        <v>6.2584999999999997</v>
      </c>
      <c r="J81" s="11">
        <v>268.01</v>
      </c>
      <c r="K81" s="11">
        <v>2.5347000000000001E-2</v>
      </c>
      <c r="L81" s="11">
        <v>33.685000000000002</v>
      </c>
      <c r="M81" s="11">
        <v>5.6942E-2</v>
      </c>
      <c r="N81" s="2">
        <v>3.7017000000000002E-4</v>
      </c>
      <c r="O81" s="2">
        <v>152.77000000000001</v>
      </c>
      <c r="P81" s="2">
        <v>6.5458000000000001E-3</v>
      </c>
      <c r="Q81" s="2">
        <v>49.317</v>
      </c>
      <c r="R81" s="2">
        <v>67.808000000000007</v>
      </c>
      <c r="S81" s="2">
        <v>4.5472000000000001</v>
      </c>
      <c r="T81" s="2">
        <v>1.1877</v>
      </c>
      <c r="U81" s="2">
        <v>7.3440000000000003</v>
      </c>
      <c r="V81" s="2">
        <v>168.77</v>
      </c>
      <c r="W81" s="2">
        <v>0.13041</v>
      </c>
      <c r="X81" s="2">
        <v>11.507</v>
      </c>
      <c r="Y81" s="2">
        <v>2.6630999999999998E-2</v>
      </c>
    </row>
    <row r="82" spans="1:25" ht="12.3">
      <c r="A82" s="11">
        <v>122.63</v>
      </c>
      <c r="B82" s="11">
        <v>414.7</v>
      </c>
      <c r="C82" s="11">
        <v>483.12</v>
      </c>
      <c r="D82" s="11">
        <v>2.0699E-3</v>
      </c>
      <c r="E82" s="11">
        <v>-13.019</v>
      </c>
      <c r="F82" s="11">
        <v>-7.1006</v>
      </c>
      <c r="G82" s="11">
        <v>3.9344999999999999</v>
      </c>
      <c r="H82" s="11">
        <v>1.0681</v>
      </c>
      <c r="I82" s="11">
        <v>6.577</v>
      </c>
      <c r="J82" s="11">
        <v>262.26</v>
      </c>
      <c r="K82" s="11">
        <v>2.6468999999999999E-2</v>
      </c>
      <c r="L82" s="11">
        <v>33.145000000000003</v>
      </c>
      <c r="M82" s="11">
        <v>5.6592000000000003E-2</v>
      </c>
      <c r="N82" s="2">
        <v>3.4038999999999999E-4</v>
      </c>
      <c r="O82" s="2">
        <v>156.34</v>
      </c>
      <c r="P82" s="2">
        <v>6.3962999999999997E-3</v>
      </c>
      <c r="Q82" s="2">
        <v>48.671999999999997</v>
      </c>
      <c r="R82" s="2">
        <v>66.960999999999999</v>
      </c>
      <c r="S82" s="2">
        <v>4.5384000000000002</v>
      </c>
      <c r="T82" s="2">
        <v>1.2</v>
      </c>
      <c r="U82" s="2">
        <v>7.8430999999999997</v>
      </c>
      <c r="V82" s="2">
        <v>168.26</v>
      </c>
      <c r="W82" s="2">
        <v>0.12867999999999999</v>
      </c>
      <c r="X82" s="2">
        <v>11.624000000000001</v>
      </c>
      <c r="Y82" s="2">
        <v>2.7366999999999999E-2</v>
      </c>
    </row>
    <row r="83" spans="1:25" ht="12.3">
      <c r="A83" s="11">
        <v>122.87</v>
      </c>
      <c r="B83" s="11">
        <v>419.7</v>
      </c>
      <c r="C83" s="11">
        <v>478.57</v>
      </c>
      <c r="D83" s="11">
        <v>2.0896000000000001E-3</v>
      </c>
      <c r="E83" s="11">
        <v>-11.994999999999999</v>
      </c>
      <c r="F83" s="11">
        <v>-5.9485000000000001</v>
      </c>
      <c r="G83" s="11">
        <v>3.9432999999999998</v>
      </c>
      <c r="H83" s="11">
        <v>1.0770999999999999</v>
      </c>
      <c r="I83" s="11">
        <v>6.9401999999999999</v>
      </c>
      <c r="J83" s="11">
        <v>256.39999999999998</v>
      </c>
      <c r="K83" s="11">
        <v>2.7661000000000002E-2</v>
      </c>
      <c r="L83" s="11">
        <v>32.597000000000001</v>
      </c>
      <c r="M83" s="11">
        <v>5.6272999999999997E-2</v>
      </c>
      <c r="N83" s="2">
        <v>3.1139999999999998E-4</v>
      </c>
      <c r="O83" s="2">
        <v>160.06</v>
      </c>
      <c r="P83" s="2">
        <v>6.2478000000000004E-3</v>
      </c>
      <c r="Q83" s="2">
        <v>47.994</v>
      </c>
      <c r="R83" s="2">
        <v>66.073999999999998</v>
      </c>
      <c r="S83" s="2">
        <v>4.5293999999999999</v>
      </c>
      <c r="T83" s="2">
        <v>1.2132000000000001</v>
      </c>
      <c r="U83" s="2">
        <v>8.4132999999999996</v>
      </c>
      <c r="V83" s="2">
        <v>167.72</v>
      </c>
      <c r="W83" s="2">
        <v>0.12689</v>
      </c>
      <c r="X83" s="2">
        <v>11.747</v>
      </c>
      <c r="Y83" s="2">
        <v>2.8164000000000002E-2</v>
      </c>
    </row>
    <row r="84" spans="1:25" ht="12.3">
      <c r="A84" s="11">
        <v>123.12</v>
      </c>
      <c r="B84" s="11">
        <v>424.7</v>
      </c>
      <c r="C84" s="11">
        <v>473.86</v>
      </c>
      <c r="D84" s="11">
        <v>2.1102999999999998E-3</v>
      </c>
      <c r="E84" s="11">
        <v>-10.951000000000001</v>
      </c>
      <c r="F84" s="11">
        <v>-4.7713000000000001</v>
      </c>
      <c r="G84" s="11">
        <v>3.9521999999999999</v>
      </c>
      <c r="H84" s="11">
        <v>1.0871999999999999</v>
      </c>
      <c r="I84" s="11">
        <v>7.3582999999999998</v>
      </c>
      <c r="J84" s="11">
        <v>250.43</v>
      </c>
      <c r="K84" s="11">
        <v>2.8930999999999998E-2</v>
      </c>
      <c r="L84" s="11">
        <v>32.042000000000002</v>
      </c>
      <c r="M84" s="11">
        <v>5.5988999999999997E-2</v>
      </c>
      <c r="N84" s="2">
        <v>2.832E-4</v>
      </c>
      <c r="O84" s="2">
        <v>163.93</v>
      </c>
      <c r="P84" s="2">
        <v>6.1000000000000004E-3</v>
      </c>
      <c r="Q84" s="2">
        <v>47.280999999999999</v>
      </c>
      <c r="R84" s="2">
        <v>65.143000000000001</v>
      </c>
      <c r="S84" s="2">
        <v>4.5201000000000002</v>
      </c>
      <c r="T84" s="2">
        <v>1.2271000000000001</v>
      </c>
      <c r="U84" s="2">
        <v>9.0708000000000002</v>
      </c>
      <c r="V84" s="2">
        <v>167.16</v>
      </c>
      <c r="W84" s="2">
        <v>0.12504999999999999</v>
      </c>
      <c r="X84" s="2">
        <v>11.875999999999999</v>
      </c>
      <c r="Y84" s="2">
        <v>2.903E-2</v>
      </c>
    </row>
    <row r="85" spans="1:25" ht="12.3">
      <c r="A85" s="11">
        <v>123.36</v>
      </c>
      <c r="B85" s="11">
        <v>429.7</v>
      </c>
      <c r="C85" s="11">
        <v>468.98</v>
      </c>
      <c r="D85" s="11">
        <v>2.1323000000000002E-3</v>
      </c>
      <c r="E85" s="11">
        <v>-9.8826999999999998</v>
      </c>
      <c r="F85" s="11">
        <v>-3.5653999999999999</v>
      </c>
      <c r="G85" s="11">
        <v>3.9613999999999998</v>
      </c>
      <c r="H85" s="11">
        <v>1.0983000000000001</v>
      </c>
      <c r="I85" s="11">
        <v>7.8448000000000002</v>
      </c>
      <c r="J85" s="11">
        <v>244.33</v>
      </c>
      <c r="K85" s="11">
        <v>3.0287999999999999E-2</v>
      </c>
      <c r="L85" s="11">
        <v>31.475999999999999</v>
      </c>
      <c r="M85" s="11">
        <v>5.5746999999999998E-2</v>
      </c>
      <c r="N85" s="2">
        <v>2.5581999999999997E-4</v>
      </c>
      <c r="O85" s="2">
        <v>167.99</v>
      </c>
      <c r="P85" s="2">
        <v>5.9525999999999997E-3</v>
      </c>
      <c r="Q85" s="2">
        <v>46.529000000000003</v>
      </c>
      <c r="R85" s="2">
        <v>64.164000000000001</v>
      </c>
      <c r="S85" s="2">
        <v>4.5105000000000004</v>
      </c>
      <c r="T85" s="2">
        <v>1.2422</v>
      </c>
      <c r="U85" s="2">
        <v>9.8369</v>
      </c>
      <c r="V85" s="2">
        <v>166.55</v>
      </c>
      <c r="W85" s="2">
        <v>0.12315</v>
      </c>
      <c r="X85" s="2">
        <v>12.012</v>
      </c>
      <c r="Y85" s="2">
        <v>2.998E-2</v>
      </c>
    </row>
    <row r="86" spans="1:25" ht="12.3">
      <c r="A86" s="11">
        <v>123.6</v>
      </c>
      <c r="B86" s="11">
        <v>434.7</v>
      </c>
      <c r="C86" s="11">
        <v>463.9</v>
      </c>
      <c r="D86" s="11">
        <v>2.1556000000000001E-3</v>
      </c>
      <c r="E86" s="11">
        <v>-8.7868999999999993</v>
      </c>
      <c r="F86" s="11">
        <v>-2.3262</v>
      </c>
      <c r="G86" s="11">
        <v>3.9708999999999999</v>
      </c>
      <c r="H86" s="11">
        <v>1.1108</v>
      </c>
      <c r="I86" s="11">
        <v>8.4183000000000003</v>
      </c>
      <c r="J86" s="11">
        <v>238.08</v>
      </c>
      <c r="K86" s="11">
        <v>3.1743E-2</v>
      </c>
      <c r="L86" s="11">
        <v>30.898</v>
      </c>
      <c r="M86" s="11">
        <v>5.5553999999999999E-2</v>
      </c>
      <c r="N86" s="2">
        <v>2.2924999999999999E-4</v>
      </c>
      <c r="O86" s="2">
        <v>172.26</v>
      </c>
      <c r="P86" s="2">
        <v>5.8051999999999999E-3</v>
      </c>
      <c r="Q86" s="2">
        <v>45.731000000000002</v>
      </c>
      <c r="R86" s="2">
        <v>63.13</v>
      </c>
      <c r="S86" s="2">
        <v>4.5004999999999997</v>
      </c>
      <c r="T86" s="2">
        <v>1.2584</v>
      </c>
      <c r="U86" s="2">
        <v>10.74</v>
      </c>
      <c r="V86" s="2">
        <v>165.91</v>
      </c>
      <c r="W86" s="2">
        <v>0.12117</v>
      </c>
      <c r="X86" s="2">
        <v>12.156000000000001</v>
      </c>
      <c r="Y86" s="2">
        <v>3.1026999999999999E-2</v>
      </c>
    </row>
    <row r="87" spans="1:25" ht="12.3">
      <c r="A87" s="11">
        <v>123.83</v>
      </c>
      <c r="B87" s="11">
        <v>439.7</v>
      </c>
      <c r="C87" s="11">
        <v>458.59</v>
      </c>
      <c r="D87" s="11">
        <v>2.1806E-3</v>
      </c>
      <c r="E87" s="11">
        <v>-7.6589</v>
      </c>
      <c r="F87" s="11">
        <v>-1.0481</v>
      </c>
      <c r="G87" s="11">
        <v>3.9805999999999999</v>
      </c>
      <c r="H87" s="11">
        <v>1.1249</v>
      </c>
      <c r="I87" s="11">
        <v>9.1043000000000003</v>
      </c>
      <c r="J87" s="11">
        <v>231.68</v>
      </c>
      <c r="K87" s="11">
        <v>3.3309999999999999E-2</v>
      </c>
      <c r="L87" s="11">
        <v>30.305</v>
      </c>
      <c r="M87" s="11">
        <v>5.5421999999999999E-2</v>
      </c>
      <c r="N87" s="2">
        <v>2.0353E-4</v>
      </c>
      <c r="O87" s="2">
        <v>176.76</v>
      </c>
      <c r="P87" s="2">
        <v>5.6573999999999999E-3</v>
      </c>
      <c r="Q87" s="2">
        <v>44.884</v>
      </c>
      <c r="R87" s="2">
        <v>62.034999999999997</v>
      </c>
      <c r="S87" s="2">
        <v>4.49</v>
      </c>
      <c r="T87" s="2">
        <v>1.276</v>
      </c>
      <c r="U87" s="2">
        <v>11.821999999999999</v>
      </c>
      <c r="V87" s="2">
        <v>165.21</v>
      </c>
      <c r="W87" s="2">
        <v>0.11910999999999999</v>
      </c>
      <c r="X87" s="2">
        <v>12.31</v>
      </c>
      <c r="Y87" s="2">
        <v>3.2194E-2</v>
      </c>
    </row>
    <row r="88" spans="1:25" ht="12.3">
      <c r="A88" s="11">
        <v>124.07</v>
      </c>
      <c r="B88" s="11">
        <v>444.7</v>
      </c>
      <c r="C88" s="11">
        <v>453.01</v>
      </c>
      <c r="D88" s="11">
        <v>2.2074999999999998E-3</v>
      </c>
      <c r="E88" s="11">
        <v>-6.4924999999999997</v>
      </c>
      <c r="F88" s="11">
        <v>0.27579999999999999</v>
      </c>
      <c r="G88" s="11">
        <v>3.9906999999999999</v>
      </c>
      <c r="H88" s="11">
        <v>1.1409</v>
      </c>
      <c r="I88" s="11">
        <v>9.9395000000000007</v>
      </c>
      <c r="J88" s="11">
        <v>225.08</v>
      </c>
      <c r="K88" s="11">
        <v>3.5007000000000003E-2</v>
      </c>
      <c r="L88" s="11">
        <v>29.696000000000002</v>
      </c>
      <c r="M88" s="11">
        <v>5.5363999999999997E-2</v>
      </c>
      <c r="N88" s="2">
        <v>1.7867E-4</v>
      </c>
      <c r="O88" s="2">
        <v>181.54</v>
      </c>
      <c r="P88" s="2">
        <v>5.5085999999999998E-3</v>
      </c>
      <c r="Q88" s="2">
        <v>43.978000000000002</v>
      </c>
      <c r="R88" s="2">
        <v>60.866999999999997</v>
      </c>
      <c r="S88" s="2">
        <v>4.4790999999999999</v>
      </c>
      <c r="T88" s="2">
        <v>1.2952999999999999</v>
      </c>
      <c r="U88" s="2">
        <v>13.138</v>
      </c>
      <c r="V88" s="2">
        <v>164.44</v>
      </c>
      <c r="W88" s="2">
        <v>0.11695</v>
      </c>
      <c r="X88" s="2">
        <v>12.475</v>
      </c>
      <c r="Y88" s="2">
        <v>3.3508000000000003E-2</v>
      </c>
    </row>
    <row r="89" spans="1:25" ht="12.3">
      <c r="A89" s="11">
        <v>124.3</v>
      </c>
      <c r="B89" s="11">
        <v>449.7</v>
      </c>
      <c r="C89" s="11">
        <v>447.11</v>
      </c>
      <c r="D89" s="11">
        <v>2.2366E-3</v>
      </c>
      <c r="E89" s="11">
        <v>-5.2801999999999998</v>
      </c>
      <c r="F89" s="11">
        <v>1.6545000000000001</v>
      </c>
      <c r="G89" s="11">
        <v>4.0011999999999999</v>
      </c>
      <c r="H89" s="11">
        <v>1.1593</v>
      </c>
      <c r="I89" s="11">
        <v>10.978</v>
      </c>
      <c r="J89" s="11">
        <v>218.27</v>
      </c>
      <c r="K89" s="11">
        <v>3.6852999999999997E-2</v>
      </c>
      <c r="L89" s="11">
        <v>29.065999999999999</v>
      </c>
      <c r="M89" s="11">
        <v>5.5397000000000002E-2</v>
      </c>
      <c r="N89" s="2">
        <v>1.5470999999999999E-4</v>
      </c>
      <c r="O89" s="2">
        <v>186.63</v>
      </c>
      <c r="P89" s="2">
        <v>5.3581999999999996E-3</v>
      </c>
      <c r="Q89" s="2">
        <v>43.003</v>
      </c>
      <c r="R89" s="2">
        <v>59.616999999999997</v>
      </c>
      <c r="S89" s="2">
        <v>4.4675000000000002</v>
      </c>
      <c r="T89" s="2">
        <v>1.3167</v>
      </c>
      <c r="U89" s="2">
        <v>14.772</v>
      </c>
      <c r="V89" s="2">
        <v>163.6</v>
      </c>
      <c r="W89" s="2">
        <v>0.11469</v>
      </c>
      <c r="X89" s="2">
        <v>12.654</v>
      </c>
      <c r="Y89" s="2">
        <v>3.5006000000000002E-2</v>
      </c>
    </row>
    <row r="90" spans="1:25" ht="12.3">
      <c r="A90" s="11">
        <v>124.53</v>
      </c>
      <c r="B90" s="11">
        <v>454.7</v>
      </c>
      <c r="C90" s="11">
        <v>440.83</v>
      </c>
      <c r="D90" s="11">
        <v>2.2683999999999998E-3</v>
      </c>
      <c r="E90" s="11">
        <v>-4.0119999999999996</v>
      </c>
      <c r="F90" s="11">
        <v>3.0996999999999999</v>
      </c>
      <c r="G90" s="11">
        <v>4.0122</v>
      </c>
      <c r="H90" s="11">
        <v>1.1805000000000001</v>
      </c>
      <c r="I90" s="11">
        <v>12.305</v>
      </c>
      <c r="J90" s="11">
        <v>211.21</v>
      </c>
      <c r="K90" s="11">
        <v>3.8873999999999999E-2</v>
      </c>
      <c r="L90" s="11">
        <v>28.411000000000001</v>
      </c>
      <c r="M90" s="11">
        <v>5.5548E-2</v>
      </c>
      <c r="N90" s="2">
        <v>1.3169000000000001E-4</v>
      </c>
      <c r="O90" s="2">
        <v>192.11</v>
      </c>
      <c r="P90" s="2">
        <v>5.2053000000000004E-3</v>
      </c>
      <c r="Q90" s="2">
        <v>41.948</v>
      </c>
      <c r="R90" s="2">
        <v>58.267000000000003</v>
      </c>
      <c r="S90" s="2">
        <v>4.4551999999999996</v>
      </c>
      <c r="T90" s="2">
        <v>1.3406</v>
      </c>
      <c r="U90" s="2">
        <v>16.856000000000002</v>
      </c>
      <c r="V90" s="2">
        <v>162.66</v>
      </c>
      <c r="W90" s="2">
        <v>0.11229</v>
      </c>
      <c r="X90" s="2">
        <v>12.849</v>
      </c>
      <c r="Y90" s="2">
        <v>3.6742999999999998E-2</v>
      </c>
    </row>
    <row r="91" spans="1:25" ht="12.3">
      <c r="A91" s="11">
        <v>124.76</v>
      </c>
      <c r="B91" s="11">
        <v>459.7</v>
      </c>
      <c r="C91" s="11">
        <v>434.08</v>
      </c>
      <c r="D91" s="11">
        <v>2.3037000000000001E-3</v>
      </c>
      <c r="E91" s="11">
        <v>-2.6741999999999999</v>
      </c>
      <c r="F91" s="11">
        <v>4.6276000000000002</v>
      </c>
      <c r="G91" s="11">
        <v>4.0237999999999996</v>
      </c>
      <c r="H91" s="11">
        <v>1.2055</v>
      </c>
      <c r="I91" s="11">
        <v>14.057</v>
      </c>
      <c r="J91" s="11">
        <v>203.85</v>
      </c>
      <c r="K91" s="11">
        <v>4.1106999999999998E-2</v>
      </c>
      <c r="L91" s="11">
        <v>27.724</v>
      </c>
      <c r="M91" s="11">
        <v>5.5854000000000001E-2</v>
      </c>
      <c r="N91" s="2">
        <v>1.0964E-4</v>
      </c>
      <c r="O91" s="2">
        <v>198.06</v>
      </c>
      <c r="P91" s="2">
        <v>5.0489000000000003E-3</v>
      </c>
      <c r="Q91" s="2">
        <v>40.795000000000002</v>
      </c>
      <c r="R91" s="2">
        <v>56.796999999999997</v>
      </c>
      <c r="S91" s="2">
        <v>4.4420000000000002</v>
      </c>
      <c r="T91" s="2">
        <v>1.3677999999999999</v>
      </c>
      <c r="U91" s="2">
        <v>19.597999999999999</v>
      </c>
      <c r="V91" s="2">
        <v>161.6</v>
      </c>
      <c r="W91" s="2">
        <v>0.10975</v>
      </c>
      <c r="X91" s="2">
        <v>13.064</v>
      </c>
      <c r="Y91" s="2">
        <v>3.8799E-2</v>
      </c>
    </row>
    <row r="92" spans="1:25" ht="12.3">
      <c r="A92" s="11">
        <v>124.98</v>
      </c>
      <c r="B92" s="11">
        <v>464.7</v>
      </c>
      <c r="C92" s="11">
        <v>426.72</v>
      </c>
      <c r="D92" s="11">
        <v>2.3433999999999998E-3</v>
      </c>
      <c r="E92" s="11">
        <v>-1.2473000000000001</v>
      </c>
      <c r="F92" s="11">
        <v>6.2610000000000001</v>
      </c>
      <c r="G92" s="11">
        <v>4.0362</v>
      </c>
      <c r="H92" s="11">
        <v>1.2352000000000001</v>
      </c>
      <c r="I92" s="11">
        <v>16.474</v>
      </c>
      <c r="J92" s="11">
        <v>196.14</v>
      </c>
      <c r="K92" s="11">
        <v>4.3597999999999998E-2</v>
      </c>
      <c r="L92" s="11">
        <v>26.998000000000001</v>
      </c>
      <c r="M92" s="11">
        <v>5.6377999999999998E-2</v>
      </c>
      <c r="N92" s="150">
        <v>8.8646000000000005E-5</v>
      </c>
      <c r="O92" s="2">
        <v>204.61</v>
      </c>
      <c r="P92" s="2">
        <v>4.8875000000000004E-3</v>
      </c>
      <c r="Q92" s="2">
        <v>39.517000000000003</v>
      </c>
      <c r="R92" s="2">
        <v>55.177</v>
      </c>
      <c r="S92" s="2">
        <v>4.4276</v>
      </c>
      <c r="T92" s="2">
        <v>1.3993</v>
      </c>
      <c r="U92" s="2">
        <v>23.364999999999998</v>
      </c>
      <c r="V92" s="2">
        <v>160.37</v>
      </c>
      <c r="W92" s="2">
        <v>0.10700999999999999</v>
      </c>
      <c r="X92" s="2">
        <v>13.304</v>
      </c>
      <c r="Y92" s="2">
        <v>4.1300999999999997E-2</v>
      </c>
    </row>
    <row r="93" spans="1:25" ht="12.3">
      <c r="A93" s="11">
        <v>125.2</v>
      </c>
      <c r="B93" s="11">
        <v>469.7</v>
      </c>
      <c r="C93" s="11">
        <v>418.58</v>
      </c>
      <c r="D93" s="11">
        <v>2.3890000000000001E-3</v>
      </c>
      <c r="E93" s="11">
        <v>0.29799999999999999</v>
      </c>
      <c r="F93" s="11">
        <v>8.0347000000000008</v>
      </c>
      <c r="G93" s="11">
        <v>4.0496999999999996</v>
      </c>
      <c r="H93" s="11">
        <v>1.2716000000000001</v>
      </c>
      <c r="I93" s="11">
        <v>20.018000000000001</v>
      </c>
      <c r="J93" s="11">
        <v>187.99</v>
      </c>
      <c r="K93" s="11">
        <v>4.6412000000000002E-2</v>
      </c>
      <c r="L93" s="11">
        <v>26.219000000000001</v>
      </c>
      <c r="M93" s="11">
        <v>5.7230999999999997E-2</v>
      </c>
      <c r="N93" s="150">
        <v>6.8788999999999995E-5</v>
      </c>
      <c r="O93" s="2">
        <v>211.93</v>
      </c>
      <c r="P93" s="2">
        <v>4.7185999999999999E-3</v>
      </c>
      <c r="Q93" s="2">
        <v>38.079000000000001</v>
      </c>
      <c r="R93" s="2">
        <v>53.36</v>
      </c>
      <c r="S93" s="2">
        <v>4.4118000000000004</v>
      </c>
      <c r="T93" s="2">
        <v>1.4363999999999999</v>
      </c>
      <c r="U93" s="2">
        <v>28.846</v>
      </c>
      <c r="V93" s="2">
        <v>158.91</v>
      </c>
      <c r="W93" s="2">
        <v>0.10403</v>
      </c>
      <c r="X93" s="2">
        <v>13.58</v>
      </c>
      <c r="Y93" s="2">
        <v>4.4462000000000002E-2</v>
      </c>
    </row>
    <row r="94" spans="1:25" ht="12.3">
      <c r="A94" s="11">
        <v>125.43</v>
      </c>
      <c r="B94" s="11">
        <v>474.7</v>
      </c>
      <c r="C94" s="11">
        <v>409.34</v>
      </c>
      <c r="D94" s="11">
        <v>2.4429E-3</v>
      </c>
      <c r="E94" s="11">
        <v>2.0099</v>
      </c>
      <c r="F94" s="11">
        <v>10.005000000000001</v>
      </c>
      <c r="G94" s="11">
        <v>4.0648</v>
      </c>
      <c r="H94" s="11">
        <v>1.3172999999999999</v>
      </c>
      <c r="I94" s="11">
        <v>25.693000000000001</v>
      </c>
      <c r="J94" s="11">
        <v>179.27</v>
      </c>
      <c r="K94" s="11">
        <v>4.9652000000000002E-2</v>
      </c>
      <c r="L94" s="11">
        <v>25.366</v>
      </c>
      <c r="M94" s="11">
        <v>5.8638000000000003E-2</v>
      </c>
      <c r="N94" s="150">
        <v>5.0195000000000003E-5</v>
      </c>
      <c r="O94" s="2">
        <v>220.33</v>
      </c>
      <c r="P94" s="2">
        <v>4.5386000000000003E-3</v>
      </c>
      <c r="Q94" s="2">
        <v>36.417999999999999</v>
      </c>
      <c r="R94" s="2">
        <v>51.273000000000003</v>
      </c>
      <c r="S94" s="2">
        <v>4.3937999999999997</v>
      </c>
      <c r="T94" s="2">
        <v>1.4817</v>
      </c>
      <c r="U94" s="2">
        <v>37.527000000000001</v>
      </c>
      <c r="V94" s="2">
        <v>157.12</v>
      </c>
      <c r="W94" s="2">
        <v>0.10072</v>
      </c>
      <c r="X94" s="2">
        <v>13.904</v>
      </c>
      <c r="Y94" s="2">
        <v>4.8688000000000002E-2</v>
      </c>
    </row>
    <row r="95" spans="1:25" ht="12.3">
      <c r="A95" s="11">
        <v>125.64</v>
      </c>
      <c r="B95" s="11">
        <v>479.7</v>
      </c>
      <c r="C95" s="11">
        <v>398.43</v>
      </c>
      <c r="D95" s="11">
        <v>2.5098E-3</v>
      </c>
      <c r="E95" s="11">
        <v>3.9775</v>
      </c>
      <c r="F95" s="11">
        <v>12.279</v>
      </c>
      <c r="G95" s="11">
        <v>4.0822000000000003</v>
      </c>
      <c r="H95" s="11">
        <v>1.3774999999999999</v>
      </c>
      <c r="I95" s="11">
        <v>36.161999999999999</v>
      </c>
      <c r="J95" s="11">
        <v>169.77</v>
      </c>
      <c r="K95" s="11">
        <v>5.3483999999999997E-2</v>
      </c>
      <c r="L95" s="11">
        <v>24.4</v>
      </c>
      <c r="M95" s="11">
        <v>6.1133E-2</v>
      </c>
      <c r="N95" s="150">
        <v>3.3059999999999999E-5</v>
      </c>
      <c r="O95" s="2">
        <v>230.38</v>
      </c>
      <c r="P95" s="2">
        <v>4.3406E-3</v>
      </c>
      <c r="Q95" s="2">
        <v>34.423000000000002</v>
      </c>
      <c r="R95" s="2">
        <v>48.779000000000003</v>
      </c>
      <c r="S95" s="2">
        <v>4.3727</v>
      </c>
      <c r="T95" s="2">
        <v>1.5394000000000001</v>
      </c>
      <c r="U95" s="2">
        <v>53.274000000000001</v>
      </c>
      <c r="V95" s="2">
        <v>154.81</v>
      </c>
      <c r="W95" s="2">
        <v>9.6953999999999999E-2</v>
      </c>
      <c r="X95" s="2">
        <v>14.304</v>
      </c>
      <c r="Y95" s="2">
        <v>5.4871000000000003E-2</v>
      </c>
    </row>
    <row r="96" spans="1:25" ht="12.3">
      <c r="A96" s="11">
        <v>125.86</v>
      </c>
      <c r="B96" s="11">
        <v>484.7</v>
      </c>
      <c r="C96" s="11">
        <v>384.55</v>
      </c>
      <c r="D96" s="11">
        <v>2.6004000000000001E-3</v>
      </c>
      <c r="E96" s="11">
        <v>6.4047999999999998</v>
      </c>
      <c r="F96" s="11">
        <v>15.095000000000001</v>
      </c>
      <c r="G96" s="11">
        <v>4.1039000000000003</v>
      </c>
      <c r="H96" s="11">
        <v>1.4636</v>
      </c>
      <c r="I96" s="11">
        <v>61.411999999999999</v>
      </c>
      <c r="J96" s="11">
        <v>159.1</v>
      </c>
      <c r="K96" s="11">
        <v>5.8244999999999998E-2</v>
      </c>
      <c r="L96" s="11">
        <v>23.236000000000001</v>
      </c>
      <c r="M96" s="11">
        <v>6.6432000000000005E-2</v>
      </c>
      <c r="N96" s="150">
        <v>1.7717E-5</v>
      </c>
      <c r="O96" s="2">
        <v>243.35</v>
      </c>
      <c r="P96" s="2">
        <v>4.1092999999999998E-3</v>
      </c>
      <c r="Q96" s="2">
        <v>31.838000000000001</v>
      </c>
      <c r="R96" s="2">
        <v>45.570999999999998</v>
      </c>
      <c r="S96" s="2">
        <v>4.3460999999999999</v>
      </c>
      <c r="T96" s="2">
        <v>1.6187</v>
      </c>
      <c r="U96" s="2">
        <v>90.19</v>
      </c>
      <c r="V96" s="2">
        <v>151.57</v>
      </c>
      <c r="W96" s="2">
        <v>9.2413999999999996E-2</v>
      </c>
      <c r="X96" s="2">
        <v>14.840999999999999</v>
      </c>
      <c r="Y96" s="2">
        <v>6.5620999999999999E-2</v>
      </c>
    </row>
    <row r="97" spans="1:25" ht="12.3">
      <c r="A97" s="11">
        <v>126.07</v>
      </c>
      <c r="B97" s="11">
        <v>489.7</v>
      </c>
      <c r="C97" s="11">
        <v>362.98</v>
      </c>
      <c r="D97" s="11">
        <v>2.7550000000000001E-3</v>
      </c>
      <c r="E97" s="11">
        <v>10.047000000000001</v>
      </c>
      <c r="F97" s="11">
        <v>19.349</v>
      </c>
      <c r="G97" s="11">
        <v>4.1369999999999996</v>
      </c>
      <c r="H97" s="11">
        <v>1.6142000000000001</v>
      </c>
      <c r="I97" s="11">
        <v>191.46</v>
      </c>
      <c r="J97" s="11">
        <v>146.05000000000001</v>
      </c>
      <c r="K97" s="11">
        <v>6.4971000000000001E-2</v>
      </c>
      <c r="L97" s="11">
        <v>21.565000000000001</v>
      </c>
      <c r="M97" s="11">
        <v>8.5628999999999997E-2</v>
      </c>
      <c r="N97" s="150">
        <v>4.9253000000000001E-6</v>
      </c>
      <c r="O97" s="2">
        <v>263.92</v>
      </c>
      <c r="P97" s="2">
        <v>3.7889999999999998E-3</v>
      </c>
      <c r="Q97" s="2">
        <v>27.745000000000001</v>
      </c>
      <c r="R97" s="2">
        <v>40.537999999999997</v>
      </c>
      <c r="S97" s="2">
        <v>4.3049999999999997</v>
      </c>
      <c r="T97" s="2">
        <v>1.7475000000000001</v>
      </c>
      <c r="U97" s="2">
        <v>268.99</v>
      </c>
      <c r="V97" s="2">
        <v>145.97</v>
      </c>
      <c r="W97" s="2">
        <v>8.6069999999999994E-2</v>
      </c>
      <c r="X97" s="2">
        <v>15.752000000000001</v>
      </c>
      <c r="Y97" s="2">
        <v>9.5960000000000004E-2</v>
      </c>
    </row>
    <row r="98" spans="1:25" ht="12.3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2" t="s">
        <v>538</v>
      </c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3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2" t="s">
        <v>538</v>
      </c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3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2" t="s">
        <v>538</v>
      </c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3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2" t="s">
        <v>538</v>
      </c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3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2" t="s">
        <v>538</v>
      </c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2" t="s">
        <v>538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3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2" t="s">
        <v>538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3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2" t="s">
        <v>538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3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2" t="s">
        <v>538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3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2" t="s">
        <v>538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3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2" t="s">
        <v>538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3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2" t="s">
        <v>538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3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2" t="s">
        <v>538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3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2" t="s">
        <v>538</v>
      </c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3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2" t="s">
        <v>538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2" t="s">
        <v>538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3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2" t="s">
        <v>538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3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2" t="s">
        <v>538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3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2" t="s">
        <v>538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3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2" t="s">
        <v>538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3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2" t="s">
        <v>538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3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2" t="s">
        <v>538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3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2" t="s">
        <v>538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3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2" t="s">
        <v>538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3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2" t="s">
        <v>538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2" t="s">
        <v>538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3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2" t="s">
        <v>538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3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2" t="s">
        <v>538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3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2" t="s">
        <v>538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3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2" t="s">
        <v>538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3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2" t="s">
        <v>538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3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2" t="s">
        <v>538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3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2" t="s">
        <v>538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3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2" t="s">
        <v>538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3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2" t="s">
        <v>538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2" t="s">
        <v>538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3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2" t="s">
        <v>538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3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2" t="s">
        <v>538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3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2" t="s">
        <v>538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3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2" t="s">
        <v>538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3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2" t="s">
        <v>538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3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2" t="s">
        <v>538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3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2" t="s">
        <v>538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3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2" t="s">
        <v>538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3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2" t="s">
        <v>538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2" t="s">
        <v>538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3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2" t="s">
        <v>538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3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2" t="s">
        <v>538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3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2" t="s">
        <v>538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3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2" t="s">
        <v>538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3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2" t="s">
        <v>538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3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2" t="s">
        <v>538</v>
      </c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3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2" t="s">
        <v>538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3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2" t="s">
        <v>538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3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2" t="s">
        <v>538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2" t="s">
        <v>538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3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2" t="s">
        <v>538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3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2" t="s">
        <v>538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3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2" t="s">
        <v>538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3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2" t="s">
        <v>538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3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2" t="s">
        <v>538</v>
      </c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3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2" t="s">
        <v>538</v>
      </c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3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2" t="s">
        <v>538</v>
      </c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3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2" t="s">
        <v>538</v>
      </c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3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2" t="s">
        <v>538</v>
      </c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2" t="s">
        <v>538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3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2" t="s">
        <v>538</v>
      </c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3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2" t="s">
        <v>538</v>
      </c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3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2" t="s">
        <v>538</v>
      </c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3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2" t="s">
        <v>538</v>
      </c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3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2" t="s">
        <v>538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3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2" t="s">
        <v>538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3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2" t="s">
        <v>538</v>
      </c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3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2" t="s">
        <v>538</v>
      </c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3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2" t="s">
        <v>538</v>
      </c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2" t="s">
        <v>538</v>
      </c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3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2" t="s">
        <v>538</v>
      </c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3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2" t="s">
        <v>538</v>
      </c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3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2" t="s">
        <v>538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3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2" t="s">
        <v>538</v>
      </c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3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2" t="s">
        <v>538</v>
      </c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3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2" t="s">
        <v>538</v>
      </c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3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2" t="s">
        <v>538</v>
      </c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3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2" t="s">
        <v>538</v>
      </c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3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2" t="s">
        <v>538</v>
      </c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2" t="s">
        <v>538</v>
      </c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3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2" t="s">
        <v>538</v>
      </c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3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2" t="s">
        <v>538</v>
      </c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3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2" t="s">
        <v>538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3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2" t="s">
        <v>538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3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2" t="s">
        <v>538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3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2" t="s">
        <v>538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3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2" t="s">
        <v>538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3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2" t="s">
        <v>538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3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2" t="s">
        <v>538</v>
      </c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2" t="s">
        <v>538</v>
      </c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3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2" t="s">
        <v>538</v>
      </c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3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2" t="s">
        <v>538</v>
      </c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3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2" t="s">
        <v>538</v>
      </c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3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2" t="s">
        <v>538</v>
      </c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3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2" t="s">
        <v>538</v>
      </c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3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2" t="s">
        <v>538</v>
      </c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3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2" t="s">
        <v>538</v>
      </c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3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2" t="s">
        <v>538</v>
      </c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3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2" t="s">
        <v>538</v>
      </c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2" t="s">
        <v>538</v>
      </c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3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2" t="s">
        <v>538</v>
      </c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3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2" t="s">
        <v>538</v>
      </c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3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2" t="s">
        <v>538</v>
      </c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3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2" t="s">
        <v>538</v>
      </c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3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2" t="s">
        <v>538</v>
      </c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3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2" t="s">
        <v>538</v>
      </c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3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2" t="s">
        <v>538</v>
      </c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3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2" t="s">
        <v>538</v>
      </c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3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2" t="s">
        <v>538</v>
      </c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2" t="s">
        <v>538</v>
      </c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3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2" t="s">
        <v>538</v>
      </c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3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2" t="s">
        <v>538</v>
      </c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3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2" t="s">
        <v>538</v>
      </c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3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2" t="s">
        <v>538</v>
      </c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3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2" t="s">
        <v>538</v>
      </c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3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2" t="s">
        <v>538</v>
      </c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3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2" t="s">
        <v>538</v>
      </c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3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2" t="s">
        <v>538</v>
      </c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3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2" t="s">
        <v>538</v>
      </c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2" t="s">
        <v>538</v>
      </c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3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2" t="s">
        <v>538</v>
      </c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3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2" t="s">
        <v>538</v>
      </c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3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2" t="s">
        <v>538</v>
      </c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3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2" t="s">
        <v>538</v>
      </c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3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2" t="s">
        <v>538</v>
      </c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3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2" t="s">
        <v>538</v>
      </c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3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2" t="s">
        <v>538</v>
      </c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3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2" t="s">
        <v>538</v>
      </c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3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2" t="s">
        <v>538</v>
      </c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2" t="s">
        <v>538</v>
      </c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3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2" t="s">
        <v>538</v>
      </c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3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2" t="s">
        <v>538</v>
      </c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3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2" t="s">
        <v>538</v>
      </c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3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2" t="s">
        <v>538</v>
      </c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3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2" t="s">
        <v>538</v>
      </c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3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2" t="s">
        <v>538</v>
      </c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3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2" t="s">
        <v>538</v>
      </c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3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2" t="s">
        <v>538</v>
      </c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3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2" t="s">
        <v>538</v>
      </c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2" t="s">
        <v>538</v>
      </c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3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2" t="s">
        <v>538</v>
      </c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3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2" t="s">
        <v>538</v>
      </c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3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2" t="s">
        <v>538</v>
      </c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3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2" t="s">
        <v>538</v>
      </c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3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2" t="s">
        <v>538</v>
      </c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3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2" t="s">
        <v>538</v>
      </c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3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2" t="s">
        <v>538</v>
      </c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3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2" t="s">
        <v>538</v>
      </c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3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2" t="s">
        <v>538</v>
      </c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2" t="s">
        <v>538</v>
      </c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3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2" t="s">
        <v>538</v>
      </c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3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2" t="s">
        <v>538</v>
      </c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3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2" t="s">
        <v>538</v>
      </c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3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2" t="s">
        <v>538</v>
      </c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3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2" t="s">
        <v>538</v>
      </c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3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2" t="s">
        <v>538</v>
      </c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3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2" t="s">
        <v>538</v>
      </c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3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2" t="s">
        <v>538</v>
      </c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3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2" t="s">
        <v>538</v>
      </c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2" t="s">
        <v>538</v>
      </c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3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2" t="s">
        <v>538</v>
      </c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3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2" t="s">
        <v>538</v>
      </c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3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2" t="s">
        <v>538</v>
      </c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3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2" t="s">
        <v>538</v>
      </c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3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2" t="s">
        <v>538</v>
      </c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3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2" t="s">
        <v>538</v>
      </c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3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2" t="s">
        <v>538</v>
      </c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3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2" t="s">
        <v>538</v>
      </c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3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2" t="s">
        <v>538</v>
      </c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2" t="s">
        <v>538</v>
      </c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3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2" t="s">
        <v>538</v>
      </c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3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2" t="s">
        <v>538</v>
      </c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3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2" t="s">
        <v>538</v>
      </c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3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2" t="s">
        <v>538</v>
      </c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3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2" t="s">
        <v>538</v>
      </c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3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2" t="s">
        <v>538</v>
      </c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3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2" t="s">
        <v>538</v>
      </c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3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2" t="s">
        <v>538</v>
      </c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3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2" t="s">
        <v>538</v>
      </c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2" t="s">
        <v>538</v>
      </c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3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2" t="s">
        <v>538</v>
      </c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3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2" t="s">
        <v>538</v>
      </c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3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2" t="s">
        <v>538</v>
      </c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3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2" t="s">
        <v>538</v>
      </c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3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2" t="s">
        <v>538</v>
      </c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3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2" t="s">
        <v>538</v>
      </c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3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2" t="s">
        <v>538</v>
      </c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3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2" t="s">
        <v>538</v>
      </c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3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2" t="s">
        <v>538</v>
      </c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2" t="s">
        <v>538</v>
      </c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3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2" t="s">
        <v>538</v>
      </c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3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2" t="s">
        <v>538</v>
      </c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3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2" t="s">
        <v>538</v>
      </c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3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2" t="s">
        <v>538</v>
      </c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3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2" t="s">
        <v>538</v>
      </c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3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2" t="s">
        <v>538</v>
      </c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3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2" t="s">
        <v>538</v>
      </c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3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2" t="s">
        <v>538</v>
      </c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3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2" t="s">
        <v>538</v>
      </c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2" t="s">
        <v>538</v>
      </c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3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2" t="s">
        <v>538</v>
      </c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3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2" t="s">
        <v>538</v>
      </c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3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2" t="s">
        <v>538</v>
      </c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3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2" t="s">
        <v>538</v>
      </c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3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2" t="s">
        <v>538</v>
      </c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3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2" t="s">
        <v>538</v>
      </c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3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2" t="s">
        <v>538</v>
      </c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3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2" t="s">
        <v>538</v>
      </c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3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2" t="s">
        <v>538</v>
      </c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2" t="s">
        <v>538</v>
      </c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3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2" t="s">
        <v>538</v>
      </c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3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2" t="s">
        <v>538</v>
      </c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3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2" t="s">
        <v>538</v>
      </c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3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2" t="s">
        <v>538</v>
      </c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3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2" t="s">
        <v>538</v>
      </c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3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2" t="s">
        <v>538</v>
      </c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3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2" t="s">
        <v>538</v>
      </c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3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2" t="s">
        <v>538</v>
      </c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3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2" t="s">
        <v>538</v>
      </c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2" t="s">
        <v>538</v>
      </c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3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2" t="s">
        <v>538</v>
      </c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3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2" t="s">
        <v>538</v>
      </c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3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2" t="s">
        <v>538</v>
      </c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3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2" t="s">
        <v>538</v>
      </c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3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2" t="s">
        <v>538</v>
      </c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3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2" t="s">
        <v>538</v>
      </c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3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2" t="s">
        <v>538</v>
      </c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3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2" t="s">
        <v>538</v>
      </c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3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2" t="s">
        <v>538</v>
      </c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2" t="s">
        <v>538</v>
      </c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3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2" t="s">
        <v>538</v>
      </c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3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2" t="s">
        <v>538</v>
      </c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3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2" t="s">
        <v>538</v>
      </c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3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2" t="s">
        <v>538</v>
      </c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3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2" t="s">
        <v>538</v>
      </c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3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2" t="s">
        <v>538</v>
      </c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3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2" t="s">
        <v>538</v>
      </c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3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2" t="s">
        <v>538</v>
      </c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3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2" t="s">
        <v>538</v>
      </c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2" t="s">
        <v>538</v>
      </c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3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2" t="s">
        <v>538</v>
      </c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3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2" t="s">
        <v>538</v>
      </c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3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2" t="s">
        <v>538</v>
      </c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3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2" t="s">
        <v>538</v>
      </c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3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2" t="s">
        <v>538</v>
      </c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3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2" t="s">
        <v>538</v>
      </c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3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2" t="s">
        <v>538</v>
      </c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3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2" t="s">
        <v>538</v>
      </c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3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2" t="s">
        <v>538</v>
      </c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2" t="s">
        <v>538</v>
      </c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3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2" t="s">
        <v>538</v>
      </c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3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2" t="s">
        <v>538</v>
      </c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3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2" t="s">
        <v>538</v>
      </c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3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2" t="s">
        <v>538</v>
      </c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3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2" t="s">
        <v>538</v>
      </c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3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2" t="s">
        <v>538</v>
      </c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3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2" t="s">
        <v>538</v>
      </c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3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2" t="s">
        <v>538</v>
      </c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3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2" t="s">
        <v>538</v>
      </c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2" t="s">
        <v>538</v>
      </c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3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2" t="s">
        <v>538</v>
      </c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3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2" t="s">
        <v>538</v>
      </c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3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2" t="s">
        <v>538</v>
      </c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3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2" t="s">
        <v>538</v>
      </c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3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2" t="s">
        <v>538</v>
      </c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3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2" t="s">
        <v>538</v>
      </c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3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2" t="s">
        <v>538</v>
      </c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3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2" t="s">
        <v>538</v>
      </c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3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2" t="s">
        <v>538</v>
      </c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2" t="s">
        <v>538</v>
      </c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3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2" t="s">
        <v>538</v>
      </c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3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2" t="s">
        <v>538</v>
      </c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3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2" t="s">
        <v>538</v>
      </c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3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2" t="s">
        <v>538</v>
      </c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3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2" t="s">
        <v>538</v>
      </c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3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2" t="s">
        <v>538</v>
      </c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3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2" t="s">
        <v>538</v>
      </c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3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2" t="s">
        <v>538</v>
      </c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3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2" t="s">
        <v>538</v>
      </c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2" t="s">
        <v>538</v>
      </c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3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2" t="s">
        <v>538</v>
      </c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3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2" t="s">
        <v>538</v>
      </c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3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2" t="s">
        <v>538</v>
      </c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</sheetData>
  <printOptions horizontalCentered="1" gridLines="1"/>
  <pageMargins left="0.7" right="0.7" top="0.75" bottom="0.75" header="0" footer="0"/>
  <pageSetup pageOrder="overThenDown" orientation="landscape" cellComments="atEnd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M68"/>
  <sheetViews>
    <sheetView workbookViewId="0"/>
  </sheetViews>
  <sheetFormatPr defaultColWidth="12.609375" defaultRowHeight="15.75" customHeight="1"/>
  <cols>
    <col min="1" max="1" width="17.5" customWidth="1"/>
  </cols>
  <sheetData>
    <row r="1" spans="1:12" ht="67.5" customHeight="1">
      <c r="A1" s="151" t="s">
        <v>157</v>
      </c>
      <c r="B1" s="152"/>
      <c r="C1" s="152"/>
      <c r="D1" s="152"/>
      <c r="E1" s="152"/>
      <c r="F1" s="152"/>
      <c r="G1" s="152"/>
      <c r="I1" s="1"/>
      <c r="J1" s="1"/>
      <c r="K1" s="1"/>
      <c r="L1" s="2"/>
    </row>
    <row r="2" spans="1:12" ht="12.3">
      <c r="A2" s="3" t="s">
        <v>1</v>
      </c>
      <c r="B2" s="4"/>
      <c r="C2" s="4"/>
      <c r="D2" s="4"/>
      <c r="E2" s="4"/>
      <c r="F2" s="4"/>
      <c r="G2" s="4"/>
      <c r="I2" s="1" t="s">
        <v>2</v>
      </c>
      <c r="J2" s="1" t="s">
        <v>3</v>
      </c>
      <c r="K2" s="1" t="s">
        <v>4</v>
      </c>
      <c r="L2" s="2" t="s">
        <v>5</v>
      </c>
    </row>
    <row r="3" spans="1:12" ht="12.3">
      <c r="A3" s="2" t="s">
        <v>6</v>
      </c>
      <c r="B3" s="2">
        <v>80</v>
      </c>
      <c r="C3" s="2" t="s">
        <v>7</v>
      </c>
      <c r="D3" s="2">
        <f>I11*B3</f>
        <v>551600</v>
      </c>
      <c r="E3" s="2" t="s">
        <v>8</v>
      </c>
      <c r="F3" s="2" t="s">
        <v>9</v>
      </c>
      <c r="I3" s="2"/>
      <c r="J3" s="2"/>
      <c r="K3" s="2"/>
    </row>
    <row r="4" spans="1:12" ht="12.3">
      <c r="A4" s="2" t="s">
        <v>10</v>
      </c>
      <c r="B4" s="2">
        <v>90</v>
      </c>
      <c r="C4" s="2" t="s">
        <v>7</v>
      </c>
      <c r="D4" s="2">
        <f>I11*B4</f>
        <v>620550</v>
      </c>
      <c r="E4" s="2" t="s">
        <v>8</v>
      </c>
      <c r="F4" s="2" t="s">
        <v>11</v>
      </c>
      <c r="I4" s="2">
        <v>1000</v>
      </c>
      <c r="J4" s="2" t="s">
        <v>12</v>
      </c>
      <c r="K4" s="2" t="s">
        <v>13</v>
      </c>
    </row>
    <row r="5" spans="1:12" ht="12.3">
      <c r="A5" s="2" t="s">
        <v>14</v>
      </c>
      <c r="B5" s="2">
        <v>0.79800000000000004</v>
      </c>
      <c r="C5" s="2" t="s">
        <v>15</v>
      </c>
      <c r="D5" s="5">
        <f>B5*I4</f>
        <v>798</v>
      </c>
      <c r="E5" s="2" t="s">
        <v>13</v>
      </c>
      <c r="F5" s="2" t="s">
        <v>16</v>
      </c>
      <c r="I5" s="2">
        <v>2.2046199999999998</v>
      </c>
      <c r="J5" s="2" t="s">
        <v>17</v>
      </c>
      <c r="K5" s="2" t="s">
        <v>18</v>
      </c>
    </row>
    <row r="6" spans="1:12" ht="12.3">
      <c r="A6" s="2" t="s">
        <v>19</v>
      </c>
      <c r="B6" s="2">
        <v>1.141</v>
      </c>
      <c r="C6" s="2" t="s">
        <v>15</v>
      </c>
      <c r="D6" s="6">
        <f>B6*I4</f>
        <v>1141</v>
      </c>
      <c r="E6" s="2" t="s">
        <v>13</v>
      </c>
      <c r="F6" s="2" t="s">
        <v>20</v>
      </c>
      <c r="I6" s="2">
        <v>25.4</v>
      </c>
      <c r="J6" s="2" t="s">
        <v>21</v>
      </c>
      <c r="K6" s="2" t="s">
        <v>22</v>
      </c>
    </row>
    <row r="7" spans="1:12" ht="12.3">
      <c r="A7" s="2" t="s">
        <v>23</v>
      </c>
      <c r="B7" s="2">
        <v>1.3</v>
      </c>
      <c r="C7" s="2" t="s">
        <v>24</v>
      </c>
      <c r="D7" s="7">
        <f>B7*10^(-3)</f>
        <v>1.3000000000000002E-3</v>
      </c>
      <c r="E7" s="2" t="s">
        <v>25</v>
      </c>
      <c r="F7" s="2" t="s">
        <v>26</v>
      </c>
      <c r="I7" s="2"/>
      <c r="J7" s="2"/>
      <c r="K7" s="2"/>
    </row>
    <row r="8" spans="1:12" ht="12.3">
      <c r="A8" s="2" t="s">
        <v>27</v>
      </c>
      <c r="B8" s="2">
        <v>138</v>
      </c>
      <c r="C8" s="2" t="s">
        <v>28</v>
      </c>
      <c r="D8" s="8">
        <f>B8*10^-6</f>
        <v>1.3799999999999999E-4</v>
      </c>
      <c r="E8" s="2" t="s">
        <v>25</v>
      </c>
      <c r="F8" s="2" t="s">
        <v>29</v>
      </c>
      <c r="I8" s="2" t="s">
        <v>30</v>
      </c>
      <c r="J8" s="2" t="s">
        <v>31</v>
      </c>
      <c r="K8" s="2" t="s">
        <v>32</v>
      </c>
    </row>
    <row r="9" spans="1:12" ht="12.3">
      <c r="A9" s="9" t="s">
        <v>33</v>
      </c>
      <c r="B9" s="10">
        <v>18</v>
      </c>
      <c r="C9" s="9"/>
      <c r="D9" s="11"/>
      <c r="E9" s="2"/>
      <c r="F9" s="2"/>
      <c r="I9" s="2"/>
      <c r="J9" s="2"/>
      <c r="K9" s="2"/>
    </row>
    <row r="10" spans="1:12" ht="12.3">
      <c r="A10" s="9" t="s">
        <v>34</v>
      </c>
      <c r="B10" s="10">
        <v>2</v>
      </c>
      <c r="C10" s="9"/>
      <c r="D10" s="11"/>
      <c r="E10" s="2"/>
      <c r="F10" s="2" t="s">
        <v>35</v>
      </c>
      <c r="I10" s="2"/>
      <c r="J10" s="2"/>
      <c r="K10" s="2"/>
    </row>
    <row r="11" spans="1:12" ht="12.3">
      <c r="A11" s="1" t="s">
        <v>36</v>
      </c>
      <c r="B11" s="1">
        <v>0.35</v>
      </c>
      <c r="C11" s="1" t="s">
        <v>37</v>
      </c>
      <c r="D11" s="11">
        <f>B11*I5</f>
        <v>0.77161699999999989</v>
      </c>
      <c r="E11" s="2" t="s">
        <v>38</v>
      </c>
      <c r="F11" s="2" t="s">
        <v>39</v>
      </c>
      <c r="I11" s="2">
        <v>6895</v>
      </c>
      <c r="J11" s="2" t="s">
        <v>40</v>
      </c>
      <c r="K11" s="2" t="s">
        <v>41</v>
      </c>
    </row>
    <row r="12" spans="1:12" ht="12.3">
      <c r="A12" s="1" t="s">
        <v>42</v>
      </c>
      <c r="B12" s="13">
        <v>1.55</v>
      </c>
      <c r="C12" s="1" t="s">
        <v>43</v>
      </c>
      <c r="F12" s="2" t="s">
        <v>44</v>
      </c>
      <c r="I12" s="2">
        <v>5.7870000000000003E-4</v>
      </c>
      <c r="J12" s="2" t="s">
        <v>45</v>
      </c>
    </row>
    <row r="13" spans="1:12" ht="12.3">
      <c r="A13" s="2" t="s">
        <v>46</v>
      </c>
      <c r="B13" s="14">
        <f>InjectorDesign!B13</f>
        <v>0.49199999999999999</v>
      </c>
      <c r="C13" s="2" t="s">
        <v>47</v>
      </c>
      <c r="F13" s="2" t="s">
        <v>48</v>
      </c>
    </row>
    <row r="14" spans="1:12" ht="12.3">
      <c r="A14" s="2" t="s">
        <v>49</v>
      </c>
      <c r="B14" s="11">
        <f>InjectorDesign!B14</f>
        <v>0.81799999999999995</v>
      </c>
      <c r="C14" s="2" t="s">
        <v>47</v>
      </c>
      <c r="F14" s="2" t="s">
        <v>50</v>
      </c>
      <c r="I14" s="2"/>
      <c r="J14" s="2"/>
    </row>
    <row r="15" spans="1:12" ht="12.3">
      <c r="A15" s="2" t="s">
        <v>158</v>
      </c>
      <c r="B15" s="14" t="e">
        <f>#REF!</f>
        <v>#REF!</v>
      </c>
      <c r="C15" s="2" t="s">
        <v>47</v>
      </c>
      <c r="F15" s="2" t="s">
        <v>159</v>
      </c>
      <c r="I15" s="2">
        <v>386</v>
      </c>
      <c r="J15" s="2" t="s">
        <v>160</v>
      </c>
    </row>
    <row r="16" spans="1:12" ht="12.3">
      <c r="A16" s="1" t="s">
        <v>52</v>
      </c>
      <c r="B16" s="2"/>
      <c r="C16" s="2"/>
      <c r="F16" s="2"/>
    </row>
    <row r="17" spans="1:13" ht="12.3">
      <c r="A17" s="2" t="s">
        <v>53</v>
      </c>
      <c r="B17" s="2">
        <v>8</v>
      </c>
      <c r="C17" s="2" t="s">
        <v>54</v>
      </c>
      <c r="F17" s="2" t="s">
        <v>55</v>
      </c>
    </row>
    <row r="18" spans="1:13" ht="12.3">
      <c r="A18" s="2" t="s">
        <v>56</v>
      </c>
      <c r="B18" s="2">
        <v>8</v>
      </c>
      <c r="C18" s="2" t="s">
        <v>54</v>
      </c>
      <c r="F18" s="2" t="s">
        <v>57</v>
      </c>
    </row>
    <row r="19" spans="1:13" ht="12.3">
      <c r="A19" s="2" t="s">
        <v>58</v>
      </c>
      <c r="B19" s="2">
        <v>8</v>
      </c>
      <c r="C19" s="2" t="s">
        <v>54</v>
      </c>
      <c r="F19" s="2" t="s">
        <v>59</v>
      </c>
      <c r="L19" s="2"/>
    </row>
    <row r="20" spans="1:13" ht="12.3">
      <c r="A20" s="2" t="s">
        <v>60</v>
      </c>
      <c r="B20" s="14">
        <v>0.13</v>
      </c>
      <c r="C20" s="2" t="s">
        <v>61</v>
      </c>
      <c r="F20" s="2" t="s">
        <v>62</v>
      </c>
      <c r="L20" s="2"/>
    </row>
    <row r="21" spans="1:13" ht="12.3">
      <c r="A21" s="1" t="s">
        <v>63</v>
      </c>
      <c r="L21" s="2"/>
    </row>
    <row r="22" spans="1:13" ht="12.3">
      <c r="A22" s="2" t="s">
        <v>64</v>
      </c>
      <c r="B22" s="2">
        <v>0.25</v>
      </c>
      <c r="C22" s="2" t="s">
        <v>65</v>
      </c>
      <c r="D22">
        <f>B22*I6</f>
        <v>6.35</v>
      </c>
      <c r="E22" s="2" t="s">
        <v>66</v>
      </c>
      <c r="F22" s="2" t="s">
        <v>67</v>
      </c>
      <c r="L22" s="2"/>
    </row>
    <row r="23" spans="1:13" ht="12.3">
      <c r="A23" s="2" t="s">
        <v>68</v>
      </c>
      <c r="B23" s="2">
        <v>0.1</v>
      </c>
      <c r="C23" s="2" t="s">
        <v>65</v>
      </c>
      <c r="D23">
        <f>B23*I6</f>
        <v>2.54</v>
      </c>
      <c r="E23" s="2" t="s">
        <v>66</v>
      </c>
      <c r="F23" s="2" t="s">
        <v>69</v>
      </c>
      <c r="L23" s="2"/>
    </row>
    <row r="24" spans="1:13" ht="12.3">
      <c r="L24" s="2"/>
    </row>
    <row r="25" spans="1:13" ht="12.3">
      <c r="L25" s="2"/>
    </row>
    <row r="26" spans="1:13" ht="12.3">
      <c r="A26" s="3" t="s">
        <v>70</v>
      </c>
      <c r="B26" s="15"/>
      <c r="C26" s="4"/>
      <c r="D26" s="15"/>
      <c r="E26" s="4"/>
      <c r="F26" s="4"/>
      <c r="G26" s="4"/>
    </row>
    <row r="27" spans="1:13" ht="12.3">
      <c r="A27" s="1" t="s">
        <v>71</v>
      </c>
      <c r="B27" s="11">
        <f>B11/(1+B12)</f>
        <v>0.13725490196078433</v>
      </c>
      <c r="C27" s="2" t="s">
        <v>37</v>
      </c>
      <c r="D27" s="11">
        <f>B27*I5</f>
        <v>0.30259490196078431</v>
      </c>
      <c r="E27" s="2" t="s">
        <v>38</v>
      </c>
      <c r="F27" s="2" t="s">
        <v>72</v>
      </c>
    </row>
    <row r="28" spans="1:13" ht="12.3">
      <c r="A28" s="1" t="s">
        <v>73</v>
      </c>
      <c r="B28" s="11">
        <f>B11*B12/(1+B12)</f>
        <v>0.21274509803921571</v>
      </c>
      <c r="C28" s="2" t="s">
        <v>37</v>
      </c>
      <c r="D28" s="11">
        <f>B28*I5</f>
        <v>0.46902209803921568</v>
      </c>
      <c r="E28" s="2" t="s">
        <v>38</v>
      </c>
      <c r="F28" s="2" t="s">
        <v>74</v>
      </c>
      <c r="L28" s="16"/>
      <c r="M28" s="2"/>
    </row>
    <row r="29" spans="1:13" ht="12.3">
      <c r="A29" s="2" t="s">
        <v>77</v>
      </c>
      <c r="B29" s="18">
        <f t="shared" ref="B29:B30" si="0">B27/D5*(100^3)</f>
        <v>171.99862401100793</v>
      </c>
      <c r="C29" s="2" t="e">
        <f>[1]!A1R</f>
        <v>#NAME?</v>
      </c>
      <c r="D29" s="11">
        <f t="shared" ref="D29:D30" si="1">B29 * 0.000264172 * 60</f>
        <v>2.7262332301341594</v>
      </c>
      <c r="E29" s="2" t="s">
        <v>79</v>
      </c>
      <c r="F29" s="2" t="s">
        <v>80</v>
      </c>
    </row>
    <row r="30" spans="1:13" ht="12.3">
      <c r="A30" s="2" t="s">
        <v>81</v>
      </c>
      <c r="B30" s="18">
        <f t="shared" si="0"/>
        <v>186.45495007819079</v>
      </c>
      <c r="C30" s="2" t="s">
        <v>161</v>
      </c>
      <c r="D30" s="11">
        <f t="shared" si="1"/>
        <v>2.9553706243233488</v>
      </c>
      <c r="E30" s="2" t="s">
        <v>79</v>
      </c>
      <c r="F30" s="19" t="s">
        <v>82</v>
      </c>
    </row>
    <row r="31" spans="1:13" ht="12.3">
      <c r="A31" s="2" t="s">
        <v>162</v>
      </c>
      <c r="B31" s="18">
        <v>1.7900000000000001E-5</v>
      </c>
      <c r="C31" s="2" t="s">
        <v>84</v>
      </c>
      <c r="D31" s="11">
        <f t="shared" ref="D31:D32" si="2">B31*1000000</f>
        <v>17.900000000000002</v>
      </c>
      <c r="E31" s="2" t="s">
        <v>85</v>
      </c>
      <c r="F31" s="2" t="s">
        <v>86</v>
      </c>
    </row>
    <row r="32" spans="1:13" ht="16.5">
      <c r="A32" s="2" t="s">
        <v>163</v>
      </c>
      <c r="B32" s="18">
        <v>2.0599999999999999E-5</v>
      </c>
      <c r="C32" s="2" t="s">
        <v>84</v>
      </c>
      <c r="D32" s="11">
        <f t="shared" si="2"/>
        <v>20.599999999999998</v>
      </c>
      <c r="E32" s="2" t="s">
        <v>85</v>
      </c>
      <c r="F32" s="2" t="s">
        <v>88</v>
      </c>
      <c r="J32" s="20"/>
      <c r="M32" s="2"/>
    </row>
    <row r="33" spans="1:12" ht="12.3">
      <c r="A33" s="2" t="s">
        <v>90</v>
      </c>
      <c r="B33" s="22">
        <f>B31*B14</f>
        <v>1.46422E-5</v>
      </c>
      <c r="C33" s="2"/>
      <c r="D33" s="11"/>
      <c r="E33" s="2"/>
      <c r="F33" s="2"/>
      <c r="J33" s="2"/>
    </row>
    <row r="34" spans="1:12" ht="12.3">
      <c r="A34" s="2" t="s">
        <v>91</v>
      </c>
      <c r="B34" s="8">
        <f>B32*B13</f>
        <v>1.0135199999999999E-5</v>
      </c>
      <c r="C34" s="2"/>
      <c r="D34" s="11"/>
      <c r="E34" s="2"/>
      <c r="F34" s="2"/>
      <c r="J34" s="2"/>
    </row>
    <row r="35" spans="1:12" ht="12.3">
      <c r="A35" s="23" t="s">
        <v>92</v>
      </c>
      <c r="B35" s="24"/>
      <c r="C35" s="25"/>
      <c r="D35" s="26"/>
      <c r="E35" s="25"/>
      <c r="F35" s="25"/>
      <c r="G35" s="25"/>
      <c r="J35" s="2"/>
    </row>
    <row r="36" spans="1:12" ht="12.3">
      <c r="A36" s="1" t="s">
        <v>93</v>
      </c>
      <c r="B36" s="5">
        <v>1.5743</v>
      </c>
      <c r="C36" s="2" t="s">
        <v>66</v>
      </c>
      <c r="D36" s="5">
        <f>B36/I6</f>
        <v>6.1980314960629924E-2</v>
      </c>
      <c r="E36" s="2" t="s">
        <v>65</v>
      </c>
      <c r="F36" s="2" t="s">
        <v>94</v>
      </c>
    </row>
    <row r="37" spans="1:12" ht="12.3">
      <c r="A37" s="2" t="s">
        <v>95</v>
      </c>
      <c r="B37" s="5">
        <f>2*SQRT((B20)*D31/(B17*PI()))</f>
        <v>0.60856680206435887</v>
      </c>
      <c r="C37" s="2" t="s">
        <v>66</v>
      </c>
      <c r="D37" s="5">
        <f>B37/I6</f>
        <v>2.395932291591964E-2</v>
      </c>
      <c r="E37" s="2" t="s">
        <v>65</v>
      </c>
      <c r="F37" s="2" t="s">
        <v>96</v>
      </c>
      <c r="L37" s="2"/>
    </row>
    <row r="38" spans="1:12" ht="12.3">
      <c r="A38" s="1" t="s">
        <v>97</v>
      </c>
      <c r="B38" s="5">
        <v>1.8107</v>
      </c>
      <c r="C38" s="2" t="s">
        <v>66</v>
      </c>
      <c r="D38" s="5">
        <f>B38/I6</f>
        <v>7.128740157480315E-2</v>
      </c>
      <c r="E38" s="2" t="s">
        <v>65</v>
      </c>
      <c r="F38" s="2" t="s">
        <v>98</v>
      </c>
      <c r="L38" s="2"/>
    </row>
    <row r="39" spans="1:12" ht="16.5">
      <c r="A39" s="2" t="s">
        <v>164</v>
      </c>
      <c r="B39" s="40">
        <f>B28/((1-B20)*B27)</f>
        <v>1.781609195402299</v>
      </c>
      <c r="C39" s="2"/>
      <c r="F39" s="2" t="s">
        <v>100</v>
      </c>
    </row>
    <row r="40" spans="1:12" ht="12.3">
      <c r="A40" s="2" t="s">
        <v>101</v>
      </c>
      <c r="B40" s="29">
        <f>(1-B20)*(B27)/((B31)*(D5))</f>
        <v>8.3597096586355804</v>
      </c>
      <c r="C40" s="2" t="s">
        <v>102</v>
      </c>
      <c r="F40" s="2" t="s">
        <v>103</v>
      </c>
    </row>
    <row r="41" spans="1:12" ht="12.3">
      <c r="A41" s="2" t="s">
        <v>104</v>
      </c>
      <c r="B41" s="29">
        <f>(B28)/((B32)*(D6))</f>
        <v>9.0512111688442136</v>
      </c>
      <c r="C41" s="2" t="s">
        <v>102</v>
      </c>
      <c r="F41" s="2" t="s">
        <v>105</v>
      </c>
      <c r="J41" s="2"/>
    </row>
    <row r="42" spans="1:12" ht="12.3">
      <c r="A42" s="2" t="s">
        <v>106</v>
      </c>
      <c r="B42" s="29">
        <f>(B20)*(B27)/((B31)*(D5))</f>
        <v>1.2491520179570408</v>
      </c>
      <c r="C42" s="2" t="s">
        <v>102</v>
      </c>
      <c r="F42" s="2" t="s">
        <v>107</v>
      </c>
    </row>
    <row r="43" spans="1:12" ht="12.3">
      <c r="A43" s="2" t="s">
        <v>108</v>
      </c>
      <c r="B43" s="29">
        <f>8*B36</f>
        <v>12.5944</v>
      </c>
      <c r="C43" s="2" t="s">
        <v>66</v>
      </c>
    </row>
    <row r="44" spans="1:12" ht="12.3">
      <c r="A44" s="2" t="s">
        <v>109</v>
      </c>
      <c r="B44" s="29">
        <f>7*B38</f>
        <v>12.674899999999999</v>
      </c>
      <c r="C44" s="2" t="s">
        <v>66</v>
      </c>
    </row>
    <row r="45" spans="1:12" ht="12.3">
      <c r="A45" s="2" t="s">
        <v>165</v>
      </c>
      <c r="B45" s="6">
        <f>D6*(B38*0.001)*B41/(D8)</f>
        <v>135506.38420557472</v>
      </c>
      <c r="C45" s="2" t="s">
        <v>47</v>
      </c>
    </row>
    <row r="46" spans="1:12" ht="12.3">
      <c r="A46" s="2" t="s">
        <v>166</v>
      </c>
      <c r="B46" s="6">
        <f>B40*(B36*0.001)*D5/(B7*0.001)</f>
        <v>8078.6395004929345</v>
      </c>
      <c r="C46" s="2" t="s">
        <v>47</v>
      </c>
    </row>
    <row r="47" spans="1:12" ht="12.3">
      <c r="A47" s="2" t="s">
        <v>167</v>
      </c>
      <c r="B47">
        <f>0.023*(B45^0.8)*(B10^0.33)</f>
        <v>368.66808249605714</v>
      </c>
      <c r="C47" s="2" t="s">
        <v>168</v>
      </c>
    </row>
    <row r="48" spans="1:12" ht="16.5">
      <c r="A48" s="2" t="s">
        <v>169</v>
      </c>
      <c r="B48" s="41">
        <f>0.023*(B46^0.8)*(B9^0.33)</f>
        <v>79.769771066691206</v>
      </c>
      <c r="C48" s="2"/>
      <c r="F48" s="2"/>
    </row>
    <row r="49" spans="1:6" ht="12.3">
      <c r="A49" s="2" t="s">
        <v>170</v>
      </c>
      <c r="B49" s="11">
        <f>B47*((B38/2*0.001)^2*3.1415)*(293-96)</f>
        <v>0.187013019419975</v>
      </c>
      <c r="C49" s="2" t="s">
        <v>129</v>
      </c>
      <c r="F49" s="2"/>
    </row>
    <row r="50" spans="1:6" ht="12.3">
      <c r="A50" s="1" t="s">
        <v>138</v>
      </c>
      <c r="B50" s="42">
        <f>B49/(1700*B28)</f>
        <v>5.1708668964048387E-4</v>
      </c>
      <c r="C50" s="2" t="s">
        <v>139</v>
      </c>
      <c r="F50" s="2"/>
    </row>
    <row r="51" spans="1:6" ht="12.3">
      <c r="A51" s="1"/>
      <c r="B51" s="6"/>
      <c r="C51" s="2"/>
      <c r="F51" s="2"/>
    </row>
    <row r="52" spans="1:6" ht="12.3">
      <c r="A52" s="1"/>
      <c r="B52" s="6"/>
      <c r="C52" s="2"/>
      <c r="F52" s="2"/>
    </row>
    <row r="53" spans="1:6" ht="12.3">
      <c r="A53" s="43" t="s">
        <v>141</v>
      </c>
      <c r="B53" s="44">
        <f>0.2 / ((B36/1000)/B40)</f>
        <v>1062.0224428171989</v>
      </c>
      <c r="C53" s="45" t="s">
        <v>142</v>
      </c>
      <c r="F53" s="2" t="s">
        <v>143</v>
      </c>
    </row>
    <row r="54" spans="1:6" ht="12.3">
      <c r="A54" s="2"/>
    </row>
    <row r="55" spans="1:6" ht="12.3">
      <c r="A55" s="1" t="s">
        <v>113</v>
      </c>
      <c r="F55" s="2" t="s">
        <v>114</v>
      </c>
    </row>
    <row r="56" spans="1:6" ht="12.3">
      <c r="A56" s="2" t="s">
        <v>115</v>
      </c>
      <c r="B56" s="2">
        <v>25</v>
      </c>
      <c r="C56" s="2" t="s">
        <v>116</v>
      </c>
      <c r="D56">
        <f t="shared" ref="D56:D57" si="3">B56*PI()/180</f>
        <v>0.43633231299858238</v>
      </c>
      <c r="E56" s="2" t="s">
        <v>117</v>
      </c>
    </row>
    <row r="57" spans="1:6" ht="12.3">
      <c r="A57" s="2" t="s">
        <v>118</v>
      </c>
      <c r="B57" s="2">
        <v>30</v>
      </c>
      <c r="C57" s="2" t="s">
        <v>119</v>
      </c>
      <c r="D57">
        <f t="shared" si="3"/>
        <v>0.52359877559829882</v>
      </c>
      <c r="E57" s="2" t="s">
        <v>117</v>
      </c>
    </row>
    <row r="59" spans="1:6" ht="12.3">
      <c r="A59" s="2" t="s">
        <v>120</v>
      </c>
      <c r="B59">
        <f>ATAN((B28*B41*SIN(D56)-((1-B20)*B27)*B40*SIN(D57))/((B28*B41*COS(D56)+((1-B20)*B27*B40*COS(D57)))))</f>
        <v>0.11999809197859747</v>
      </c>
      <c r="C59" s="2" t="s">
        <v>117</v>
      </c>
      <c r="D59">
        <f>B59*180/PI()</f>
        <v>6.8753842199962927</v>
      </c>
      <c r="E59" s="2" t="s">
        <v>119</v>
      </c>
      <c r="F59" s="2" t="s">
        <v>121</v>
      </c>
    </row>
    <row r="61" spans="1:6" ht="12.3">
      <c r="A61" s="2" t="s">
        <v>171</v>
      </c>
    </row>
    <row r="62" spans="1:6" ht="12.3">
      <c r="A62" s="154" t="s">
        <v>144</v>
      </c>
      <c r="B62" s="152"/>
    </row>
    <row r="63" spans="1:6" ht="12.3">
      <c r="A63" s="2" t="s">
        <v>145</v>
      </c>
    </row>
    <row r="64" spans="1:6" ht="12.3">
      <c r="A64" s="2" t="s">
        <v>146</v>
      </c>
    </row>
    <row r="66" spans="1:1" ht="12.3">
      <c r="A66" s="2" t="s">
        <v>147</v>
      </c>
    </row>
    <row r="67" spans="1:1" ht="12.3">
      <c r="A67" s="2" t="s">
        <v>148</v>
      </c>
    </row>
    <row r="68" spans="1:1" ht="12.3">
      <c r="A68" s="2" t="s">
        <v>149</v>
      </c>
    </row>
  </sheetData>
  <mergeCells count="2">
    <mergeCell ref="A1:G1"/>
    <mergeCell ref="A62:B62"/>
  </mergeCells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D994"/>
  <sheetViews>
    <sheetView workbookViewId="0">
      <pane ySplit="2" topLeftCell="A28" activePane="bottomLeft" state="frozen"/>
      <selection pane="bottomLeft" activeCell="D80" sqref="D80"/>
    </sheetView>
  </sheetViews>
  <sheetFormatPr defaultColWidth="12.609375" defaultRowHeight="15.75" customHeight="1"/>
  <cols>
    <col min="1" max="2" width="15.21875" customWidth="1"/>
    <col min="3" max="3" width="12.109375" customWidth="1"/>
    <col min="4" max="4" width="15.609375" customWidth="1"/>
    <col min="5" max="5" width="12.71875" customWidth="1"/>
    <col min="6" max="6" width="12.21875" customWidth="1"/>
    <col min="7" max="7" width="7.88671875" customWidth="1"/>
    <col min="8" max="8" width="18" customWidth="1"/>
    <col min="9" max="9" width="10.88671875" customWidth="1"/>
    <col min="10" max="10" width="10.21875" customWidth="1"/>
    <col min="11" max="11" width="13.71875" customWidth="1"/>
    <col min="12" max="12" width="18" customWidth="1"/>
    <col min="14" max="14" width="19" customWidth="1"/>
  </cols>
  <sheetData>
    <row r="1" spans="1:30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>
      <c r="A2" s="2" t="s">
        <v>172</v>
      </c>
      <c r="B2" s="2" t="s">
        <v>173</v>
      </c>
      <c r="C2" s="2" t="s">
        <v>174</v>
      </c>
      <c r="D2" s="46" t="s">
        <v>175</v>
      </c>
      <c r="E2" s="46" t="s">
        <v>176</v>
      </c>
      <c r="F2" s="46" t="s">
        <v>177</v>
      </c>
      <c r="G2" s="46" t="s">
        <v>178</v>
      </c>
      <c r="H2" s="46" t="s">
        <v>179</v>
      </c>
      <c r="I2" s="47" t="s">
        <v>180</v>
      </c>
      <c r="J2" s="2" t="s">
        <v>181</v>
      </c>
      <c r="K2" s="2" t="s">
        <v>182</v>
      </c>
      <c r="L2" s="2" t="s">
        <v>183</v>
      </c>
      <c r="M2" s="2" t="s">
        <v>184</v>
      </c>
      <c r="N2" s="6" t="s">
        <v>185</v>
      </c>
      <c r="O2" s="2" t="s">
        <v>186</v>
      </c>
      <c r="P2" s="2"/>
      <c r="Q2" s="2" t="s">
        <v>187</v>
      </c>
      <c r="R2" s="2" t="s">
        <v>188</v>
      </c>
      <c r="S2" s="2" t="s">
        <v>189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.75" customHeight="1">
      <c r="A3" s="48"/>
      <c r="B3" s="48" t="s">
        <v>190</v>
      </c>
      <c r="C3" s="48" t="s">
        <v>191</v>
      </c>
      <c r="D3" s="48">
        <v>1.549E-3</v>
      </c>
      <c r="E3" s="48">
        <v>997</v>
      </c>
      <c r="F3" s="48">
        <v>300</v>
      </c>
      <c r="G3" s="48">
        <v>1</v>
      </c>
      <c r="H3" s="48">
        <v>90</v>
      </c>
      <c r="I3" s="48">
        <f t="shared" ref="I3:I27" si="0">(F3*0.001)/G3</f>
        <v>0.3</v>
      </c>
      <c r="J3" s="49">
        <f t="shared" ref="J3:J27" si="1">E3*D3*(I3/(K3*E3))/(0.001002)</f>
        <v>30763.451234914421</v>
      </c>
      <c r="K3" s="48">
        <f>((D3/2)^2)*3.1415*8</f>
        <v>1.5075436483000001E-5</v>
      </c>
      <c r="L3" s="50">
        <f t="shared" ref="L3:L27" si="2">I3/(SQRT(2*E3*(H3*6895)))</f>
        <v>8.5284535368570472E-6</v>
      </c>
      <c r="M3" s="51">
        <f t="shared" ref="M3:M27" si="3">I3/(K3*SQRT(2*E3*(H3*6895)))</f>
        <v>0.56571851478225932</v>
      </c>
      <c r="N3" s="6">
        <f t="shared" ref="N3:N200" si="4">1/(2*L3^2)</f>
        <v>6874315000.000001</v>
      </c>
      <c r="O3" s="2">
        <f>N3*I3^2/E3/6895</f>
        <v>90.000000000000014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5.75" customHeight="1">
      <c r="A4" s="2"/>
      <c r="B4" s="2" t="s">
        <v>192</v>
      </c>
      <c r="C4" s="52">
        <v>44849</v>
      </c>
      <c r="D4" s="48">
        <v>1.549E-3</v>
      </c>
      <c r="E4" s="2">
        <v>997</v>
      </c>
      <c r="F4" s="2">
        <v>1135</v>
      </c>
      <c r="G4" s="2">
        <v>15.35</v>
      </c>
      <c r="H4" s="2">
        <f>36-22</f>
        <v>14</v>
      </c>
      <c r="I4" s="11">
        <f t="shared" si="0"/>
        <v>7.3941368078175904E-2</v>
      </c>
      <c r="J4" s="53">
        <f t="shared" si="1"/>
        <v>7620.4377347368254</v>
      </c>
      <c r="K4" s="2">
        <v>1.5E-5</v>
      </c>
      <c r="L4" s="50">
        <f t="shared" si="2"/>
        <v>5.3295894006349463E-6</v>
      </c>
      <c r="M4" s="11">
        <f t="shared" si="3"/>
        <v>0.35530596004232978</v>
      </c>
      <c r="N4" s="6">
        <f t="shared" si="4"/>
        <v>17602830254.982628</v>
      </c>
      <c r="O4" s="11"/>
      <c r="P4" s="11"/>
      <c r="Q4" s="1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5.75" customHeight="1">
      <c r="A5" s="2"/>
      <c r="B5" s="2" t="s">
        <v>192</v>
      </c>
      <c r="C5" s="2" t="s">
        <v>193</v>
      </c>
      <c r="D5" s="48">
        <v>1.549E-3</v>
      </c>
      <c r="E5" s="2">
        <v>997</v>
      </c>
      <c r="F5" s="2">
        <v>1060</v>
      </c>
      <c r="G5" s="2">
        <v>9.4499999999999993</v>
      </c>
      <c r="H5" s="2">
        <f>48-22</f>
        <v>26</v>
      </c>
      <c r="I5" s="11">
        <f t="shared" si="0"/>
        <v>0.11216931216931218</v>
      </c>
      <c r="J5" s="53">
        <f t="shared" si="1"/>
        <v>11560.230508999639</v>
      </c>
      <c r="K5" s="2">
        <v>1.5E-5</v>
      </c>
      <c r="L5" s="50">
        <f t="shared" si="2"/>
        <v>5.9327721648385597E-6</v>
      </c>
      <c r="M5" s="11">
        <f t="shared" si="3"/>
        <v>0.39551814432257065</v>
      </c>
      <c r="N5" s="6">
        <f t="shared" si="4"/>
        <v>14205439121.996262</v>
      </c>
      <c r="O5" s="11"/>
      <c r="P5" s="11"/>
      <c r="Q5" s="11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5.75" customHeight="1">
      <c r="A6" s="2"/>
      <c r="B6" s="2" t="s">
        <v>192</v>
      </c>
      <c r="C6" s="2" t="s">
        <v>194</v>
      </c>
      <c r="D6" s="48">
        <v>1.549E-3</v>
      </c>
      <c r="E6" s="2">
        <v>997</v>
      </c>
      <c r="F6" s="2">
        <v>472</v>
      </c>
      <c r="G6" s="2">
        <v>4.8</v>
      </c>
      <c r="H6" s="2">
        <v>22</v>
      </c>
      <c r="I6" s="11">
        <f t="shared" si="0"/>
        <v>9.8333333333333342E-2</v>
      </c>
      <c r="J6" s="53">
        <f t="shared" si="1"/>
        <v>10134.286981592371</v>
      </c>
      <c r="K6" s="2">
        <v>1.5E-5</v>
      </c>
      <c r="L6" s="50">
        <f t="shared" si="2"/>
        <v>5.6540508315469536E-6</v>
      </c>
      <c r="M6" s="11">
        <f t="shared" si="3"/>
        <v>0.37693672210313023</v>
      </c>
      <c r="N6" s="6">
        <f t="shared" si="4"/>
        <v>15640498362.539497</v>
      </c>
      <c r="O6" s="11"/>
      <c r="P6" s="11"/>
      <c r="Q6" s="11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.75" customHeight="1">
      <c r="A7" s="2"/>
      <c r="B7" s="2" t="s">
        <v>192</v>
      </c>
      <c r="C7" s="52">
        <v>44849</v>
      </c>
      <c r="D7" s="48">
        <v>1.549E-3</v>
      </c>
      <c r="E7" s="2">
        <v>997</v>
      </c>
      <c r="F7" s="2">
        <v>1539</v>
      </c>
      <c r="G7" s="2">
        <v>7.01</v>
      </c>
      <c r="H7" s="2">
        <v>43</v>
      </c>
      <c r="I7" s="11">
        <f t="shared" si="0"/>
        <v>0.21954350927246791</v>
      </c>
      <c r="J7" s="53">
        <f t="shared" si="1"/>
        <v>22626.273843183819</v>
      </c>
      <c r="K7" s="2">
        <v>1.5E-5</v>
      </c>
      <c r="L7" s="50">
        <f t="shared" si="2"/>
        <v>9.0293536207374144E-6</v>
      </c>
      <c r="M7" s="11">
        <f t="shared" si="3"/>
        <v>0.60195690804916102</v>
      </c>
      <c r="N7" s="6">
        <f t="shared" si="4"/>
        <v>6132770045.4648705</v>
      </c>
      <c r="O7" s="11"/>
      <c r="P7" s="11"/>
      <c r="Q7" s="1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 customHeight="1">
      <c r="A8" s="2"/>
      <c r="B8" s="2" t="s">
        <v>192</v>
      </c>
      <c r="C8" s="52">
        <v>44849</v>
      </c>
      <c r="D8" s="48">
        <v>1.549E-3</v>
      </c>
      <c r="E8" s="2">
        <v>997</v>
      </c>
      <c r="F8" s="2">
        <v>837</v>
      </c>
      <c r="G8" s="2">
        <v>6.98</v>
      </c>
      <c r="H8" s="2">
        <v>27</v>
      </c>
      <c r="I8" s="11">
        <f t="shared" si="0"/>
        <v>0.11991404011461317</v>
      </c>
      <c r="J8" s="53">
        <f t="shared" si="1"/>
        <v>12358.406396376302</v>
      </c>
      <c r="K8" s="2">
        <v>1.5E-5</v>
      </c>
      <c r="L8" s="50">
        <f t="shared" si="2"/>
        <v>6.2238403094231065E-6</v>
      </c>
      <c r="M8" s="11">
        <f t="shared" si="3"/>
        <v>0.41492268729487375</v>
      </c>
      <c r="N8" s="6">
        <f t="shared" si="4"/>
        <v>12907826589.817711</v>
      </c>
      <c r="O8" s="11"/>
      <c r="P8" s="11"/>
      <c r="Q8" s="1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 customHeight="1">
      <c r="A9" s="2"/>
      <c r="B9" s="2" t="s">
        <v>192</v>
      </c>
      <c r="C9" s="52">
        <v>44851</v>
      </c>
      <c r="D9" s="48">
        <v>1.549E-3</v>
      </c>
      <c r="E9" s="2">
        <v>997</v>
      </c>
      <c r="F9" s="2">
        <v>826</v>
      </c>
      <c r="G9" s="2">
        <v>4.51</v>
      </c>
      <c r="H9" s="2">
        <v>39</v>
      </c>
      <c r="I9" s="11">
        <f t="shared" si="0"/>
        <v>0.18314855875831487</v>
      </c>
      <c r="J9" s="53">
        <f t="shared" si="1"/>
        <v>18875.390387001313</v>
      </c>
      <c r="K9" s="2">
        <v>1.5E-5</v>
      </c>
      <c r="L9" s="50">
        <f t="shared" si="2"/>
        <v>7.9093626676944004E-6</v>
      </c>
      <c r="M9" s="11">
        <f t="shared" si="3"/>
        <v>0.52729084451296004</v>
      </c>
      <c r="N9" s="6">
        <f t="shared" si="4"/>
        <v>7992580607.7430506</v>
      </c>
      <c r="O9" s="11"/>
      <c r="P9" s="11"/>
      <c r="Q9" s="1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 customHeight="1">
      <c r="A10" s="2"/>
      <c r="B10" s="2" t="s">
        <v>192</v>
      </c>
      <c r="C10" s="52">
        <v>44851</v>
      </c>
      <c r="D10" s="48">
        <v>1.549E-3</v>
      </c>
      <c r="E10" s="2">
        <v>997</v>
      </c>
      <c r="F10" s="2">
        <v>1025</v>
      </c>
      <c r="G10" s="2">
        <v>5.4</v>
      </c>
      <c r="H10" s="2">
        <v>43</v>
      </c>
      <c r="I10" s="11">
        <f t="shared" si="0"/>
        <v>0.1898148148148148</v>
      </c>
      <c r="J10" s="53">
        <f t="shared" si="1"/>
        <v>19562.41837313028</v>
      </c>
      <c r="K10" s="2">
        <v>1.5E-5</v>
      </c>
      <c r="L10" s="50">
        <f t="shared" si="2"/>
        <v>7.806676185041212E-6</v>
      </c>
      <c r="M10" s="11">
        <f t="shared" si="3"/>
        <v>0.5204450790027475</v>
      </c>
      <c r="N10" s="6">
        <f t="shared" si="4"/>
        <v>8204227095.4907827</v>
      </c>
      <c r="O10" s="11"/>
      <c r="P10" s="11"/>
      <c r="Q10" s="1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 customHeight="1">
      <c r="A11" s="2"/>
      <c r="B11" s="2" t="s">
        <v>192</v>
      </c>
      <c r="C11" s="52">
        <v>44851</v>
      </c>
      <c r="D11" s="48">
        <v>1.549E-3</v>
      </c>
      <c r="E11" s="2">
        <v>997</v>
      </c>
      <c r="F11" s="2">
        <v>1188</v>
      </c>
      <c r="G11" s="2">
        <v>5.76</v>
      </c>
      <c r="H11" s="2">
        <v>45</v>
      </c>
      <c r="I11" s="11">
        <f t="shared" si="0"/>
        <v>0.20624999999999999</v>
      </c>
      <c r="J11" s="53">
        <f t="shared" si="1"/>
        <v>21256.237524950102</v>
      </c>
      <c r="K11" s="2">
        <v>1.5E-5</v>
      </c>
      <c r="L11" s="50">
        <f t="shared" si="2"/>
        <v>8.2919750773007684E-6</v>
      </c>
      <c r="M11" s="11">
        <f t="shared" si="3"/>
        <v>0.55279833848671789</v>
      </c>
      <c r="N11" s="6">
        <f t="shared" si="4"/>
        <v>7272002644.6281013</v>
      </c>
      <c r="O11" s="11"/>
      <c r="P11" s="11"/>
      <c r="Q11" s="1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 customHeight="1">
      <c r="A12" s="2"/>
      <c r="B12" s="2" t="s">
        <v>192</v>
      </c>
      <c r="C12" s="52">
        <v>44851</v>
      </c>
      <c r="D12" s="48">
        <v>1.549E-3</v>
      </c>
      <c r="E12" s="2">
        <v>997</v>
      </c>
      <c r="F12" s="2">
        <v>1256</v>
      </c>
      <c r="G12" s="2">
        <v>5.4</v>
      </c>
      <c r="H12" s="2">
        <v>59</v>
      </c>
      <c r="I12" s="11">
        <f t="shared" si="0"/>
        <v>0.23259259259259257</v>
      </c>
      <c r="J12" s="53">
        <f t="shared" si="1"/>
        <v>23971.119489416229</v>
      </c>
      <c r="K12" s="2">
        <v>1.5E-5</v>
      </c>
      <c r="L12" s="50">
        <f t="shared" si="2"/>
        <v>8.1665788855169987E-6</v>
      </c>
      <c r="M12" s="11">
        <f t="shared" si="3"/>
        <v>0.5444385923677999</v>
      </c>
      <c r="N12" s="6">
        <f t="shared" si="4"/>
        <v>7497037467.6711054</v>
      </c>
      <c r="O12" s="11"/>
      <c r="P12" s="11"/>
      <c r="Q12" s="1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.75" customHeight="1">
      <c r="A13" s="2"/>
      <c r="B13" s="2" t="s">
        <v>192</v>
      </c>
      <c r="C13" s="52">
        <v>44851</v>
      </c>
      <c r="D13" s="48">
        <v>1.549E-3</v>
      </c>
      <c r="E13" s="2">
        <v>997</v>
      </c>
      <c r="F13" s="2">
        <v>917</v>
      </c>
      <c r="G13" s="2">
        <v>4.28</v>
      </c>
      <c r="H13" s="2">
        <v>53</v>
      </c>
      <c r="I13" s="11">
        <f t="shared" si="0"/>
        <v>0.21425233644859812</v>
      </c>
      <c r="J13" s="53">
        <f t="shared" si="1"/>
        <v>22080.962685221457</v>
      </c>
      <c r="K13" s="2">
        <v>1.5E-5</v>
      </c>
      <c r="L13" s="50">
        <f t="shared" si="2"/>
        <v>7.9370281318376005E-6</v>
      </c>
      <c r="M13" s="11">
        <f t="shared" si="3"/>
        <v>0.52913520878917342</v>
      </c>
      <c r="N13" s="6">
        <f t="shared" si="4"/>
        <v>7936959516.0455208</v>
      </c>
      <c r="O13" s="11"/>
      <c r="P13" s="11"/>
      <c r="Q13" s="1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 customHeight="1">
      <c r="A14" s="2"/>
      <c r="B14" s="2" t="s">
        <v>192</v>
      </c>
      <c r="C14" s="52">
        <v>44851</v>
      </c>
      <c r="D14" s="48">
        <v>1.549E-3</v>
      </c>
      <c r="E14" s="2">
        <v>997</v>
      </c>
      <c r="F14" s="2">
        <v>960</v>
      </c>
      <c r="G14" s="2">
        <v>5.61</v>
      </c>
      <c r="H14" s="2">
        <v>39</v>
      </c>
      <c r="I14" s="11">
        <f t="shared" si="0"/>
        <v>0.17112299465240641</v>
      </c>
      <c r="J14" s="53">
        <f t="shared" si="1"/>
        <v>17636.029189393048</v>
      </c>
      <c r="K14" s="2">
        <v>1.5E-5</v>
      </c>
      <c r="L14" s="50">
        <f t="shared" si="2"/>
        <v>7.3900326306901095E-6</v>
      </c>
      <c r="M14" s="11">
        <f t="shared" si="3"/>
        <v>0.49266884204600725</v>
      </c>
      <c r="N14" s="6">
        <f t="shared" si="4"/>
        <v>9155399343.9111309</v>
      </c>
      <c r="O14" s="11"/>
      <c r="P14" s="11"/>
      <c r="Q14" s="1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>
      <c r="A15" s="2"/>
      <c r="B15" s="2" t="s">
        <v>192</v>
      </c>
      <c r="C15" s="52">
        <v>44851</v>
      </c>
      <c r="D15" s="48">
        <v>1.549E-3</v>
      </c>
      <c r="E15" s="2">
        <v>997</v>
      </c>
      <c r="F15" s="2">
        <v>1617</v>
      </c>
      <c r="G15" s="2">
        <v>5.94</v>
      </c>
      <c r="H15" s="2">
        <v>72</v>
      </c>
      <c r="I15" s="11">
        <f t="shared" si="0"/>
        <v>0.2722222222222222</v>
      </c>
      <c r="J15" s="53">
        <f t="shared" si="1"/>
        <v>28055.370740001475</v>
      </c>
      <c r="K15" s="2">
        <v>1.5E-5</v>
      </c>
      <c r="L15" s="50">
        <f t="shared" si="2"/>
        <v>8.6522212103396522E-6</v>
      </c>
      <c r="M15" s="11">
        <f t="shared" si="3"/>
        <v>0.57681474735597682</v>
      </c>
      <c r="N15" s="6">
        <f t="shared" si="4"/>
        <v>6679051241.9825087</v>
      </c>
      <c r="O15" s="11"/>
      <c r="P15" s="11"/>
      <c r="Q15" s="1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 customHeight="1">
      <c r="A16" s="2"/>
      <c r="B16" s="2" t="s">
        <v>192</v>
      </c>
      <c r="C16" s="52">
        <v>44851</v>
      </c>
      <c r="D16" s="2">
        <v>1.549E-3</v>
      </c>
      <c r="E16" s="2">
        <v>997</v>
      </c>
      <c r="F16" s="2">
        <v>823</v>
      </c>
      <c r="G16" s="2">
        <v>3.88</v>
      </c>
      <c r="H16" s="2">
        <v>49</v>
      </c>
      <c r="I16" s="11">
        <f t="shared" si="0"/>
        <v>0.21211340206185569</v>
      </c>
      <c r="J16" s="53">
        <f t="shared" si="1"/>
        <v>21860.52294037355</v>
      </c>
      <c r="K16" s="2">
        <v>1.5E-5</v>
      </c>
      <c r="L16" s="50">
        <f t="shared" si="2"/>
        <v>8.1722257925270762E-6</v>
      </c>
      <c r="M16" s="11">
        <f t="shared" si="3"/>
        <v>0.54481505283513842</v>
      </c>
      <c r="N16" s="6">
        <f t="shared" si="4"/>
        <v>7486680326.7894907</v>
      </c>
      <c r="O16" s="11"/>
      <c r="P16" s="11"/>
      <c r="Q16" s="1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>
      <c r="A17" s="2"/>
      <c r="B17" s="2" t="s">
        <v>192</v>
      </c>
      <c r="C17" s="52">
        <v>44851</v>
      </c>
      <c r="D17" s="2">
        <v>1.549E-3</v>
      </c>
      <c r="E17" s="2">
        <v>997</v>
      </c>
      <c r="F17" s="2">
        <v>915</v>
      </c>
      <c r="G17" s="2">
        <v>4.93</v>
      </c>
      <c r="H17" s="2">
        <v>39</v>
      </c>
      <c r="I17" s="11">
        <f t="shared" si="0"/>
        <v>0.18559837728194728</v>
      </c>
      <c r="J17" s="53">
        <f t="shared" si="1"/>
        <v>19127.870020607876</v>
      </c>
      <c r="K17" s="2">
        <v>1.5E-5</v>
      </c>
      <c r="L17" s="50">
        <f t="shared" si="2"/>
        <v>8.0151593133508572E-6</v>
      </c>
      <c r="M17" s="11">
        <f t="shared" si="3"/>
        <v>0.53434395422339054</v>
      </c>
      <c r="N17" s="6">
        <f t="shared" si="4"/>
        <v>7782975911.0113754</v>
      </c>
      <c r="O17" s="11"/>
      <c r="P17" s="11"/>
      <c r="Q17" s="1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>
      <c r="A18" s="2"/>
      <c r="B18" s="2" t="s">
        <v>192</v>
      </c>
      <c r="C18" s="52">
        <v>44851</v>
      </c>
      <c r="D18" s="2">
        <v>1.549E-3</v>
      </c>
      <c r="E18" s="2">
        <v>997</v>
      </c>
      <c r="F18" s="2">
        <v>958</v>
      </c>
      <c r="G18" s="2">
        <v>5.15</v>
      </c>
      <c r="H18" s="2">
        <v>41</v>
      </c>
      <c r="I18" s="11">
        <f t="shared" si="0"/>
        <v>0.18601941747572814</v>
      </c>
      <c r="J18" s="53">
        <f t="shared" si="1"/>
        <v>19171.26265268815</v>
      </c>
      <c r="K18" s="2">
        <v>1.5E-5</v>
      </c>
      <c r="L18" s="50">
        <f t="shared" si="2"/>
        <v>7.8349573992042574E-6</v>
      </c>
      <c r="M18" s="11">
        <f t="shared" si="3"/>
        <v>0.5223304932802838</v>
      </c>
      <c r="N18" s="6">
        <f t="shared" si="4"/>
        <v>8145105716.8155432</v>
      </c>
      <c r="O18" s="11"/>
      <c r="P18" s="11"/>
      <c r="Q18" s="1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>
      <c r="A19" s="2"/>
      <c r="B19" s="2" t="s">
        <v>192</v>
      </c>
      <c r="C19" s="52">
        <v>44851</v>
      </c>
      <c r="D19" s="2">
        <v>1.549E-3</v>
      </c>
      <c r="E19" s="2">
        <v>997</v>
      </c>
      <c r="F19" s="2">
        <v>1535</v>
      </c>
      <c r="G19" s="2">
        <v>6</v>
      </c>
      <c r="H19" s="2">
        <v>70</v>
      </c>
      <c r="I19" s="11">
        <f t="shared" si="0"/>
        <v>0.25583333333333336</v>
      </c>
      <c r="J19" s="53">
        <f t="shared" si="1"/>
        <v>26366.322909736089</v>
      </c>
      <c r="K19" s="2">
        <v>1.5E-5</v>
      </c>
      <c r="L19" s="50">
        <f t="shared" si="2"/>
        <v>8.2466658426587449E-6</v>
      </c>
      <c r="M19" s="11">
        <f t="shared" si="3"/>
        <v>0.54977772284391624</v>
      </c>
      <c r="N19" s="6">
        <f t="shared" si="4"/>
        <v>7352130547.8042192</v>
      </c>
      <c r="O19" s="11"/>
      <c r="P19" s="11"/>
      <c r="Q19" s="1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 customHeight="1">
      <c r="A20" s="2"/>
      <c r="B20" s="2" t="s">
        <v>192</v>
      </c>
      <c r="C20" s="52">
        <v>44851</v>
      </c>
      <c r="D20" s="2">
        <v>1.549E-3</v>
      </c>
      <c r="E20" s="2">
        <v>997</v>
      </c>
      <c r="F20" s="2">
        <v>1075</v>
      </c>
      <c r="G20" s="2">
        <v>4.4800000000000004</v>
      </c>
      <c r="H20" s="2">
        <v>64</v>
      </c>
      <c r="I20" s="11">
        <f t="shared" si="0"/>
        <v>0.23995535714285712</v>
      </c>
      <c r="J20" s="53">
        <f t="shared" si="1"/>
        <v>24729.93002091056</v>
      </c>
      <c r="K20" s="2">
        <v>1.5E-5</v>
      </c>
      <c r="L20" s="50">
        <f t="shared" si="2"/>
        <v>8.0892964432313261E-6</v>
      </c>
      <c r="M20" s="11">
        <f t="shared" si="3"/>
        <v>0.53928642954875505</v>
      </c>
      <c r="N20" s="6">
        <f t="shared" si="4"/>
        <v>7640970136.2154684</v>
      </c>
      <c r="O20" s="11"/>
      <c r="P20" s="11"/>
      <c r="Q20" s="1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>
      <c r="A21" s="2"/>
      <c r="B21" s="2" t="s">
        <v>195</v>
      </c>
      <c r="C21" s="52">
        <v>44851</v>
      </c>
      <c r="D21" s="2">
        <v>1.6473E-3</v>
      </c>
      <c r="E21" s="2">
        <v>997</v>
      </c>
      <c r="F21" s="2">
        <v>792</v>
      </c>
      <c r="G21" s="2">
        <v>4.51</v>
      </c>
      <c r="H21" s="2">
        <v>22</v>
      </c>
      <c r="I21" s="11">
        <f t="shared" si="0"/>
        <v>0.17560975609756099</v>
      </c>
      <c r="J21" s="53">
        <f t="shared" si="1"/>
        <v>16952.703589855653</v>
      </c>
      <c r="K21" s="2">
        <v>1.7030000000000001E-5</v>
      </c>
      <c r="L21" s="50">
        <f t="shared" si="2"/>
        <v>1.0097354110079719E-5</v>
      </c>
      <c r="M21" s="11">
        <f t="shared" si="3"/>
        <v>0.59291568467878553</v>
      </c>
      <c r="N21" s="6">
        <f t="shared" si="4"/>
        <v>4904049331.2114182</v>
      </c>
      <c r="O21" s="11"/>
      <c r="P21" s="11"/>
      <c r="Q21" s="1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75" customHeight="1">
      <c r="A22" s="2"/>
      <c r="B22" s="2" t="s">
        <v>195</v>
      </c>
      <c r="C22" s="52">
        <v>44851</v>
      </c>
      <c r="D22" s="2">
        <v>1.6473E-3</v>
      </c>
      <c r="E22" s="2">
        <v>997</v>
      </c>
      <c r="F22" s="2">
        <v>1199</v>
      </c>
      <c r="G22" s="2">
        <v>5.64</v>
      </c>
      <c r="H22" s="2">
        <v>35</v>
      </c>
      <c r="I22" s="11">
        <f t="shared" si="0"/>
        <v>0.21258865248226952</v>
      </c>
      <c r="J22" s="53">
        <f t="shared" si="1"/>
        <v>20522.506791117856</v>
      </c>
      <c r="K22" s="2">
        <v>1.7030000000000001E-5</v>
      </c>
      <c r="L22" s="50">
        <f t="shared" si="2"/>
        <v>9.6911729629061529E-6</v>
      </c>
      <c r="M22" s="11">
        <f t="shared" si="3"/>
        <v>0.56906476587822385</v>
      </c>
      <c r="N22" s="6">
        <f t="shared" si="4"/>
        <v>5323745854.9625359</v>
      </c>
      <c r="O22" s="11"/>
      <c r="P22" s="11"/>
      <c r="Q22" s="1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 customHeight="1">
      <c r="A23" s="2"/>
      <c r="B23" s="2" t="s">
        <v>195</v>
      </c>
      <c r="C23" s="52">
        <v>44851</v>
      </c>
      <c r="D23" s="2">
        <v>1.6473E-3</v>
      </c>
      <c r="E23" s="2">
        <v>997</v>
      </c>
      <c r="F23" s="2">
        <v>1741</v>
      </c>
      <c r="G23" s="2">
        <v>5.92</v>
      </c>
      <c r="H23" s="2">
        <v>56</v>
      </c>
      <c r="I23" s="11">
        <f t="shared" si="0"/>
        <v>0.29408783783783787</v>
      </c>
      <c r="J23" s="53">
        <f t="shared" si="1"/>
        <v>28390.130793625332</v>
      </c>
      <c r="K23" s="2">
        <v>1.7030000000000001E-5</v>
      </c>
      <c r="L23" s="50">
        <f t="shared" si="2"/>
        <v>1.0598718039264981E-5</v>
      </c>
      <c r="M23" s="11">
        <f t="shared" si="3"/>
        <v>0.62235572749647572</v>
      </c>
      <c r="N23" s="6">
        <f t="shared" si="4"/>
        <v>4451058754.3176832</v>
      </c>
      <c r="O23" s="11"/>
      <c r="P23" s="11"/>
      <c r="Q23" s="11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>
      <c r="A24" s="2"/>
      <c r="B24" s="2" t="s">
        <v>196</v>
      </c>
      <c r="C24" s="52">
        <v>44851</v>
      </c>
      <c r="D24" s="2">
        <v>1.6473E-3</v>
      </c>
      <c r="E24" s="2">
        <v>997</v>
      </c>
      <c r="F24" s="2">
        <v>1489</v>
      </c>
      <c r="G24" s="2">
        <v>6.17</v>
      </c>
      <c r="H24" s="2">
        <v>44</v>
      </c>
      <c r="I24" s="11">
        <f t="shared" si="0"/>
        <v>0.24132901134521881</v>
      </c>
      <c r="J24" s="53">
        <f t="shared" si="1"/>
        <v>23296.992649403423</v>
      </c>
      <c r="K24" s="2">
        <v>1.7030000000000001E-5</v>
      </c>
      <c r="L24" s="50">
        <f t="shared" si="2"/>
        <v>9.8119083565332575E-6</v>
      </c>
      <c r="M24" s="11">
        <f t="shared" si="3"/>
        <v>0.57615433684869388</v>
      </c>
      <c r="N24" s="6">
        <f t="shared" si="4"/>
        <v>5193534702.5958433</v>
      </c>
      <c r="O24" s="11"/>
      <c r="P24" s="11"/>
      <c r="Q24" s="11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>
      <c r="A25" s="2"/>
      <c r="B25" s="2" t="s">
        <v>195</v>
      </c>
      <c r="C25" s="52">
        <v>44851</v>
      </c>
      <c r="D25" s="2">
        <v>1.6473E-3</v>
      </c>
      <c r="E25" s="2">
        <v>997</v>
      </c>
      <c r="F25" s="2">
        <v>1478</v>
      </c>
      <c r="G25" s="2">
        <v>5.35</v>
      </c>
      <c r="H25" s="2">
        <v>49</v>
      </c>
      <c r="I25" s="11">
        <f t="shared" si="0"/>
        <v>0.27626168224299069</v>
      </c>
      <c r="J25" s="53">
        <f t="shared" si="1"/>
        <v>26669.260958932315</v>
      </c>
      <c r="K25" s="2">
        <v>1.7030000000000001E-5</v>
      </c>
      <c r="L25" s="50">
        <f t="shared" si="2"/>
        <v>1.0643706730302286E-5</v>
      </c>
      <c r="M25" s="11">
        <f t="shared" si="3"/>
        <v>0.62499745920741534</v>
      </c>
      <c r="N25" s="6">
        <f t="shared" si="4"/>
        <v>4413510913.0062275</v>
      </c>
      <c r="O25" s="11"/>
      <c r="P25" s="11"/>
      <c r="Q25" s="11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 customHeight="1">
      <c r="A26" s="2"/>
      <c r="B26" s="2" t="s">
        <v>195</v>
      </c>
      <c r="C26" s="52">
        <v>44851</v>
      </c>
      <c r="D26" s="2">
        <v>1.6473E-3</v>
      </c>
      <c r="E26" s="2">
        <v>997</v>
      </c>
      <c r="F26" s="2">
        <v>1057</v>
      </c>
      <c r="G26" s="2">
        <v>5.68</v>
      </c>
      <c r="H26" s="2">
        <v>31</v>
      </c>
      <c r="I26" s="11">
        <f t="shared" si="0"/>
        <v>0.18609154929577465</v>
      </c>
      <c r="J26" s="53">
        <f t="shared" si="1"/>
        <v>17964.576376016586</v>
      </c>
      <c r="K26" s="2">
        <v>1.7030000000000001E-5</v>
      </c>
      <c r="L26" s="50">
        <f t="shared" si="2"/>
        <v>9.0139696700475278E-6</v>
      </c>
      <c r="M26" s="11">
        <f t="shared" si="3"/>
        <v>0.52929945214606733</v>
      </c>
      <c r="N26" s="6">
        <f t="shared" si="4"/>
        <v>6153721245.6095285</v>
      </c>
      <c r="O26" s="11"/>
      <c r="P26" s="11"/>
      <c r="Q26" s="11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.75" customHeight="1">
      <c r="A27" s="2"/>
      <c r="B27" s="2" t="s">
        <v>195</v>
      </c>
      <c r="C27" s="52">
        <v>44851</v>
      </c>
      <c r="D27" s="2">
        <v>1.6473E-3</v>
      </c>
      <c r="E27" s="2">
        <v>997</v>
      </c>
      <c r="F27" s="2">
        <v>1187</v>
      </c>
      <c r="G27" s="2">
        <v>6.48</v>
      </c>
      <c r="H27" s="2">
        <v>32</v>
      </c>
      <c r="I27" s="11">
        <f t="shared" si="0"/>
        <v>0.18317901234567902</v>
      </c>
      <c r="J27" s="53">
        <f t="shared" si="1"/>
        <v>17683.41104268486</v>
      </c>
      <c r="K27" s="2">
        <v>1.7030000000000001E-5</v>
      </c>
      <c r="L27" s="50">
        <f t="shared" si="2"/>
        <v>8.7331518509125587E-6</v>
      </c>
      <c r="M27" s="11">
        <f t="shared" si="3"/>
        <v>0.51280985618981545</v>
      </c>
      <c r="N27" s="6">
        <f t="shared" si="4"/>
        <v>6555834493.4714661</v>
      </c>
      <c r="O27" s="11"/>
      <c r="P27" s="11"/>
      <c r="Q27" s="11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6.5">
      <c r="A28" s="54"/>
      <c r="B28" s="54" t="s">
        <v>197</v>
      </c>
      <c r="C28" s="54"/>
      <c r="D28" s="54"/>
      <c r="E28" s="54"/>
      <c r="F28" s="54"/>
      <c r="G28" s="54"/>
      <c r="H28" s="54"/>
      <c r="I28" s="55"/>
      <c r="J28" s="56"/>
      <c r="K28" s="54"/>
      <c r="L28" s="57"/>
      <c r="M28" s="55"/>
      <c r="N28" s="6" t="e">
        <f t="shared" si="4"/>
        <v>#DIV/0!</v>
      </c>
      <c r="O28" s="11"/>
      <c r="P28" s="11"/>
      <c r="Q28" s="11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6.5">
      <c r="A29" s="2"/>
      <c r="B29" s="2" t="s">
        <v>198</v>
      </c>
      <c r="C29" s="58">
        <v>44867</v>
      </c>
      <c r="D29" s="2">
        <v>1.562E-3</v>
      </c>
      <c r="E29" s="2">
        <v>997</v>
      </c>
      <c r="F29" s="2">
        <f>1426-950</f>
        <v>476</v>
      </c>
      <c r="G29" s="2">
        <v>3.85</v>
      </c>
      <c r="H29" s="2">
        <v>7.5</v>
      </c>
      <c r="I29" s="11">
        <f t="shared" ref="I29:I31" si="5">(F29*0.001)/G29</f>
        <v>0.12363636363636364</v>
      </c>
      <c r="J29" s="53">
        <f t="shared" ref="J29:J31" si="6">E29*D29*(I29/(K29*E29))/(0.001002)</f>
        <v>12572.75383337604</v>
      </c>
      <c r="K29" s="8">
        <f t="shared" ref="K29:K31" si="7">D29^2/4*3.1415*8</f>
        <v>1.5329539851999999E-5</v>
      </c>
      <c r="L29" s="50">
        <f t="shared" ref="L29:L31" si="8">I29/(SQRT(2*E29*(H29*6895)))</f>
        <v>1.2175474046499747E-5</v>
      </c>
      <c r="M29" s="11">
        <f t="shared" ref="M29:M31" si="9">I29/(K29*SQRT(2*E29*(H29*6895)))</f>
        <v>0.79424915320672518</v>
      </c>
      <c r="N29" s="6">
        <f t="shared" si="4"/>
        <v>3372859462.8568335</v>
      </c>
      <c r="O29" s="11"/>
      <c r="P29" s="11"/>
      <c r="Q29" s="11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6.5">
      <c r="A30" s="9"/>
      <c r="B30" s="9" t="s">
        <v>198</v>
      </c>
      <c r="C30" s="59">
        <v>44867</v>
      </c>
      <c r="D30" s="10">
        <v>1.562E-3</v>
      </c>
      <c r="E30" s="10">
        <v>997</v>
      </c>
      <c r="F30" s="9">
        <v>1028</v>
      </c>
      <c r="G30" s="9">
        <v>5.15</v>
      </c>
      <c r="H30" s="9">
        <v>17.5</v>
      </c>
      <c r="I30" s="60">
        <f t="shared" si="5"/>
        <v>0.19961165048543689</v>
      </c>
      <c r="J30" s="61">
        <f t="shared" si="6"/>
        <v>20298.78645742665</v>
      </c>
      <c r="K30" s="62">
        <f t="shared" si="7"/>
        <v>1.5329539851999999E-5</v>
      </c>
      <c r="L30" s="50">
        <f t="shared" si="8"/>
        <v>1.2868773262710003E-5</v>
      </c>
      <c r="M30" s="60">
        <f t="shared" si="9"/>
        <v>0.83947550852487285</v>
      </c>
      <c r="N30" s="6">
        <f t="shared" si="4"/>
        <v>3019226580.6269312</v>
      </c>
      <c r="O30" s="11"/>
      <c r="P30" s="11"/>
      <c r="Q30" s="11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6.5">
      <c r="A31" s="9"/>
      <c r="B31" s="9" t="s">
        <v>198</v>
      </c>
      <c r="C31" s="59">
        <v>44867</v>
      </c>
      <c r="D31" s="10">
        <v>1.562E-3</v>
      </c>
      <c r="E31" s="10">
        <v>997</v>
      </c>
      <c r="F31" s="9">
        <v>1429</v>
      </c>
      <c r="G31" s="9">
        <v>5.95</v>
      </c>
      <c r="H31" s="9">
        <v>37.5</v>
      </c>
      <c r="I31" s="60">
        <f t="shared" si="5"/>
        <v>0.24016806722689077</v>
      </c>
      <c r="J31" s="61">
        <f t="shared" si="6"/>
        <v>24423.024901981953</v>
      </c>
      <c r="K31" s="62">
        <f t="shared" si="7"/>
        <v>1.5329539851999999E-5</v>
      </c>
      <c r="L31" s="50">
        <f t="shared" si="8"/>
        <v>1.0577180531318522E-5</v>
      </c>
      <c r="M31" s="60">
        <f t="shared" si="9"/>
        <v>0.68998682500822428</v>
      </c>
      <c r="N31" s="6">
        <f t="shared" si="4"/>
        <v>4469203913.8936243</v>
      </c>
      <c r="O31" s="11"/>
      <c r="P31" s="11"/>
      <c r="Q31" s="11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6.5">
      <c r="A32" s="9"/>
      <c r="B32" s="9"/>
      <c r="C32" s="59"/>
      <c r="D32" s="10"/>
      <c r="E32" s="10"/>
      <c r="F32" s="9"/>
      <c r="G32" s="9"/>
      <c r="H32" s="9"/>
      <c r="I32" s="60"/>
      <c r="J32" s="61"/>
      <c r="K32" s="62"/>
      <c r="L32" s="50"/>
      <c r="M32" s="60"/>
      <c r="N32" s="6" t="e">
        <f t="shared" si="4"/>
        <v>#DIV/0!</v>
      </c>
      <c r="O32" s="11"/>
      <c r="P32" s="11"/>
      <c r="Q32" s="11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6.5">
      <c r="A33" s="9"/>
      <c r="B33" s="9"/>
      <c r="C33" s="59"/>
      <c r="D33" s="10"/>
      <c r="E33" s="10"/>
      <c r="F33" s="9"/>
      <c r="G33" s="9"/>
      <c r="H33" s="9"/>
      <c r="I33" s="60"/>
      <c r="J33" s="61"/>
      <c r="K33" s="62"/>
      <c r="L33" s="50"/>
      <c r="M33" s="60"/>
      <c r="N33" s="6" t="e">
        <f t="shared" si="4"/>
        <v>#DIV/0!</v>
      </c>
      <c r="O33" s="11"/>
      <c r="P33" s="11"/>
      <c r="Q33" s="11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6.5">
      <c r="A34" s="9"/>
      <c r="B34" s="9"/>
      <c r="C34" s="59"/>
      <c r="D34" s="10"/>
      <c r="E34" s="10"/>
      <c r="F34" s="9"/>
      <c r="G34" s="9"/>
      <c r="H34" s="9"/>
      <c r="I34" s="60"/>
      <c r="J34" s="61"/>
      <c r="K34" s="62"/>
      <c r="L34" s="50"/>
      <c r="M34" s="60"/>
      <c r="N34" s="6" t="e">
        <f t="shared" si="4"/>
        <v>#DIV/0!</v>
      </c>
      <c r="O34" s="11"/>
      <c r="P34" s="11"/>
      <c r="Q34" s="11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6.5">
      <c r="A35" s="9"/>
      <c r="B35" s="9"/>
      <c r="C35" s="59"/>
      <c r="D35" s="10"/>
      <c r="E35" s="10"/>
      <c r="F35" s="9"/>
      <c r="G35" s="9"/>
      <c r="H35" s="9"/>
      <c r="I35" s="60"/>
      <c r="J35" s="61"/>
      <c r="K35" s="62"/>
      <c r="L35" s="50"/>
      <c r="M35" s="60"/>
      <c r="N35" s="6" t="e">
        <f t="shared" si="4"/>
        <v>#DIV/0!</v>
      </c>
      <c r="O35" s="11"/>
      <c r="P35" s="11"/>
      <c r="Q35" s="11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6.5">
      <c r="A36" s="9"/>
      <c r="B36" s="9"/>
      <c r="C36" s="59"/>
      <c r="D36" s="10"/>
      <c r="E36" s="10"/>
      <c r="F36" s="9"/>
      <c r="G36" s="9"/>
      <c r="H36" s="9"/>
      <c r="I36" s="60"/>
      <c r="J36" s="61"/>
      <c r="K36" s="62"/>
      <c r="L36" s="50"/>
      <c r="M36" s="60"/>
      <c r="N36" s="6" t="e">
        <f t="shared" si="4"/>
        <v>#DIV/0!</v>
      </c>
      <c r="O36" s="11"/>
      <c r="P36" s="11"/>
      <c r="Q36" s="11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6.5">
      <c r="A37" s="9"/>
      <c r="B37" s="9"/>
      <c r="C37" s="59"/>
      <c r="D37" s="10"/>
      <c r="E37" s="10"/>
      <c r="F37" s="9"/>
      <c r="G37" s="9"/>
      <c r="H37" s="9"/>
      <c r="I37" s="60"/>
      <c r="J37" s="61"/>
      <c r="K37" s="62"/>
      <c r="L37" s="50"/>
      <c r="M37" s="60"/>
      <c r="N37" s="6" t="e">
        <f t="shared" si="4"/>
        <v>#DIV/0!</v>
      </c>
      <c r="O37" s="11"/>
      <c r="P37" s="11"/>
      <c r="Q37" s="11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6.5">
      <c r="A38" s="9"/>
      <c r="B38" s="9"/>
      <c r="C38" s="59"/>
      <c r="D38" s="10"/>
      <c r="E38" s="10"/>
      <c r="F38" s="9"/>
      <c r="G38" s="9"/>
      <c r="H38" s="9"/>
      <c r="I38" s="60"/>
      <c r="J38" s="61"/>
      <c r="K38" s="62"/>
      <c r="L38" s="50"/>
      <c r="M38" s="60"/>
      <c r="N38" s="6" t="e">
        <f t="shared" si="4"/>
        <v>#DIV/0!</v>
      </c>
      <c r="O38" s="11"/>
      <c r="P38" s="11"/>
      <c r="Q38" s="11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6.5">
      <c r="A39" s="9"/>
      <c r="B39" s="9"/>
      <c r="C39" s="59"/>
      <c r="D39" s="10"/>
      <c r="E39" s="10"/>
      <c r="F39" s="9"/>
      <c r="G39" s="9"/>
      <c r="H39" s="9"/>
      <c r="I39" s="60"/>
      <c r="J39" s="61"/>
      <c r="K39" s="62"/>
      <c r="L39" s="50"/>
      <c r="M39" s="60"/>
      <c r="N39" s="6" t="e">
        <f t="shared" si="4"/>
        <v>#DIV/0!</v>
      </c>
      <c r="O39" s="11"/>
      <c r="P39" s="11"/>
      <c r="Q39" s="11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6.5">
      <c r="A40" s="2"/>
      <c r="B40" s="2" t="s">
        <v>199</v>
      </c>
      <c r="C40" s="58">
        <v>44876</v>
      </c>
      <c r="D40" s="2">
        <v>1.6509999999999999E-3</v>
      </c>
      <c r="E40" s="2">
        <v>997</v>
      </c>
      <c r="F40" s="2">
        <v>2526</v>
      </c>
      <c r="G40" s="2">
        <v>10.199999999999999</v>
      </c>
      <c r="H40" s="2">
        <v>56</v>
      </c>
      <c r="I40" s="60">
        <f t="shared" ref="I40:I50" si="10">(F40*0.001)/G40</f>
        <v>0.24764705882352944</v>
      </c>
      <c r="J40" s="61">
        <f t="shared" ref="J40:J50" si="11">E40*D40*(I40/(K40*E40))/(0.001002)</f>
        <v>23826.010012201175</v>
      </c>
      <c r="K40" s="62">
        <f t="shared" ref="K40:K50" si="12">D40^2/4*3.1415*8</f>
        <v>1.7126207682999997E-5</v>
      </c>
      <c r="L40" s="50">
        <f t="shared" ref="L40:L50" si="13">I40/(SQRT(2*E40*(H40*6895)))</f>
        <v>8.9250251524211582E-6</v>
      </c>
      <c r="M40" s="60">
        <f t="shared" ref="M40:M50" si="14">I40/(K40*SQRT(2*E40*(H40*6895)))</f>
        <v>0.52113260084311674</v>
      </c>
      <c r="N40" s="6">
        <f t="shared" si="4"/>
        <v>6276985232.5364866</v>
      </c>
      <c r="O40" s="11"/>
      <c r="P40" s="11"/>
      <c r="Q40" s="11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6.5">
      <c r="A41" s="2"/>
      <c r="B41" s="2" t="s">
        <v>199</v>
      </c>
      <c r="C41" s="58">
        <v>44876</v>
      </c>
      <c r="D41" s="2">
        <v>1.6509999999999999E-3</v>
      </c>
      <c r="E41" s="2">
        <v>997</v>
      </c>
      <c r="F41" s="2">
        <v>3390</v>
      </c>
      <c r="G41" s="2">
        <v>11.6</v>
      </c>
      <c r="H41" s="2">
        <v>77</v>
      </c>
      <c r="I41" s="60">
        <f t="shared" si="10"/>
        <v>0.29224137931034483</v>
      </c>
      <c r="J41" s="61">
        <f t="shared" si="11"/>
        <v>28116.409144957684</v>
      </c>
      <c r="K41" s="62">
        <f t="shared" si="12"/>
        <v>1.7126207682999997E-5</v>
      </c>
      <c r="L41" s="50">
        <f t="shared" si="13"/>
        <v>8.9818672944213503E-6</v>
      </c>
      <c r="M41" s="60">
        <f t="shared" si="14"/>
        <v>0.52445161594863932</v>
      </c>
      <c r="N41" s="6">
        <f t="shared" si="4"/>
        <v>6197788274.7974701</v>
      </c>
      <c r="O41" s="11"/>
      <c r="P41" s="11"/>
      <c r="Q41" s="11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6.5">
      <c r="A42" s="2"/>
      <c r="B42" s="2" t="s">
        <v>199</v>
      </c>
      <c r="C42" s="58">
        <v>44876</v>
      </c>
      <c r="D42" s="2">
        <v>1.6509999999999999E-3</v>
      </c>
      <c r="E42" s="2">
        <v>997</v>
      </c>
      <c r="F42" s="2">
        <v>4200</v>
      </c>
      <c r="G42" s="2">
        <v>12</v>
      </c>
      <c r="H42" s="2">
        <v>100</v>
      </c>
      <c r="I42" s="60">
        <f t="shared" si="10"/>
        <v>0.35000000000000003</v>
      </c>
      <c r="J42" s="61">
        <f t="shared" si="11"/>
        <v>33673.339565937531</v>
      </c>
      <c r="K42" s="62">
        <f t="shared" si="12"/>
        <v>1.7126207682999997E-5</v>
      </c>
      <c r="L42" s="50">
        <f t="shared" si="13"/>
        <v>9.4392683333854667E-6</v>
      </c>
      <c r="M42" s="60">
        <f t="shared" si="14"/>
        <v>0.55115928220087951</v>
      </c>
      <c r="N42" s="6">
        <f t="shared" si="4"/>
        <v>5611685714.2857132</v>
      </c>
      <c r="O42" s="11"/>
      <c r="P42" s="11"/>
      <c r="Q42" s="11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6.5">
      <c r="A43" s="2"/>
      <c r="B43" s="2" t="s">
        <v>199</v>
      </c>
      <c r="C43" s="58">
        <v>44884</v>
      </c>
      <c r="D43" s="2">
        <v>1.6509999999999999E-3</v>
      </c>
      <c r="E43" s="2">
        <v>997</v>
      </c>
      <c r="F43" s="2">
        <v>1370</v>
      </c>
      <c r="G43" s="2">
        <v>4.2</v>
      </c>
      <c r="H43" s="2">
        <v>89</v>
      </c>
      <c r="I43" s="60">
        <f t="shared" si="10"/>
        <v>0.3261904761904762</v>
      </c>
      <c r="J43" s="61">
        <f t="shared" si="11"/>
        <v>31382.636194105035</v>
      </c>
      <c r="K43" s="62">
        <f t="shared" si="12"/>
        <v>1.7126207682999997E-5</v>
      </c>
      <c r="L43" s="50">
        <f t="shared" si="13"/>
        <v>9.3249510601453555E-6</v>
      </c>
      <c r="M43" s="60">
        <f t="shared" si="14"/>
        <v>0.54448429172102064</v>
      </c>
      <c r="N43" s="6">
        <f t="shared" si="4"/>
        <v>5750119653.3645897</v>
      </c>
      <c r="O43" s="11"/>
      <c r="P43" s="11"/>
      <c r="Q43" s="11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6.5">
      <c r="A44" s="2"/>
      <c r="B44" s="2" t="s">
        <v>199</v>
      </c>
      <c r="C44" s="58">
        <v>44884</v>
      </c>
      <c r="D44" s="2">
        <v>1.6509999999999999E-3</v>
      </c>
      <c r="E44" s="2">
        <v>997</v>
      </c>
      <c r="F44" s="2">
        <v>1770</v>
      </c>
      <c r="G44" s="2">
        <v>5.16</v>
      </c>
      <c r="H44" s="2">
        <v>90</v>
      </c>
      <c r="I44" s="60">
        <f t="shared" si="10"/>
        <v>0.34302325581395349</v>
      </c>
      <c r="J44" s="61">
        <f t="shared" si="11"/>
        <v>33002.110205819168</v>
      </c>
      <c r="K44" s="62">
        <f t="shared" si="12"/>
        <v>1.7126207682999997E-5</v>
      </c>
      <c r="L44" s="50">
        <f t="shared" si="13"/>
        <v>9.7515263309024375E-6</v>
      </c>
      <c r="M44" s="60">
        <f t="shared" si="14"/>
        <v>0.56939204004761101</v>
      </c>
      <c r="N44" s="6">
        <f t="shared" si="4"/>
        <v>5258051176.7882805</v>
      </c>
      <c r="O44" s="11"/>
      <c r="P44" s="11"/>
      <c r="Q44" s="11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6.5">
      <c r="A45" s="2"/>
      <c r="B45" s="2" t="s">
        <v>199</v>
      </c>
      <c r="C45" s="2" t="s">
        <v>200</v>
      </c>
      <c r="D45" s="2">
        <v>1.6509999999999999E-3</v>
      </c>
      <c r="E45" s="2">
        <v>997</v>
      </c>
      <c r="F45" s="2">
        <v>2090</v>
      </c>
      <c r="G45" s="2">
        <v>6.18</v>
      </c>
      <c r="H45" s="2">
        <v>100.4</v>
      </c>
      <c r="I45" s="60">
        <f t="shared" si="10"/>
        <v>0.33818770226537215</v>
      </c>
      <c r="J45" s="61">
        <f t="shared" si="11"/>
        <v>32536.883815445875</v>
      </c>
      <c r="K45" s="62">
        <f t="shared" si="12"/>
        <v>1.7126207682999997E-5</v>
      </c>
      <c r="L45" s="50">
        <f t="shared" si="13"/>
        <v>9.1025116275458005E-6</v>
      </c>
      <c r="M45" s="60">
        <f t="shared" si="14"/>
        <v>0.53149604372608616</v>
      </c>
      <c r="N45" s="6">
        <f t="shared" si="4"/>
        <v>6034586537.8270655</v>
      </c>
      <c r="O45" s="11"/>
      <c r="P45" s="11"/>
      <c r="Q45" s="11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6.5">
      <c r="A46" s="2"/>
      <c r="B46" s="2" t="s">
        <v>199</v>
      </c>
      <c r="C46" s="58">
        <v>44884</v>
      </c>
      <c r="D46" s="2">
        <v>1.6509999999999999E-3</v>
      </c>
      <c r="E46" s="2">
        <v>997</v>
      </c>
      <c r="F46" s="2">
        <v>1600</v>
      </c>
      <c r="G46" s="2">
        <v>5.2</v>
      </c>
      <c r="H46" s="2">
        <v>84.3</v>
      </c>
      <c r="I46" s="60">
        <f t="shared" si="10"/>
        <v>0.30769230769230771</v>
      </c>
      <c r="J46" s="61">
        <f t="shared" si="11"/>
        <v>29602.935882142876</v>
      </c>
      <c r="K46" s="62">
        <f t="shared" si="12"/>
        <v>1.7126207682999997E-5</v>
      </c>
      <c r="L46" s="50">
        <f t="shared" si="13"/>
        <v>9.0380167000254996E-6</v>
      </c>
      <c r="M46" s="60">
        <f t="shared" si="14"/>
        <v>0.52773018214633205</v>
      </c>
      <c r="N46" s="6">
        <f t="shared" si="4"/>
        <v>6121018969.406251</v>
      </c>
      <c r="O46" s="11"/>
      <c r="P46" s="11"/>
      <c r="Q46" s="11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6.5">
      <c r="A47" s="2"/>
      <c r="B47" s="2" t="s">
        <v>199</v>
      </c>
      <c r="C47" s="58">
        <v>44884</v>
      </c>
      <c r="D47" s="2">
        <v>1.6509999999999999E-3</v>
      </c>
      <c r="E47" s="2">
        <v>997</v>
      </c>
      <c r="F47" s="2">
        <v>1330</v>
      </c>
      <c r="G47" s="2">
        <v>5</v>
      </c>
      <c r="H47" s="2">
        <v>64</v>
      </c>
      <c r="I47" s="60">
        <f t="shared" si="10"/>
        <v>0.26600000000000001</v>
      </c>
      <c r="J47" s="61">
        <f t="shared" si="11"/>
        <v>25591.738070112518</v>
      </c>
      <c r="K47" s="62">
        <f t="shared" si="12"/>
        <v>1.7126207682999997E-5</v>
      </c>
      <c r="L47" s="50">
        <f t="shared" si="13"/>
        <v>8.9673049167161936E-6</v>
      </c>
      <c r="M47" s="60">
        <f t="shared" si="14"/>
        <v>0.52360131809083554</v>
      </c>
      <c r="N47" s="6">
        <f t="shared" si="4"/>
        <v>6217934309.4578533</v>
      </c>
      <c r="O47" s="11"/>
      <c r="P47" s="11"/>
      <c r="Q47" s="11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6.5">
      <c r="A48" s="2"/>
      <c r="B48" s="2"/>
      <c r="C48" s="58">
        <v>44884</v>
      </c>
      <c r="D48" s="2">
        <v>1.6509999999999999E-3</v>
      </c>
      <c r="E48" s="2">
        <v>997</v>
      </c>
      <c r="F48" s="2">
        <v>1090</v>
      </c>
      <c r="G48" s="2">
        <v>3.85</v>
      </c>
      <c r="H48" s="2">
        <v>66</v>
      </c>
      <c r="I48" s="60">
        <f t="shared" si="10"/>
        <v>0.28311688311688316</v>
      </c>
      <c r="J48" s="61">
        <f t="shared" si="11"/>
        <v>27238.545548698999</v>
      </c>
      <c r="K48" s="62">
        <f t="shared" si="12"/>
        <v>1.7126207682999997E-5</v>
      </c>
      <c r="L48" s="50">
        <f t="shared" si="13"/>
        <v>9.3986199485889133E-6</v>
      </c>
      <c r="M48" s="60">
        <f t="shared" si="14"/>
        <v>0.54878582127193709</v>
      </c>
      <c r="N48" s="6">
        <f t="shared" si="4"/>
        <v>5660330990.4679718</v>
      </c>
      <c r="O48" s="11"/>
      <c r="P48" s="11"/>
      <c r="Q48" s="11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6.5">
      <c r="A49" s="2"/>
      <c r="B49" s="2"/>
      <c r="C49" s="2" t="s">
        <v>201</v>
      </c>
      <c r="D49" s="2">
        <v>1.6509999999999999E-3</v>
      </c>
      <c r="E49" s="2">
        <v>997</v>
      </c>
      <c r="F49" s="2">
        <v>1170</v>
      </c>
      <c r="G49" s="2">
        <v>4.7</v>
      </c>
      <c r="H49" s="2">
        <v>54.9</v>
      </c>
      <c r="I49" s="60">
        <f t="shared" si="10"/>
        <v>0.24893617021276593</v>
      </c>
      <c r="J49" s="61">
        <f t="shared" si="11"/>
        <v>23950.034828052827</v>
      </c>
      <c r="K49" s="62">
        <f t="shared" si="12"/>
        <v>1.7126207682999997E-5</v>
      </c>
      <c r="L49" s="50">
        <f t="shared" si="13"/>
        <v>9.0609163146727792E-6</v>
      </c>
      <c r="M49" s="60">
        <f t="shared" si="14"/>
        <v>0.52906729162620891</v>
      </c>
      <c r="N49" s="6">
        <f t="shared" si="4"/>
        <v>6090118816.1406984</v>
      </c>
      <c r="O49" s="11"/>
      <c r="P49" s="11"/>
      <c r="Q49" s="11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6.5">
      <c r="A50" s="2"/>
      <c r="B50" s="2"/>
      <c r="C50" s="58">
        <v>44884</v>
      </c>
      <c r="D50" s="2">
        <v>1.6509999999999999E-3</v>
      </c>
      <c r="E50" s="2">
        <v>997</v>
      </c>
      <c r="F50" s="2">
        <v>1470</v>
      </c>
      <c r="G50" s="2">
        <v>5.62</v>
      </c>
      <c r="H50" s="2">
        <v>54.9</v>
      </c>
      <c r="I50" s="60">
        <f t="shared" si="10"/>
        <v>0.26156583629893237</v>
      </c>
      <c r="J50" s="61">
        <f t="shared" si="11"/>
        <v>25165.12921297822</v>
      </c>
      <c r="K50" s="62">
        <f t="shared" si="12"/>
        <v>1.7126207682999997E-5</v>
      </c>
      <c r="L50" s="50">
        <f t="shared" si="13"/>
        <v>9.5206178815089939E-6</v>
      </c>
      <c r="M50" s="60">
        <f t="shared" si="14"/>
        <v>0.55590928579941568</v>
      </c>
      <c r="N50" s="6">
        <f t="shared" si="4"/>
        <v>5516196583.0262394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6.5">
      <c r="A51" s="2"/>
      <c r="B51" s="2"/>
      <c r="C51" s="2"/>
      <c r="D51" s="2"/>
      <c r="E51" s="2"/>
      <c r="F51" s="2"/>
      <c r="G51" s="2"/>
      <c r="H51" s="2"/>
      <c r="I51" s="60"/>
      <c r="J51" s="61"/>
      <c r="K51" s="62"/>
      <c r="L51" s="63"/>
      <c r="M51" s="60"/>
      <c r="N51" s="6" t="e">
        <f t="shared" si="4"/>
        <v>#DIV/0!</v>
      </c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6.5">
      <c r="A52" s="2"/>
      <c r="B52" s="2"/>
      <c r="C52" s="2"/>
      <c r="D52" s="10"/>
      <c r="E52" s="10"/>
      <c r="F52" s="9"/>
      <c r="G52" s="9"/>
      <c r="H52" s="9"/>
      <c r="I52" s="60"/>
      <c r="J52" s="61"/>
      <c r="K52" s="62"/>
      <c r="L52" s="63"/>
      <c r="M52" s="60"/>
      <c r="N52" s="6" t="e">
        <f t="shared" si="4"/>
        <v>#DIV/0!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6.5">
      <c r="A53" s="2"/>
      <c r="B53" s="2"/>
      <c r="C53" s="2"/>
      <c r="D53" s="10"/>
      <c r="E53" s="10"/>
      <c r="F53" s="9"/>
      <c r="G53" s="9"/>
      <c r="H53" s="9"/>
      <c r="I53" s="60"/>
      <c r="J53" s="61"/>
      <c r="K53" s="62"/>
      <c r="L53" s="63"/>
      <c r="M53" s="60"/>
      <c r="N53" s="6" t="e">
        <f t="shared" si="4"/>
        <v>#DIV/0!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6.5">
      <c r="A54" s="2"/>
      <c r="B54" s="2" t="s">
        <v>199</v>
      </c>
      <c r="C54" s="58">
        <v>44966</v>
      </c>
      <c r="D54" s="10">
        <v>1.6004000000000001E-3</v>
      </c>
      <c r="E54" s="10">
        <v>997</v>
      </c>
      <c r="F54" s="9"/>
      <c r="G54" s="9"/>
      <c r="H54" s="9"/>
      <c r="I54" s="60" t="e">
        <f t="shared" ref="I54:I79" si="15">(F54*0.001)/G54</f>
        <v>#DIV/0!</v>
      </c>
      <c r="J54" s="61" t="e">
        <f t="shared" ref="J54:J79" si="16">E54*D54*(I54/(K54*E54))/(0.001002)</f>
        <v>#DIV/0!</v>
      </c>
      <c r="K54" s="62"/>
      <c r="L54" s="63"/>
      <c r="M54" s="60"/>
      <c r="N54" s="6" t="e">
        <f t="shared" si="4"/>
        <v>#DIV/0!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6.5">
      <c r="A55" s="2" t="s">
        <v>202</v>
      </c>
      <c r="B55" s="2" t="s">
        <v>203</v>
      </c>
      <c r="C55" s="58">
        <v>44968</v>
      </c>
      <c r="D55" s="2">
        <v>1.5883E-3</v>
      </c>
      <c r="E55" s="10">
        <v>997</v>
      </c>
      <c r="F55" s="9">
        <v>2181</v>
      </c>
      <c r="G55" s="9">
        <v>5.75</v>
      </c>
      <c r="H55" s="9">
        <v>134</v>
      </c>
      <c r="I55" s="60">
        <f t="shared" si="15"/>
        <v>0.37930434782608696</v>
      </c>
      <c r="J55" s="61">
        <f t="shared" si="16"/>
        <v>37933.289346843943</v>
      </c>
      <c r="K55" s="62">
        <f t="shared" ref="K55:K78" si="17">D55^2/4*3.1415*8</f>
        <v>1.5850104559870001E-5</v>
      </c>
      <c r="L55" s="63">
        <f t="shared" ref="L55:L79" si="18">10^6*I55/(SQRT(2*E55*(H55*6895)))</f>
        <v>8.837017386713784</v>
      </c>
      <c r="M55" s="60">
        <f t="shared" ref="M55:M79" si="19">I55/(K55*SQRT(2*E55*(H55*6895)))</f>
        <v>0.55753685115035367</v>
      </c>
      <c r="N55" s="6">
        <f t="shared" si="4"/>
        <v>6.4026326565755553E-3</v>
      </c>
      <c r="O55" s="2"/>
      <c r="P55" s="2"/>
      <c r="Q55" s="2">
        <v>0.67500000000000004</v>
      </c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6.5">
      <c r="A56" s="2" t="s">
        <v>202</v>
      </c>
      <c r="B56" s="2" t="s">
        <v>203</v>
      </c>
      <c r="C56" s="58">
        <v>44968</v>
      </c>
      <c r="D56" s="2">
        <v>1.5883E-3</v>
      </c>
      <c r="E56" s="10">
        <v>997</v>
      </c>
      <c r="F56" s="9">
        <v>3218</v>
      </c>
      <c r="G56" s="9">
        <v>7.48</v>
      </c>
      <c r="H56" s="9">
        <v>119</v>
      </c>
      <c r="I56" s="60">
        <f t="shared" si="15"/>
        <v>0.43021390374331547</v>
      </c>
      <c r="J56" s="61">
        <f t="shared" si="16"/>
        <v>43024.62807310871</v>
      </c>
      <c r="K56" s="62">
        <f t="shared" si="17"/>
        <v>1.5850104559870001E-5</v>
      </c>
      <c r="L56" s="63">
        <f t="shared" si="18"/>
        <v>10.636071519224641</v>
      </c>
      <c r="M56" s="60">
        <f t="shared" si="19"/>
        <v>0.67104109496876885</v>
      </c>
      <c r="N56" s="6">
        <f t="shared" si="4"/>
        <v>4.4198497539230273E-3</v>
      </c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6.5">
      <c r="A57" s="2" t="s">
        <v>202</v>
      </c>
      <c r="B57" s="2" t="s">
        <v>203</v>
      </c>
      <c r="C57" s="58">
        <v>44968</v>
      </c>
      <c r="D57" s="2">
        <v>1.5883E-3</v>
      </c>
      <c r="E57" s="2">
        <v>997</v>
      </c>
      <c r="F57" s="2">
        <v>3083</v>
      </c>
      <c r="G57" s="2">
        <v>7.3</v>
      </c>
      <c r="H57" s="2">
        <v>134</v>
      </c>
      <c r="I57" s="60">
        <f t="shared" si="15"/>
        <v>0.42232876712328771</v>
      </c>
      <c r="J57" s="61">
        <f t="shared" si="16"/>
        <v>42236.055069236769</v>
      </c>
      <c r="K57" s="62">
        <f t="shared" si="17"/>
        <v>1.5850104559870001E-5</v>
      </c>
      <c r="L57" s="63">
        <f t="shared" si="18"/>
        <v>9.839398571010026</v>
      </c>
      <c r="M57" s="60">
        <f t="shared" si="19"/>
        <v>0.62077814905536033</v>
      </c>
      <c r="N57" s="6">
        <f t="shared" si="4"/>
        <v>5.1645548949493247E-3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6.5">
      <c r="A58" s="2" t="s">
        <v>202</v>
      </c>
      <c r="B58" s="2" t="s">
        <v>203</v>
      </c>
      <c r="C58" s="58">
        <v>44968</v>
      </c>
      <c r="D58" s="2">
        <v>1.5883E-3</v>
      </c>
      <c r="E58" s="2">
        <v>997</v>
      </c>
      <c r="F58" s="2">
        <v>2833</v>
      </c>
      <c r="G58" s="2">
        <v>7.38</v>
      </c>
      <c r="H58" s="2">
        <v>124</v>
      </c>
      <c r="I58" s="60">
        <f t="shared" si="15"/>
        <v>0.38387533875338758</v>
      </c>
      <c r="J58" s="61">
        <f t="shared" si="16"/>
        <v>38390.422839884195</v>
      </c>
      <c r="K58" s="62">
        <f t="shared" si="17"/>
        <v>1.5850104559870001E-5</v>
      </c>
      <c r="L58" s="63">
        <f t="shared" si="18"/>
        <v>9.2971461457998164</v>
      </c>
      <c r="M58" s="60">
        <f t="shared" si="19"/>
        <v>0.58656686526464585</v>
      </c>
      <c r="N58" s="6">
        <f t="shared" si="4"/>
        <v>5.7845647745519528E-3</v>
      </c>
      <c r="O58" s="2"/>
      <c r="P58" s="2"/>
      <c r="Q58" s="2"/>
      <c r="R58" s="2"/>
      <c r="S58" s="2"/>
      <c r="T58" s="2"/>
      <c r="U58" s="62">
        <f>D61^2/4*3.1415*8</f>
        <v>1.5850104559870001E-5</v>
      </c>
      <c r="V58" s="2"/>
      <c r="W58" s="2"/>
      <c r="X58" s="2"/>
      <c r="Y58" s="2"/>
      <c r="Z58" s="2"/>
      <c r="AA58" s="2"/>
      <c r="AB58" s="2"/>
      <c r="AC58" s="2"/>
      <c r="AD58" s="2"/>
    </row>
    <row r="59" spans="1:30" ht="16.5">
      <c r="A59" s="2" t="s">
        <v>202</v>
      </c>
      <c r="B59" s="2" t="s">
        <v>203</v>
      </c>
      <c r="C59" s="58">
        <v>44968</v>
      </c>
      <c r="D59" s="2">
        <v>1.5883E-3</v>
      </c>
      <c r="E59" s="2">
        <v>997</v>
      </c>
      <c r="F59" s="2">
        <v>2971</v>
      </c>
      <c r="G59" s="2">
        <v>7.96</v>
      </c>
      <c r="H59" s="2">
        <v>114</v>
      </c>
      <c r="I59" s="60">
        <f t="shared" si="15"/>
        <v>0.37324120603015076</v>
      </c>
      <c r="J59" s="61">
        <f t="shared" si="16"/>
        <v>37326.929537328542</v>
      </c>
      <c r="K59" s="62">
        <f t="shared" si="17"/>
        <v>1.5850104559870001E-5</v>
      </c>
      <c r="L59" s="63">
        <f t="shared" si="18"/>
        <v>9.4277367262360219</v>
      </c>
      <c r="M59" s="60">
        <f t="shared" si="19"/>
        <v>0.59480596425247467</v>
      </c>
      <c r="N59" s="6">
        <f t="shared" si="4"/>
        <v>5.625422061262461E-3</v>
      </c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6.5">
      <c r="A60" s="2" t="s">
        <v>202</v>
      </c>
      <c r="B60" s="2" t="s">
        <v>203</v>
      </c>
      <c r="C60" s="58">
        <v>44968</v>
      </c>
      <c r="D60" s="2">
        <v>1.5883E-3</v>
      </c>
      <c r="E60" s="2">
        <v>997</v>
      </c>
      <c r="F60" s="2">
        <v>2890</v>
      </c>
      <c r="G60" s="2">
        <v>7.8</v>
      </c>
      <c r="H60" s="2">
        <v>114</v>
      </c>
      <c r="I60" s="60">
        <f t="shared" si="15"/>
        <v>0.37051282051282053</v>
      </c>
      <c r="J60" s="61">
        <f t="shared" si="16"/>
        <v>37054.070452343622</v>
      </c>
      <c r="K60" s="62">
        <f t="shared" si="17"/>
        <v>1.5850104559870001E-5</v>
      </c>
      <c r="L60" s="63">
        <f t="shared" si="18"/>
        <v>9.3588201652307319</v>
      </c>
      <c r="M60" s="60">
        <f t="shared" si="19"/>
        <v>0.59045794492269843</v>
      </c>
      <c r="N60" s="6">
        <f t="shared" si="4"/>
        <v>5.7085761669999164E-3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6.5">
      <c r="A61" s="2" t="s">
        <v>202</v>
      </c>
      <c r="B61" s="2" t="s">
        <v>203</v>
      </c>
      <c r="C61" s="58">
        <v>44968</v>
      </c>
      <c r="D61" s="2">
        <v>1.5883E-3</v>
      </c>
      <c r="E61" s="2">
        <v>997</v>
      </c>
      <c r="F61" s="2">
        <v>2939</v>
      </c>
      <c r="G61" s="2">
        <v>7.96</v>
      </c>
      <c r="H61" s="2">
        <v>114</v>
      </c>
      <c r="I61" s="60">
        <f t="shared" si="15"/>
        <v>0.3692211055276382</v>
      </c>
      <c r="J61" s="61">
        <f t="shared" si="16"/>
        <v>36924.889232651825</v>
      </c>
      <c r="K61" s="62">
        <f t="shared" si="17"/>
        <v>1.5850104559870001E-5</v>
      </c>
      <c r="L61" s="63">
        <f t="shared" si="18"/>
        <v>9.3261926080133524</v>
      </c>
      <c r="M61" s="60">
        <f t="shared" si="19"/>
        <v>0.58839943754224944</v>
      </c>
      <c r="N61" s="6">
        <f t="shared" si="4"/>
        <v>5.7485887877897412E-3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6.5">
      <c r="A62" s="2" t="s">
        <v>202</v>
      </c>
      <c r="B62" s="2" t="s">
        <v>203</v>
      </c>
      <c r="C62" s="58">
        <v>44968</v>
      </c>
      <c r="D62" s="2">
        <v>1.5883E-3</v>
      </c>
      <c r="E62" s="2">
        <v>997</v>
      </c>
      <c r="F62" s="2">
        <v>2831</v>
      </c>
      <c r="G62" s="2">
        <v>7.68</v>
      </c>
      <c r="H62" s="2">
        <v>114</v>
      </c>
      <c r="I62" s="64">
        <f t="shared" si="15"/>
        <v>0.3686197916666667</v>
      </c>
      <c r="J62" s="61">
        <f t="shared" si="16"/>
        <v>36864.753321193835</v>
      </c>
      <c r="K62" s="62">
        <f t="shared" si="17"/>
        <v>1.5850104559870001E-5</v>
      </c>
      <c r="L62" s="63">
        <f t="shared" si="18"/>
        <v>9.3110039614237312</v>
      </c>
      <c r="M62" s="60">
        <f t="shared" si="19"/>
        <v>0.58744116963100323</v>
      </c>
      <c r="N62" s="6">
        <f t="shared" si="4"/>
        <v>5.7673589438503236E-3</v>
      </c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6.5">
      <c r="A63" s="2" t="s">
        <v>202</v>
      </c>
      <c r="B63" s="2" t="s">
        <v>192</v>
      </c>
      <c r="C63" s="58">
        <v>44968</v>
      </c>
      <c r="D63" s="2">
        <v>1.6004000000000001E-3</v>
      </c>
      <c r="E63" s="2">
        <v>997</v>
      </c>
      <c r="F63" s="2">
        <v>2926</v>
      </c>
      <c r="G63" s="2">
        <v>7.79</v>
      </c>
      <c r="H63" s="2">
        <v>124</v>
      </c>
      <c r="I63" s="60">
        <f t="shared" si="15"/>
        <v>0.37560975609756098</v>
      </c>
      <c r="J63" s="61">
        <f t="shared" si="16"/>
        <v>37279.797115171896</v>
      </c>
      <c r="K63" s="62">
        <f t="shared" si="17"/>
        <v>1.6092523245280005E-5</v>
      </c>
      <c r="L63" s="63">
        <f t="shared" si="18"/>
        <v>9.096960506938613</v>
      </c>
      <c r="M63" s="60">
        <f t="shared" si="19"/>
        <v>0.56529112111780133</v>
      </c>
      <c r="N63" s="6">
        <f t="shared" si="4"/>
        <v>6.0419536003541909E-3</v>
      </c>
      <c r="O63" s="2"/>
      <c r="P63" s="2"/>
      <c r="Q63" s="2" t="s">
        <v>204</v>
      </c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6.5">
      <c r="A64" s="2" t="s">
        <v>202</v>
      </c>
      <c r="B64" s="9" t="s">
        <v>192</v>
      </c>
      <c r="C64" s="58">
        <v>44968</v>
      </c>
      <c r="D64" s="9">
        <v>1.6004000000000001E-3</v>
      </c>
      <c r="E64" s="9">
        <v>997</v>
      </c>
      <c r="F64" s="9">
        <v>2481</v>
      </c>
      <c r="G64" s="9">
        <v>6.46</v>
      </c>
      <c r="H64" s="9">
        <v>135</v>
      </c>
      <c r="I64" s="60">
        <f t="shared" si="15"/>
        <v>0.38405572755417955</v>
      </c>
      <c r="J64" s="61">
        <f t="shared" si="16"/>
        <v>38118.071673358529</v>
      </c>
      <c r="K64" s="62">
        <f t="shared" si="17"/>
        <v>1.6092523245280005E-5</v>
      </c>
      <c r="L64" s="63">
        <f t="shared" si="18"/>
        <v>8.9145135571188998</v>
      </c>
      <c r="M64" s="60">
        <f t="shared" si="19"/>
        <v>0.55395374741705339</v>
      </c>
      <c r="N64" s="6">
        <f t="shared" si="4"/>
        <v>6.2917970400582536E-3</v>
      </c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</row>
    <row r="65" spans="1:30" ht="16.5">
      <c r="A65" s="2" t="s">
        <v>202</v>
      </c>
      <c r="B65" s="9" t="s">
        <v>192</v>
      </c>
      <c r="C65" s="58">
        <v>44968</v>
      </c>
      <c r="D65" s="9">
        <v>1.6004000000000001E-3</v>
      </c>
      <c r="E65" s="9">
        <v>997</v>
      </c>
      <c r="F65" s="9">
        <v>3225</v>
      </c>
      <c r="G65" s="9">
        <v>8.16</v>
      </c>
      <c r="H65" s="9">
        <v>130</v>
      </c>
      <c r="I65" s="60">
        <f t="shared" si="15"/>
        <v>0.3952205882352941</v>
      </c>
      <c r="J65" s="61">
        <f t="shared" si="16"/>
        <v>39226.199815011481</v>
      </c>
      <c r="K65" s="62">
        <f t="shared" si="17"/>
        <v>1.6092523245280005E-5</v>
      </c>
      <c r="L65" s="63">
        <f t="shared" si="18"/>
        <v>9.3484190517863617</v>
      </c>
      <c r="M65" s="60">
        <f t="shared" si="19"/>
        <v>0.58091692081465762</v>
      </c>
      <c r="N65" s="6">
        <f t="shared" si="4"/>
        <v>5.721286033514331E-3</v>
      </c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</row>
    <row r="66" spans="1:30" ht="16.5">
      <c r="A66" s="2" t="s">
        <v>202</v>
      </c>
      <c r="B66" s="9" t="s">
        <v>192</v>
      </c>
      <c r="C66" s="58">
        <v>44968</v>
      </c>
      <c r="D66" s="9">
        <v>1.6004000000000001E-3</v>
      </c>
      <c r="E66" s="10">
        <v>997</v>
      </c>
      <c r="F66" s="9">
        <v>3267</v>
      </c>
      <c r="G66" s="10">
        <v>8.31</v>
      </c>
      <c r="H66" s="9">
        <v>130</v>
      </c>
      <c r="I66" s="60">
        <f t="shared" si="15"/>
        <v>0.3931407942238267</v>
      </c>
      <c r="J66" s="61">
        <f t="shared" si="16"/>
        <v>39019.777331222984</v>
      </c>
      <c r="K66" s="62">
        <f t="shared" si="17"/>
        <v>1.6092523245280005E-5</v>
      </c>
      <c r="L66" s="63">
        <f t="shared" si="18"/>
        <v>9.2992242817279305</v>
      </c>
      <c r="M66" s="60">
        <f t="shared" si="19"/>
        <v>0.57785992538214459</v>
      </c>
      <c r="N66" s="6">
        <f t="shared" si="4"/>
        <v>5.7819796624353562E-3</v>
      </c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</row>
    <row r="67" spans="1:30" ht="16.5">
      <c r="A67" s="2" t="s">
        <v>202</v>
      </c>
      <c r="B67" s="9" t="s">
        <v>192</v>
      </c>
      <c r="C67" s="58">
        <v>44968</v>
      </c>
      <c r="D67" s="9">
        <v>1.6004000000000001E-3</v>
      </c>
      <c r="E67" s="10">
        <v>997</v>
      </c>
      <c r="F67" s="9">
        <v>2787</v>
      </c>
      <c r="G67" s="10">
        <v>7.42</v>
      </c>
      <c r="H67" s="9">
        <v>130</v>
      </c>
      <c r="I67" s="60">
        <f t="shared" si="15"/>
        <v>0.3756064690026954</v>
      </c>
      <c r="J67" s="61">
        <f t="shared" si="16"/>
        <v>37279.470866378571</v>
      </c>
      <c r="K67" s="62">
        <f t="shared" si="17"/>
        <v>1.6092523245280005E-5</v>
      </c>
      <c r="L67" s="63">
        <f t="shared" si="18"/>
        <v>8.8844730647193337</v>
      </c>
      <c r="M67" s="60">
        <f t="shared" si="19"/>
        <v>0.55208701142160421</v>
      </c>
      <c r="N67" s="6">
        <f t="shared" si="4"/>
        <v>6.3344170629179575E-3</v>
      </c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</row>
    <row r="68" spans="1:30" ht="16.5">
      <c r="A68" s="2" t="s">
        <v>202</v>
      </c>
      <c r="B68" s="9" t="s">
        <v>192</v>
      </c>
      <c r="C68" s="58">
        <v>44968</v>
      </c>
      <c r="D68" s="9">
        <v>1.6004000000000001E-3</v>
      </c>
      <c r="E68" s="10">
        <v>997</v>
      </c>
      <c r="F68" s="9">
        <v>2327</v>
      </c>
      <c r="G68" s="10">
        <v>7.44</v>
      </c>
      <c r="H68" s="9">
        <v>102</v>
      </c>
      <c r="I68" s="60">
        <f t="shared" si="15"/>
        <v>0.31276881720430105</v>
      </c>
      <c r="J68" s="61">
        <f t="shared" si="16"/>
        <v>31042.745456004792</v>
      </c>
      <c r="K68" s="62">
        <f t="shared" si="17"/>
        <v>1.6092523245280005E-5</v>
      </c>
      <c r="L68" s="63">
        <f t="shared" si="18"/>
        <v>8.3520608469003879</v>
      </c>
      <c r="M68" s="60">
        <f t="shared" si="19"/>
        <v>0.51900256532797473</v>
      </c>
      <c r="N68" s="6">
        <f t="shared" si="4"/>
        <v>7.1677476184762558E-3</v>
      </c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</row>
    <row r="69" spans="1:30" ht="16.5">
      <c r="A69" s="2" t="s">
        <v>202</v>
      </c>
      <c r="B69" s="9" t="s">
        <v>192</v>
      </c>
      <c r="C69" s="58">
        <v>44968</v>
      </c>
      <c r="D69" s="9">
        <v>1.6004000000000001E-3</v>
      </c>
      <c r="E69" s="10">
        <v>997</v>
      </c>
      <c r="F69" s="9">
        <v>2590</v>
      </c>
      <c r="G69" s="9">
        <v>8.06</v>
      </c>
      <c r="H69" s="9">
        <v>102</v>
      </c>
      <c r="I69" s="60">
        <f t="shared" si="15"/>
        <v>0.32133995037220842</v>
      </c>
      <c r="J69" s="61">
        <f t="shared" si="16"/>
        <v>31893.442490252517</v>
      </c>
      <c r="K69" s="62">
        <f t="shared" si="17"/>
        <v>1.6092523245280005E-5</v>
      </c>
      <c r="L69" s="63">
        <f t="shared" si="18"/>
        <v>8.5809411629917705</v>
      </c>
      <c r="M69" s="60">
        <f t="shared" si="19"/>
        <v>0.5332253390100643</v>
      </c>
      <c r="N69" s="6">
        <f t="shared" si="4"/>
        <v>6.7904750217301496E-3</v>
      </c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</row>
    <row r="70" spans="1:30" ht="16.5">
      <c r="A70" s="2" t="s">
        <v>202</v>
      </c>
      <c r="B70" s="9" t="s">
        <v>192</v>
      </c>
      <c r="C70" s="58">
        <v>44968</v>
      </c>
      <c r="D70" s="9">
        <v>1.6004000000000001E-3</v>
      </c>
      <c r="E70" s="10">
        <v>997</v>
      </c>
      <c r="F70" s="9">
        <v>1896</v>
      </c>
      <c r="G70" s="10">
        <v>6.25</v>
      </c>
      <c r="H70" s="9">
        <v>104</v>
      </c>
      <c r="I70" s="60">
        <f t="shared" si="15"/>
        <v>0.30336000000000002</v>
      </c>
      <c r="J70" s="61">
        <f t="shared" si="16"/>
        <v>30108.907101766257</v>
      </c>
      <c r="K70" s="62">
        <f t="shared" si="17"/>
        <v>1.6092523245280005E-5</v>
      </c>
      <c r="L70" s="63">
        <f t="shared" si="18"/>
        <v>8.0225407873090884</v>
      </c>
      <c r="M70" s="60">
        <f t="shared" si="19"/>
        <v>0.49852597165967305</v>
      </c>
      <c r="N70" s="6">
        <f t="shared" si="4"/>
        <v>7.7686603952747532E-3</v>
      </c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</row>
    <row r="71" spans="1:30" ht="16.5">
      <c r="A71" s="9" t="s">
        <v>202</v>
      </c>
      <c r="B71" s="9" t="s">
        <v>192</v>
      </c>
      <c r="C71" s="58">
        <v>44968</v>
      </c>
      <c r="D71" s="9">
        <v>1.6004000000000001E-3</v>
      </c>
      <c r="E71" s="10">
        <v>997</v>
      </c>
      <c r="F71" s="9">
        <v>2200</v>
      </c>
      <c r="G71" s="9">
        <v>6.87</v>
      </c>
      <c r="H71" s="9">
        <v>110</v>
      </c>
      <c r="I71" s="60">
        <f t="shared" si="15"/>
        <v>0.32023289665211063</v>
      </c>
      <c r="J71" s="61">
        <f t="shared" si="16"/>
        <v>31783.565849907416</v>
      </c>
      <c r="K71" s="62">
        <f t="shared" si="17"/>
        <v>1.6092523245280005E-5</v>
      </c>
      <c r="L71" s="63">
        <f t="shared" si="18"/>
        <v>8.234550341698478</v>
      </c>
      <c r="M71" s="60">
        <f t="shared" si="19"/>
        <v>0.51170038509117599</v>
      </c>
      <c r="N71" s="6">
        <f t="shared" si="4"/>
        <v>7.3737808550795479E-3</v>
      </c>
      <c r="O71" s="9"/>
      <c r="P71" s="9"/>
      <c r="Q71" s="65">
        <f>AVERAGE(M72:M74)</f>
        <v>0.71551272189794179</v>
      </c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</row>
    <row r="72" spans="1:30" ht="16.5">
      <c r="A72" s="9" t="s">
        <v>205</v>
      </c>
      <c r="B72" s="9" t="s">
        <v>203</v>
      </c>
      <c r="C72" s="66">
        <v>44975</v>
      </c>
      <c r="D72" s="2">
        <v>1.5883E-3</v>
      </c>
      <c r="E72" s="9">
        <v>997</v>
      </c>
      <c r="F72" s="9">
        <v>1520</v>
      </c>
      <c r="G72" s="9">
        <v>5.75</v>
      </c>
      <c r="H72" s="9">
        <v>40.700000000000003</v>
      </c>
      <c r="I72" s="60">
        <f t="shared" si="15"/>
        <v>0.26434782608695651</v>
      </c>
      <c r="J72" s="61">
        <f t="shared" si="16"/>
        <v>26436.772034480873</v>
      </c>
      <c r="K72" s="62">
        <f t="shared" si="17"/>
        <v>1.5850104559870001E-5</v>
      </c>
      <c r="L72" s="63">
        <f t="shared" si="18"/>
        <v>11.17503331177142</v>
      </c>
      <c r="M72" s="60">
        <f t="shared" si="19"/>
        <v>0.70504476923545778</v>
      </c>
      <c r="N72" s="6">
        <f t="shared" si="4"/>
        <v>4.0037997815448633E-3</v>
      </c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</row>
    <row r="73" spans="1:30" ht="16.5">
      <c r="A73" s="9" t="s">
        <v>205</v>
      </c>
      <c r="B73" s="9" t="s">
        <v>203</v>
      </c>
      <c r="C73" s="66">
        <v>44975</v>
      </c>
      <c r="D73" s="2">
        <v>1.5883E-3</v>
      </c>
      <c r="E73" s="9">
        <v>997</v>
      </c>
      <c r="F73" s="9">
        <v>1205</v>
      </c>
      <c r="G73" s="9">
        <v>4.13</v>
      </c>
      <c r="H73" s="9">
        <v>45.6</v>
      </c>
      <c r="I73" s="60">
        <f t="shared" si="15"/>
        <v>0.29176755447941893</v>
      </c>
      <c r="J73" s="61">
        <f t="shared" si="16"/>
        <v>29178.951228799127</v>
      </c>
      <c r="K73" s="62">
        <f t="shared" si="17"/>
        <v>1.5850104559870001E-5</v>
      </c>
      <c r="L73" s="63">
        <f t="shared" si="18"/>
        <v>11.652654280522521</v>
      </c>
      <c r="M73" s="60">
        <f t="shared" si="19"/>
        <v>0.73517838551205716</v>
      </c>
      <c r="N73" s="6">
        <f t="shared" si="4"/>
        <v>3.6823094372835179E-3</v>
      </c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</row>
    <row r="74" spans="1:30" ht="16.5">
      <c r="A74" s="9" t="s">
        <v>205</v>
      </c>
      <c r="B74" s="9" t="s">
        <v>203</v>
      </c>
      <c r="C74" s="66">
        <v>44975</v>
      </c>
      <c r="D74" s="2">
        <v>1.5883E-3</v>
      </c>
      <c r="E74" s="9">
        <v>997</v>
      </c>
      <c r="F74" s="9">
        <v>1390</v>
      </c>
      <c r="G74" s="9">
        <v>4.9000000000000004</v>
      </c>
      <c r="H74" s="9">
        <v>46.7</v>
      </c>
      <c r="I74" s="60">
        <f t="shared" si="15"/>
        <v>0.28367346938775512</v>
      </c>
      <c r="J74" s="61">
        <f t="shared" si="16"/>
        <v>28369.481805261603</v>
      </c>
      <c r="K74" s="62">
        <f t="shared" si="17"/>
        <v>1.5850104559870001E-5</v>
      </c>
      <c r="L74" s="63">
        <f t="shared" si="18"/>
        <v>11.19516677570474</v>
      </c>
      <c r="M74" s="60">
        <f t="shared" si="19"/>
        <v>0.70631501094631033</v>
      </c>
      <c r="N74" s="6">
        <f t="shared" si="4"/>
        <v>3.9894118094845003E-3</v>
      </c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</row>
    <row r="75" spans="1:30" ht="16.5">
      <c r="A75" s="9" t="s">
        <v>205</v>
      </c>
      <c r="B75" s="9" t="s">
        <v>203</v>
      </c>
      <c r="C75" s="66">
        <v>44975</v>
      </c>
      <c r="D75" s="2">
        <v>1.5883E-3</v>
      </c>
      <c r="E75" s="9">
        <v>997</v>
      </c>
      <c r="F75" s="2">
        <v>1115</v>
      </c>
      <c r="G75" s="2">
        <v>8.07</v>
      </c>
      <c r="H75" s="2">
        <v>21</v>
      </c>
      <c r="I75" s="60">
        <f t="shared" si="15"/>
        <v>0.13816604708798016</v>
      </c>
      <c r="J75" s="61">
        <f t="shared" si="16"/>
        <v>13817.644517223107</v>
      </c>
      <c r="K75" s="62">
        <f t="shared" si="17"/>
        <v>1.5850104559870001E-5</v>
      </c>
      <c r="L75" s="63">
        <f t="shared" si="18"/>
        <v>8.1313372331644853</v>
      </c>
      <c r="M75" s="60">
        <f t="shared" si="19"/>
        <v>0.51301473769149541</v>
      </c>
      <c r="N75" s="6">
        <f t="shared" si="4"/>
        <v>7.5621634183784111E-3</v>
      </c>
      <c r="O75" s="9"/>
      <c r="P75" s="9"/>
      <c r="Q75" s="9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6.5">
      <c r="A76" s="9" t="s">
        <v>205</v>
      </c>
      <c r="B76" s="9" t="s">
        <v>203</v>
      </c>
      <c r="C76" s="66">
        <v>44975</v>
      </c>
      <c r="D76" s="2">
        <v>1.5883E-3</v>
      </c>
      <c r="E76" s="9">
        <v>997</v>
      </c>
      <c r="F76" s="2">
        <v>935</v>
      </c>
      <c r="G76" s="2">
        <v>7.28</v>
      </c>
      <c r="H76" s="2">
        <v>26.3</v>
      </c>
      <c r="I76" s="60">
        <f t="shared" si="15"/>
        <v>0.12843406593406595</v>
      </c>
      <c r="J76" s="61">
        <f t="shared" si="16"/>
        <v>12844.373161001466</v>
      </c>
      <c r="K76" s="62">
        <f t="shared" si="17"/>
        <v>1.5850104559870001E-5</v>
      </c>
      <c r="L76" s="63">
        <f t="shared" si="18"/>
        <v>6.754180227034829</v>
      </c>
      <c r="M76" s="60">
        <f t="shared" si="19"/>
        <v>0.42612843350796326</v>
      </c>
      <c r="N76" s="6">
        <f t="shared" si="4"/>
        <v>1.0960357353455685E-2</v>
      </c>
      <c r="O76" s="9"/>
      <c r="P76" s="9"/>
      <c r="Q76" s="9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6.5">
      <c r="A77" s="9" t="s">
        <v>205</v>
      </c>
      <c r="B77" s="9" t="s">
        <v>203</v>
      </c>
      <c r="C77" s="66">
        <v>44975</v>
      </c>
      <c r="D77" s="2">
        <v>1.5883E-3</v>
      </c>
      <c r="E77" s="9">
        <v>997</v>
      </c>
      <c r="F77" s="2">
        <v>967</v>
      </c>
      <c r="G77" s="2">
        <v>5.73</v>
      </c>
      <c r="H77" s="2">
        <v>43.2</v>
      </c>
      <c r="I77" s="60">
        <f t="shared" si="15"/>
        <v>0.16876090750436298</v>
      </c>
      <c r="J77" s="61">
        <f t="shared" si="16"/>
        <v>16877.360809304937</v>
      </c>
      <c r="K77" s="62">
        <f t="shared" si="17"/>
        <v>1.5850104559870001E-5</v>
      </c>
      <c r="L77" s="63">
        <f t="shared" si="18"/>
        <v>6.924688891916138</v>
      </c>
      <c r="M77" s="60">
        <f t="shared" si="19"/>
        <v>0.43688600701400876</v>
      </c>
      <c r="N77" s="6">
        <f t="shared" si="4"/>
        <v>1.0427242443043605E-2</v>
      </c>
      <c r="O77" s="9"/>
      <c r="P77" s="9"/>
      <c r="Q77" s="9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6.5">
      <c r="A78" s="9" t="s">
        <v>205</v>
      </c>
      <c r="B78" s="9" t="s">
        <v>203</v>
      </c>
      <c r="C78" s="66">
        <v>44975</v>
      </c>
      <c r="D78" s="2">
        <v>1.5883E-3</v>
      </c>
      <c r="E78" s="9">
        <v>997</v>
      </c>
      <c r="F78" s="2">
        <v>1100</v>
      </c>
      <c r="G78" s="2">
        <v>5.51</v>
      </c>
      <c r="H78" s="2">
        <v>27.2</v>
      </c>
      <c r="I78" s="60">
        <f t="shared" si="15"/>
        <v>0.19963702359346644</v>
      </c>
      <c r="J78" s="61">
        <f t="shared" si="16"/>
        <v>19965.204785329493</v>
      </c>
      <c r="K78" s="62">
        <f t="shared" si="17"/>
        <v>1.5850104559870001E-5</v>
      </c>
      <c r="L78" s="63">
        <f t="shared" si="18"/>
        <v>10.323499047506552</v>
      </c>
      <c r="M78" s="60">
        <f t="shared" si="19"/>
        <v>0.65132056438567887</v>
      </c>
      <c r="N78" s="6">
        <f t="shared" si="4"/>
        <v>4.6915479591874368E-3</v>
      </c>
      <c r="O78" s="9"/>
      <c r="P78" s="9"/>
      <c r="Q78" s="9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6.5">
      <c r="A79" s="9"/>
      <c r="B79" s="9" t="s">
        <v>206</v>
      </c>
      <c r="C79" s="58">
        <v>44980</v>
      </c>
      <c r="D79" s="2">
        <v>1</v>
      </c>
      <c r="E79" s="9">
        <v>997</v>
      </c>
      <c r="F79" s="2">
        <v>1660</v>
      </c>
      <c r="G79" s="2">
        <v>9.1999999999999993</v>
      </c>
      <c r="H79" s="2">
        <v>8</v>
      </c>
      <c r="I79" s="60">
        <f t="shared" si="15"/>
        <v>0.18043478260869569</v>
      </c>
      <c r="J79" s="61">
        <f t="shared" si="16"/>
        <v>180.07463334201165</v>
      </c>
      <c r="K79" s="62">
        <f>1</f>
        <v>1</v>
      </c>
      <c r="L79" s="63">
        <f t="shared" si="18"/>
        <v>17.204638626771221</v>
      </c>
      <c r="M79" s="67">
        <f t="shared" si="19"/>
        <v>1.720463862677122E-5</v>
      </c>
      <c r="N79" s="6">
        <f t="shared" si="4"/>
        <v>1.6891915273624613E-3</v>
      </c>
      <c r="O79" s="9"/>
      <c r="P79" s="9"/>
      <c r="Q79" s="9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6.5">
      <c r="A80" s="9"/>
      <c r="B80" s="9"/>
      <c r="C80" s="58"/>
      <c r="D80" s="2"/>
      <c r="E80" s="9"/>
      <c r="F80" s="2"/>
      <c r="G80" s="2"/>
      <c r="H80" s="2"/>
      <c r="I80" s="60"/>
      <c r="J80" s="61"/>
      <c r="K80" s="62"/>
      <c r="L80" s="63"/>
      <c r="M80" s="60"/>
      <c r="N80" s="6" t="e">
        <f t="shared" si="4"/>
        <v>#DIV/0!</v>
      </c>
      <c r="O80" s="9"/>
      <c r="P80" s="9"/>
      <c r="Q80" s="9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6.5">
      <c r="A81" s="9"/>
      <c r="B81" s="9"/>
      <c r="C81" s="58"/>
      <c r="D81" s="2"/>
      <c r="E81" s="9"/>
      <c r="F81" s="2"/>
      <c r="G81" s="2"/>
      <c r="H81" s="2"/>
      <c r="I81" s="60"/>
      <c r="J81" s="61"/>
      <c r="K81" s="62"/>
      <c r="L81" s="63"/>
      <c r="M81" s="60"/>
      <c r="N81" s="6" t="e">
        <f t="shared" si="4"/>
        <v>#DIV/0!</v>
      </c>
      <c r="O81" s="9"/>
      <c r="P81" s="9"/>
      <c r="Q81" s="9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6.5">
      <c r="A82" s="9"/>
      <c r="B82" s="9"/>
      <c r="C82" s="58"/>
      <c r="D82" s="2"/>
      <c r="E82" s="9"/>
      <c r="F82" s="2"/>
      <c r="G82" s="2"/>
      <c r="H82" s="2"/>
      <c r="I82" s="60"/>
      <c r="J82" s="61"/>
      <c r="K82" s="62"/>
      <c r="L82" s="63"/>
      <c r="M82" s="60"/>
      <c r="N82" s="6" t="e">
        <f t="shared" si="4"/>
        <v>#DIV/0!</v>
      </c>
      <c r="O82" s="9"/>
      <c r="P82" s="9"/>
      <c r="Q82" s="9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6.5">
      <c r="A83" s="2"/>
      <c r="B83" s="2"/>
      <c r="C83" s="58"/>
      <c r="D83" s="2"/>
      <c r="E83" s="9"/>
      <c r="F83" s="2"/>
      <c r="G83" s="2"/>
      <c r="H83" s="2"/>
      <c r="I83" s="60"/>
      <c r="J83" s="61"/>
      <c r="K83" s="62"/>
      <c r="L83" s="63"/>
      <c r="M83" s="60"/>
      <c r="N83" s="6" t="e">
        <f t="shared" si="4"/>
        <v>#DIV/0!</v>
      </c>
      <c r="O83" s="9"/>
      <c r="P83" s="9"/>
      <c r="Q83" s="9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6.5">
      <c r="A84" s="9" t="s">
        <v>205</v>
      </c>
      <c r="B84" s="2" t="s">
        <v>199</v>
      </c>
      <c r="C84" s="58">
        <v>44980</v>
      </c>
      <c r="D84" s="9">
        <v>1.6004000000000001E-3</v>
      </c>
      <c r="E84" s="9">
        <v>997</v>
      </c>
      <c r="F84" s="2">
        <v>1660</v>
      </c>
      <c r="G84" s="2">
        <v>9.1999999999999993</v>
      </c>
      <c r="H84" s="2">
        <v>20</v>
      </c>
      <c r="I84" s="60">
        <f t="shared" ref="I84:I103" si="20">(F84*0.001)/G84</f>
        <v>0.18043478260869569</v>
      </c>
      <c r="J84" s="61">
        <f t="shared" ref="J84:J103" si="21">E84*D84*(I84/(K84*E84))/(0.001002)</f>
        <v>17908.406208770466</v>
      </c>
      <c r="K84" s="62">
        <f t="shared" ref="K84:K103" si="22">D84^2/4*3.1415*8</f>
        <v>1.6092523245280005E-5</v>
      </c>
      <c r="L84" s="63">
        <f t="shared" ref="L84:L99" si="23">10^6*I84/(SQRT(2*E84*(H84*6895)))</f>
        <v>10.881168876141725</v>
      </c>
      <c r="M84" s="60">
        <f t="shared" ref="M84:M103" si="24">I84/(K84*SQRT(2*E84*(H84*6895)))</f>
        <v>0.67616300503609406</v>
      </c>
      <c r="N84" s="6">
        <f t="shared" si="4"/>
        <v>4.2229788184061515E-3</v>
      </c>
      <c r="O84" s="9"/>
      <c r="P84" s="9"/>
      <c r="Q84" s="9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6.5">
      <c r="A85" s="9" t="s">
        <v>205</v>
      </c>
      <c r="B85" s="2" t="s">
        <v>199</v>
      </c>
      <c r="C85" s="58">
        <v>44980</v>
      </c>
      <c r="D85" s="9">
        <v>1.6004000000000001E-3</v>
      </c>
      <c r="E85" s="9">
        <v>997</v>
      </c>
      <c r="F85" s="2">
        <v>2629</v>
      </c>
      <c r="G85" s="2">
        <v>9.5299999999999994</v>
      </c>
      <c r="H85" s="2">
        <v>50</v>
      </c>
      <c r="I85" s="60">
        <f t="shared" si="20"/>
        <v>0.27586568730325289</v>
      </c>
      <c r="J85" s="61">
        <f t="shared" si="21"/>
        <v>27380.057857260486</v>
      </c>
      <c r="K85" s="62">
        <f t="shared" si="22"/>
        <v>1.6092523245280005E-5</v>
      </c>
      <c r="L85" s="63">
        <f t="shared" si="23"/>
        <v>10.521628681474862</v>
      </c>
      <c r="M85" s="60">
        <f t="shared" si="24"/>
        <v>0.65382094038987293</v>
      </c>
      <c r="N85" s="6">
        <f t="shared" si="4"/>
        <v>4.5165212948958151E-3</v>
      </c>
      <c r="O85" s="9"/>
      <c r="P85" s="9"/>
      <c r="Q85" s="65">
        <f>AVERAGE(M84:M87)</f>
        <v>0.66498820321575947</v>
      </c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6.5">
      <c r="A86" s="9" t="s">
        <v>205</v>
      </c>
      <c r="B86" s="2" t="s">
        <v>199</v>
      </c>
      <c r="C86" s="58">
        <v>44980</v>
      </c>
      <c r="D86" s="9">
        <v>1.6004000000000001E-3</v>
      </c>
      <c r="E86" s="9">
        <v>997</v>
      </c>
      <c r="F86" s="2">
        <v>3870</v>
      </c>
      <c r="G86" s="2">
        <v>14.95</v>
      </c>
      <c r="H86" s="2">
        <v>44</v>
      </c>
      <c r="I86" s="60">
        <f t="shared" si="20"/>
        <v>0.25886287625418064</v>
      </c>
      <c r="J86" s="61">
        <f t="shared" si="21"/>
        <v>25692.504922313885</v>
      </c>
      <c r="K86" s="62">
        <f t="shared" si="22"/>
        <v>1.6092523245280005E-5</v>
      </c>
      <c r="L86" s="63">
        <f t="shared" si="23"/>
        <v>10.524796851221803</v>
      </c>
      <c r="M86" s="60">
        <f t="shared" si="24"/>
        <v>0.65401781254588298</v>
      </c>
      <c r="N86" s="6">
        <f t="shared" si="4"/>
        <v>4.5138025816190246E-3</v>
      </c>
      <c r="O86" s="9"/>
      <c r="P86" s="9"/>
      <c r="Q86" s="9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6.5">
      <c r="A87" s="9" t="s">
        <v>205</v>
      </c>
      <c r="B87" s="2" t="s">
        <v>199</v>
      </c>
      <c r="C87" s="58">
        <v>44980</v>
      </c>
      <c r="D87" s="9">
        <v>1.6004000000000001E-3</v>
      </c>
      <c r="E87" s="9">
        <v>997</v>
      </c>
      <c r="F87" s="2">
        <v>3480</v>
      </c>
      <c r="G87" s="2">
        <v>14.38</v>
      </c>
      <c r="H87" s="2">
        <v>36</v>
      </c>
      <c r="I87" s="60">
        <f t="shared" si="20"/>
        <v>0.24200278164116829</v>
      </c>
      <c r="J87" s="61">
        <f t="shared" si="21"/>
        <v>24019.116794577269</v>
      </c>
      <c r="K87" s="62">
        <f t="shared" si="22"/>
        <v>1.6092523245280005E-5</v>
      </c>
      <c r="L87" s="63">
        <f t="shared" si="23"/>
        <v>10.877758063507988</v>
      </c>
      <c r="M87" s="60">
        <f t="shared" si="24"/>
        <v>0.67595105489118823</v>
      </c>
      <c r="N87" s="6">
        <f t="shared" si="4"/>
        <v>4.2256275347384064E-3</v>
      </c>
      <c r="O87" s="9"/>
      <c r="P87" s="9"/>
      <c r="Q87" s="9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6.5">
      <c r="A88" s="9" t="s">
        <v>205</v>
      </c>
      <c r="B88" s="2" t="s">
        <v>199</v>
      </c>
      <c r="C88" s="58">
        <v>44995</v>
      </c>
      <c r="D88" s="9">
        <v>1.6004000000000001E-3</v>
      </c>
      <c r="E88" s="9">
        <v>997</v>
      </c>
      <c r="F88" s="2">
        <v>1790</v>
      </c>
      <c r="G88" s="2">
        <v>10.28</v>
      </c>
      <c r="H88" s="2">
        <v>17</v>
      </c>
      <c r="I88" s="60">
        <f t="shared" si="20"/>
        <v>0.17412451361867706</v>
      </c>
      <c r="J88" s="61">
        <f t="shared" si="21"/>
        <v>17282.103127257982</v>
      </c>
      <c r="K88" s="62">
        <f t="shared" si="22"/>
        <v>1.6092523245280005E-5</v>
      </c>
      <c r="L88" s="63">
        <f t="shared" si="23"/>
        <v>11.389528440163213</v>
      </c>
      <c r="M88" s="60">
        <f t="shared" si="24"/>
        <v>0.7077528033712055</v>
      </c>
      <c r="N88" s="6">
        <f t="shared" si="4"/>
        <v>3.8544153974694908E-3</v>
      </c>
      <c r="O88" s="9"/>
      <c r="P88" s="9"/>
      <c r="Q88" s="9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6.5">
      <c r="A89" s="9" t="s">
        <v>205</v>
      </c>
      <c r="B89" s="2" t="s">
        <v>199</v>
      </c>
      <c r="C89" s="58">
        <v>44995</v>
      </c>
      <c r="D89" s="9">
        <v>1.6004000000000001E-3</v>
      </c>
      <c r="E89" s="9">
        <v>997</v>
      </c>
      <c r="F89" s="2">
        <v>2025</v>
      </c>
      <c r="G89" s="2">
        <v>10.71</v>
      </c>
      <c r="H89" s="2">
        <v>19</v>
      </c>
      <c r="I89" s="60">
        <f t="shared" si="20"/>
        <v>0.18907563025210081</v>
      </c>
      <c r="J89" s="61">
        <f t="shared" si="21"/>
        <v>18766.022502862637</v>
      </c>
      <c r="K89" s="62">
        <f t="shared" si="22"/>
        <v>1.6092523245280005E-5</v>
      </c>
      <c r="L89" s="63">
        <f t="shared" si="23"/>
        <v>11.698469416052237</v>
      </c>
      <c r="M89" s="60">
        <f t="shared" si="24"/>
        <v>0.72695059921590854</v>
      </c>
      <c r="N89" s="6">
        <f t="shared" si="4"/>
        <v>3.653523594241976E-3</v>
      </c>
      <c r="O89" s="9"/>
      <c r="P89" s="9"/>
      <c r="Q89" s="9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6.5">
      <c r="A90" s="9" t="s">
        <v>205</v>
      </c>
      <c r="B90" s="2" t="s">
        <v>199</v>
      </c>
      <c r="C90" s="58">
        <v>44995</v>
      </c>
      <c r="D90" s="9">
        <v>1.6004000000000001E-3</v>
      </c>
      <c r="E90" s="9">
        <v>997</v>
      </c>
      <c r="F90" s="2">
        <v>2800</v>
      </c>
      <c r="G90" s="2">
        <v>11.18</v>
      </c>
      <c r="H90" s="2">
        <v>35</v>
      </c>
      <c r="I90" s="60">
        <f t="shared" si="20"/>
        <v>0.25044722719141327</v>
      </c>
      <c r="J90" s="61">
        <f t="shared" si="21"/>
        <v>24857.239904408001</v>
      </c>
      <c r="K90" s="62">
        <f t="shared" si="22"/>
        <v>1.6092523245280005E-5</v>
      </c>
      <c r="L90" s="63">
        <f t="shared" si="23"/>
        <v>11.4170129423755</v>
      </c>
      <c r="M90" s="60">
        <f t="shared" si="24"/>
        <v>0.70946070845192977</v>
      </c>
      <c r="N90" s="6">
        <f t="shared" si="4"/>
        <v>3.8358800455624998E-3</v>
      </c>
      <c r="O90" s="9"/>
      <c r="P90" s="9"/>
      <c r="Q90" s="9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6.5">
      <c r="A91" s="9" t="s">
        <v>205</v>
      </c>
      <c r="B91" s="2" t="s">
        <v>199</v>
      </c>
      <c r="C91" s="58">
        <v>44995</v>
      </c>
      <c r="D91" s="9">
        <v>1.6004000000000001E-3</v>
      </c>
      <c r="E91" s="9">
        <v>997</v>
      </c>
      <c r="F91" s="2">
        <v>3260</v>
      </c>
      <c r="G91" s="2">
        <v>12.16</v>
      </c>
      <c r="H91" s="2">
        <v>42</v>
      </c>
      <c r="I91" s="60">
        <f t="shared" si="20"/>
        <v>0.26809210526315791</v>
      </c>
      <c r="J91" s="61">
        <f t="shared" si="21"/>
        <v>26608.518895323581</v>
      </c>
      <c r="K91" s="62">
        <f t="shared" si="22"/>
        <v>1.6092523245280005E-5</v>
      </c>
      <c r="L91" s="63">
        <f t="shared" si="23"/>
        <v>11.15654361749495</v>
      </c>
      <c r="M91" s="60">
        <f t="shared" si="24"/>
        <v>0.69327497294541462</v>
      </c>
      <c r="N91" s="6">
        <f t="shared" si="4"/>
        <v>4.0170817406270463E-3</v>
      </c>
      <c r="O91" s="9"/>
      <c r="P91" s="9"/>
      <c r="Q91" s="9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6.5">
      <c r="A92" s="9" t="s">
        <v>205</v>
      </c>
      <c r="B92" s="2" t="s">
        <v>199</v>
      </c>
      <c r="C92" s="58">
        <v>44995</v>
      </c>
      <c r="D92" s="9">
        <v>1.6004000000000001E-3</v>
      </c>
      <c r="E92" s="9">
        <v>997</v>
      </c>
      <c r="F92" s="2">
        <v>5340</v>
      </c>
      <c r="G92" s="2">
        <v>21.61</v>
      </c>
      <c r="H92" s="2">
        <v>36</v>
      </c>
      <c r="I92" s="60">
        <f t="shared" si="20"/>
        <v>0.24710782045349375</v>
      </c>
      <c r="J92" s="61">
        <f t="shared" si="21"/>
        <v>24525.799084105285</v>
      </c>
      <c r="K92" s="62">
        <f t="shared" si="22"/>
        <v>1.6092523245280005E-5</v>
      </c>
      <c r="L92" s="63">
        <f t="shared" si="23"/>
        <v>11.107223926374118</v>
      </c>
      <c r="M92" s="60">
        <f t="shared" si="24"/>
        <v>0.69021021483575662</v>
      </c>
      <c r="N92" s="6">
        <f t="shared" si="4"/>
        <v>4.0528352454380764E-3</v>
      </c>
      <c r="O92" s="9"/>
      <c r="P92" s="9"/>
      <c r="Q92" s="9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6.5">
      <c r="A93" s="9" t="s">
        <v>205</v>
      </c>
      <c r="B93" s="2" t="s">
        <v>199</v>
      </c>
      <c r="C93" s="58">
        <v>44995</v>
      </c>
      <c r="D93" s="9">
        <v>1.6004000000000001E-3</v>
      </c>
      <c r="E93" s="9">
        <v>997</v>
      </c>
      <c r="F93" s="2">
        <v>5760</v>
      </c>
      <c r="G93" s="2">
        <v>18.16</v>
      </c>
      <c r="H93" s="2">
        <v>63</v>
      </c>
      <c r="I93" s="60">
        <f t="shared" si="20"/>
        <v>0.31718061674008807</v>
      </c>
      <c r="J93" s="61">
        <f t="shared" si="21"/>
        <v>31480.622771321992</v>
      </c>
      <c r="K93" s="62">
        <f t="shared" si="22"/>
        <v>1.6092523245280005E-5</v>
      </c>
      <c r="L93" s="63">
        <f t="shared" si="23"/>
        <v>10.777217614763673</v>
      </c>
      <c r="M93" s="60">
        <f t="shared" si="24"/>
        <v>0.66970340514652793</v>
      </c>
      <c r="N93" s="6">
        <f t="shared" si="4"/>
        <v>4.3048368809809031E-3</v>
      </c>
      <c r="O93" s="9"/>
      <c r="P93" s="9"/>
      <c r="Q93" s="9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6.5">
      <c r="A94" s="9" t="s">
        <v>205</v>
      </c>
      <c r="B94" s="2" t="s">
        <v>199</v>
      </c>
      <c r="C94" s="58">
        <v>44995</v>
      </c>
      <c r="D94" s="9">
        <v>1.6004000000000001E-3</v>
      </c>
      <c r="E94" s="9">
        <v>997</v>
      </c>
      <c r="F94" s="2">
        <v>5980</v>
      </c>
      <c r="G94" s="2">
        <v>18.96</v>
      </c>
      <c r="H94" s="2">
        <v>63</v>
      </c>
      <c r="I94" s="60">
        <f t="shared" si="20"/>
        <v>0.31540084388185657</v>
      </c>
      <c r="J94" s="61">
        <f t="shared" si="21"/>
        <v>31303.977809393135</v>
      </c>
      <c r="K94" s="62">
        <f t="shared" si="22"/>
        <v>1.6092523245280005E-5</v>
      </c>
      <c r="L94" s="63">
        <f t="shared" si="23"/>
        <v>10.716744186106055</v>
      </c>
      <c r="M94" s="60">
        <f t="shared" si="24"/>
        <v>0.66594554643562909</v>
      </c>
      <c r="N94" s="6">
        <f t="shared" si="4"/>
        <v>4.3535574146696329E-3</v>
      </c>
      <c r="O94" s="9"/>
      <c r="P94" s="9"/>
      <c r="Q94" s="9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6.5">
      <c r="A95" s="9" t="s">
        <v>205</v>
      </c>
      <c r="B95" s="2" t="s">
        <v>199</v>
      </c>
      <c r="C95" s="58">
        <v>44995</v>
      </c>
      <c r="D95" s="9">
        <v>1.6004000000000001E-3</v>
      </c>
      <c r="E95" s="9">
        <v>997</v>
      </c>
      <c r="F95" s="2">
        <v>5800</v>
      </c>
      <c r="G95" s="2">
        <v>16.43</v>
      </c>
      <c r="H95" s="2">
        <v>89</v>
      </c>
      <c r="I95" s="60">
        <f t="shared" si="20"/>
        <v>0.35301278149726112</v>
      </c>
      <c r="J95" s="61">
        <f t="shared" si="21"/>
        <v>35037.015571720542</v>
      </c>
      <c r="K95" s="62">
        <f t="shared" si="22"/>
        <v>1.6092523245280005E-5</v>
      </c>
      <c r="L95" s="63">
        <f t="shared" si="23"/>
        <v>10.091732136120097</v>
      </c>
      <c r="M95" s="60">
        <f t="shared" si="24"/>
        <v>0.62710688574459794</v>
      </c>
      <c r="N95" s="6">
        <f t="shared" si="4"/>
        <v>4.9095148185693063E-3</v>
      </c>
      <c r="O95" s="9"/>
      <c r="P95" s="9"/>
      <c r="Q95" s="9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6.5">
      <c r="A96" s="9" t="s">
        <v>205</v>
      </c>
      <c r="B96" s="2" t="s">
        <v>199</v>
      </c>
      <c r="C96" s="58">
        <v>44995</v>
      </c>
      <c r="D96" s="9">
        <v>1.6004000000000001E-3</v>
      </c>
      <c r="E96" s="9">
        <v>997</v>
      </c>
      <c r="F96" s="2">
        <v>5385</v>
      </c>
      <c r="G96" s="2">
        <v>15.67</v>
      </c>
      <c r="H96" s="2">
        <v>79</v>
      </c>
      <c r="I96" s="60">
        <f t="shared" si="20"/>
        <v>0.34365028717294194</v>
      </c>
      <c r="J96" s="61">
        <f t="shared" si="21"/>
        <v>34107.774828538386</v>
      </c>
      <c r="K96" s="62">
        <f t="shared" si="22"/>
        <v>1.6092523245280005E-5</v>
      </c>
      <c r="L96" s="63">
        <f t="shared" si="23"/>
        <v>10.427338046621001</v>
      </c>
      <c r="M96" s="60">
        <f t="shared" si="24"/>
        <v>0.64796165819921236</v>
      </c>
      <c r="N96" s="6">
        <f t="shared" si="4"/>
        <v>4.5985731345203531E-3</v>
      </c>
      <c r="O96" s="9"/>
      <c r="P96" s="9"/>
      <c r="Q96" s="9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6.5">
      <c r="A97" s="9" t="s">
        <v>205</v>
      </c>
      <c r="B97" s="2" t="s">
        <v>199</v>
      </c>
      <c r="C97" s="58">
        <v>44995</v>
      </c>
      <c r="D97" s="9">
        <v>1.6004000000000001E-3</v>
      </c>
      <c r="E97" s="9">
        <v>997</v>
      </c>
      <c r="F97" s="2">
        <v>5420</v>
      </c>
      <c r="G97" s="2">
        <v>15.48</v>
      </c>
      <c r="H97" s="2">
        <v>81</v>
      </c>
      <c r="I97" s="60">
        <f t="shared" si="20"/>
        <v>0.35012919896640826</v>
      </c>
      <c r="J97" s="61">
        <f t="shared" si="21"/>
        <v>34750.815945725939</v>
      </c>
      <c r="K97" s="62">
        <f t="shared" si="22"/>
        <v>1.6092523245280005E-5</v>
      </c>
      <c r="L97" s="63">
        <f t="shared" si="23"/>
        <v>10.491947493324561</v>
      </c>
      <c r="M97" s="60">
        <f t="shared" si="24"/>
        <v>0.65197653179726722</v>
      </c>
      <c r="N97" s="6">
        <f t="shared" si="4"/>
        <v>4.5421114604667695E-3</v>
      </c>
      <c r="O97" s="9"/>
      <c r="P97" s="9"/>
      <c r="Q97" s="9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6.5">
      <c r="A98" s="9" t="s">
        <v>205</v>
      </c>
      <c r="B98" s="2" t="s">
        <v>199</v>
      </c>
      <c r="C98" s="58">
        <v>44995</v>
      </c>
      <c r="D98" s="9">
        <v>1.6004000000000001E-3</v>
      </c>
      <c r="E98" s="9">
        <v>997</v>
      </c>
      <c r="F98" s="2">
        <v>5425</v>
      </c>
      <c r="G98" s="2">
        <v>15.04</v>
      </c>
      <c r="H98" s="2">
        <v>87</v>
      </c>
      <c r="I98" s="60">
        <f t="shared" si="20"/>
        <v>0.36070478723404253</v>
      </c>
      <c r="J98" s="61">
        <f t="shared" si="21"/>
        <v>35800.457970701973</v>
      </c>
      <c r="K98" s="62">
        <f t="shared" si="22"/>
        <v>1.6092523245280005E-5</v>
      </c>
      <c r="L98" s="63">
        <f t="shared" si="23"/>
        <v>10.429477888880339</v>
      </c>
      <c r="M98" s="60">
        <f t="shared" si="24"/>
        <v>0.64809462940743867</v>
      </c>
      <c r="N98" s="6">
        <f t="shared" si="4"/>
        <v>4.5966863264252115E-3</v>
      </c>
      <c r="O98" s="9"/>
      <c r="P98" s="9"/>
      <c r="Q98" s="9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6.5">
      <c r="A99" s="2"/>
      <c r="B99" s="2"/>
      <c r="C99" s="2"/>
      <c r="D99" s="2"/>
      <c r="E99" s="9"/>
      <c r="F99" s="2"/>
      <c r="G99" s="2"/>
      <c r="H99" s="2"/>
      <c r="I99" s="60" t="e">
        <f t="shared" si="20"/>
        <v>#DIV/0!</v>
      </c>
      <c r="J99" s="61" t="e">
        <f t="shared" si="21"/>
        <v>#DIV/0!</v>
      </c>
      <c r="K99" s="62">
        <f t="shared" si="22"/>
        <v>0</v>
      </c>
      <c r="L99" s="63" t="e">
        <f t="shared" si="23"/>
        <v>#DIV/0!</v>
      </c>
      <c r="M99" s="60" t="e">
        <f t="shared" si="24"/>
        <v>#DIV/0!</v>
      </c>
      <c r="N99" s="6" t="e">
        <f t="shared" si="4"/>
        <v>#DIV/0!</v>
      </c>
      <c r="O99" s="9"/>
      <c r="P99" s="9" t="s">
        <v>207</v>
      </c>
      <c r="Q99" s="9">
        <f>AVERAGE(L100:L103)</f>
        <v>2.4426655532521501E-5</v>
      </c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6.5">
      <c r="A100" s="2"/>
      <c r="B100" s="9" t="s">
        <v>206</v>
      </c>
      <c r="C100" s="58">
        <v>44995</v>
      </c>
      <c r="D100" s="2">
        <v>1</v>
      </c>
      <c r="E100" s="9">
        <v>997</v>
      </c>
      <c r="F100" s="2">
        <v>4915</v>
      </c>
      <c r="G100" s="2">
        <v>15.01</v>
      </c>
      <c r="H100" s="2">
        <v>14</v>
      </c>
      <c r="I100" s="60">
        <f t="shared" si="20"/>
        <v>0.32744836775483011</v>
      </c>
      <c r="J100" s="61">
        <f t="shared" si="21"/>
        <v>52.012538309475282</v>
      </c>
      <c r="K100" s="62">
        <f t="shared" si="22"/>
        <v>6.2830000000000004</v>
      </c>
      <c r="L100" s="63">
        <f t="shared" ref="L100:L114" si="25">I100/(SQRT(2*E100*(H100*6895)))</f>
        <v>2.3602015967519664E-5</v>
      </c>
      <c r="M100" s="60">
        <f t="shared" si="24"/>
        <v>3.7564882965971132E-6</v>
      </c>
      <c r="N100" s="6">
        <f t="shared" si="4"/>
        <v>897577184.34302795</v>
      </c>
      <c r="O100" s="9"/>
      <c r="P100" s="9"/>
      <c r="Q100" s="9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6.5">
      <c r="A101" s="2"/>
      <c r="B101" s="9" t="s">
        <v>206</v>
      </c>
      <c r="C101" s="58">
        <v>44995</v>
      </c>
      <c r="D101" s="2">
        <v>1</v>
      </c>
      <c r="E101" s="9">
        <v>997</v>
      </c>
      <c r="F101" s="2">
        <v>5409</v>
      </c>
      <c r="G101" s="2">
        <v>15.43</v>
      </c>
      <c r="H101" s="2">
        <v>15</v>
      </c>
      <c r="I101" s="60">
        <f t="shared" si="20"/>
        <v>0.35055087491898895</v>
      </c>
      <c r="J101" s="61">
        <f t="shared" si="21"/>
        <v>55.682185671469242</v>
      </c>
      <c r="K101" s="62">
        <f t="shared" si="22"/>
        <v>6.2830000000000004</v>
      </c>
      <c r="L101" s="63">
        <f t="shared" si="25"/>
        <v>2.4410445953974505E-5</v>
      </c>
      <c r="M101" s="60">
        <f t="shared" si="24"/>
        <v>3.8851577198749809E-6</v>
      </c>
      <c r="N101" s="6">
        <f t="shared" si="4"/>
        <v>839109382.38425183</v>
      </c>
      <c r="O101" s="9"/>
      <c r="P101" s="9"/>
      <c r="Q101" s="9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6.5">
      <c r="A102" s="2"/>
      <c r="B102" s="9" t="s">
        <v>206</v>
      </c>
      <c r="C102" s="58">
        <v>44995</v>
      </c>
      <c r="D102" s="2">
        <v>1</v>
      </c>
      <c r="E102" s="9">
        <v>997</v>
      </c>
      <c r="F102" s="2">
        <v>4740</v>
      </c>
      <c r="G102" s="2">
        <v>10.130000000000001</v>
      </c>
      <c r="H102" s="2">
        <v>29</v>
      </c>
      <c r="I102" s="60">
        <f t="shared" si="20"/>
        <v>0.46791707798617965</v>
      </c>
      <c r="J102" s="61">
        <f t="shared" si="21"/>
        <v>74.324862607457305</v>
      </c>
      <c r="K102" s="62">
        <f t="shared" si="22"/>
        <v>6.2830000000000004</v>
      </c>
      <c r="L102" s="63">
        <f t="shared" si="25"/>
        <v>2.3433663274513178E-5</v>
      </c>
      <c r="M102" s="60">
        <f t="shared" si="24"/>
        <v>3.7296933430706948E-6</v>
      </c>
      <c r="N102" s="6">
        <f t="shared" si="4"/>
        <v>910520302.69283307</v>
      </c>
      <c r="O102" s="9"/>
      <c r="P102" s="9"/>
      <c r="Q102" s="9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6.5">
      <c r="A103" s="2"/>
      <c r="B103" s="9" t="s">
        <v>206</v>
      </c>
      <c r="C103" s="58">
        <v>44995</v>
      </c>
      <c r="D103" s="2">
        <v>1</v>
      </c>
      <c r="E103" s="9">
        <v>997</v>
      </c>
      <c r="F103" s="2">
        <v>5830</v>
      </c>
      <c r="G103" s="2">
        <v>22.01</v>
      </c>
      <c r="H103" s="2">
        <v>7.4</v>
      </c>
      <c r="I103" s="60">
        <f t="shared" si="20"/>
        <v>0.26487960018173556</v>
      </c>
      <c r="J103" s="61">
        <f t="shared" si="21"/>
        <v>42.073993058246948</v>
      </c>
      <c r="K103" s="62">
        <f t="shared" si="22"/>
        <v>6.2830000000000004</v>
      </c>
      <c r="L103" s="63">
        <f t="shared" si="25"/>
        <v>2.6260496934078667E-5</v>
      </c>
      <c r="M103" s="60">
        <f t="shared" si="24"/>
        <v>4.1796111625145101E-6</v>
      </c>
      <c r="N103" s="6">
        <f t="shared" si="4"/>
        <v>725043601.31199014</v>
      </c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6.5">
      <c r="A104" s="2"/>
      <c r="B104" s="2" t="s">
        <v>206</v>
      </c>
      <c r="C104" s="58">
        <v>45192</v>
      </c>
      <c r="D104" s="2">
        <v>9.2499999999999995E-3</v>
      </c>
      <c r="E104" s="2">
        <v>997</v>
      </c>
      <c r="F104" s="2">
        <v>4580</v>
      </c>
      <c r="G104" s="2">
        <v>6.75</v>
      </c>
      <c r="H104" s="2">
        <v>50</v>
      </c>
      <c r="I104" s="60" t="e">
        <f>(#REF!*0.001)/#REF!</f>
        <v>#REF!</v>
      </c>
      <c r="J104" s="61" t="e">
        <f>#REF!*#REF!*(I104/(K104*#REF!))/(0.001002)</f>
        <v>#REF!</v>
      </c>
      <c r="K104" s="62" t="e">
        <f>#REF!^2/4*3.1415*8</f>
        <v>#REF!</v>
      </c>
      <c r="L104" s="63" t="e">
        <f t="shared" si="25"/>
        <v>#REF!</v>
      </c>
      <c r="M104" s="60" t="e">
        <f>I104/(K104*SQRT(2*#REF!*(#REF!*6895)))</f>
        <v>#REF!</v>
      </c>
      <c r="N104" s="6" t="e">
        <f t="shared" si="4"/>
        <v>#REF!</v>
      </c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6.5">
      <c r="A105" s="2"/>
      <c r="B105" s="2"/>
      <c r="C105" s="2"/>
      <c r="D105" s="2"/>
      <c r="E105" s="9"/>
      <c r="F105" s="2"/>
      <c r="G105" s="2"/>
      <c r="H105" s="2"/>
      <c r="I105" s="60" t="e">
        <f t="shared" ref="I105:I106" si="26">(F105*0.001)/G105</f>
        <v>#DIV/0!</v>
      </c>
      <c r="J105" s="61" t="e">
        <f t="shared" ref="J105:J106" si="27">E105*D105*(I105/(K105*E105))/(0.001002)</f>
        <v>#DIV/0!</v>
      </c>
      <c r="K105" s="62">
        <f t="shared" ref="K105:K106" si="28">D105^2/4*3.1415*8</f>
        <v>0</v>
      </c>
      <c r="L105" s="63" t="e">
        <f t="shared" si="25"/>
        <v>#DIV/0!</v>
      </c>
      <c r="M105" s="60" t="e">
        <f t="shared" ref="M105:M106" si="29">I105/(K105*SQRT(2*E105*(H105*6895)))</f>
        <v>#DIV/0!</v>
      </c>
      <c r="N105" s="6" t="e">
        <f t="shared" si="4"/>
        <v>#DIV/0!</v>
      </c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6.5">
      <c r="A106" s="2"/>
      <c r="B106" s="2"/>
      <c r="C106" s="2"/>
      <c r="D106" s="2"/>
      <c r="E106" s="2"/>
      <c r="F106" s="2"/>
      <c r="G106" s="2"/>
      <c r="H106" s="2"/>
      <c r="I106" s="60" t="e">
        <f t="shared" si="26"/>
        <v>#DIV/0!</v>
      </c>
      <c r="J106" s="61" t="e">
        <f t="shared" si="27"/>
        <v>#DIV/0!</v>
      </c>
      <c r="K106" s="62">
        <f t="shared" si="28"/>
        <v>0</v>
      </c>
      <c r="L106" s="63" t="e">
        <f t="shared" si="25"/>
        <v>#DIV/0!</v>
      </c>
      <c r="M106" s="60" t="e">
        <f t="shared" si="29"/>
        <v>#DIV/0!</v>
      </c>
      <c r="N106" s="6" t="e">
        <f t="shared" si="4"/>
        <v>#DIV/0!</v>
      </c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6.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63" t="e">
        <f t="shared" si="25"/>
        <v>#DIV/0!</v>
      </c>
      <c r="M107" s="2"/>
      <c r="N107" s="6" t="e">
        <f t="shared" si="4"/>
        <v>#DIV/0!</v>
      </c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6.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63" t="e">
        <f t="shared" si="25"/>
        <v>#DIV/0!</v>
      </c>
      <c r="M108" s="2"/>
      <c r="N108" s="6" t="e">
        <f t="shared" si="4"/>
        <v>#DIV/0!</v>
      </c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6.5">
      <c r="A109" s="2"/>
      <c r="B109" s="9" t="s">
        <v>206</v>
      </c>
      <c r="C109" s="58">
        <v>44995</v>
      </c>
      <c r="D109" s="9">
        <v>9.2499999999999995E-3</v>
      </c>
      <c r="E109" s="9">
        <v>997</v>
      </c>
      <c r="F109" s="2">
        <v>4580</v>
      </c>
      <c r="G109" s="2">
        <v>6.75</v>
      </c>
      <c r="H109" s="2">
        <v>50</v>
      </c>
      <c r="I109" s="60">
        <f t="shared" ref="I109:I114" si="30">(F109*0.001)/G109</f>
        <v>0.67851851851851852</v>
      </c>
      <c r="J109" s="61">
        <f t="shared" ref="J109:J114" si="31">E109*D109*(I109/(K109*E109))/(0.001002)</f>
        <v>11651.589921121207</v>
      </c>
      <c r="K109" s="62">
        <f t="shared" ref="K109:K114" si="32">D109^2/4*3.1415*8</f>
        <v>5.3758918749999989E-4</v>
      </c>
      <c r="L109" s="63">
        <f t="shared" si="25"/>
        <v>2.5878970216068969E-5</v>
      </c>
      <c r="M109" s="60">
        <f t="shared" ref="M109:M114" si="33">I109/(K109*SQRT(2*E109*(H109*6895)))</f>
        <v>4.8138933627769387E-2</v>
      </c>
      <c r="N109" s="6">
        <f t="shared" si="4"/>
        <v>746579434.95428205</v>
      </c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6.5">
      <c r="A110" s="2"/>
      <c r="B110" s="2"/>
      <c r="C110" s="58">
        <v>44995</v>
      </c>
      <c r="D110" s="9">
        <v>9.2499999999999995E-3</v>
      </c>
      <c r="E110" s="9">
        <v>997</v>
      </c>
      <c r="F110" s="2">
        <v>3008</v>
      </c>
      <c r="G110" s="2">
        <v>6.38</v>
      </c>
      <c r="H110" s="2">
        <v>56</v>
      </c>
      <c r="I110" s="60">
        <f t="shared" si="30"/>
        <v>0.47147335423197495</v>
      </c>
      <c r="J110" s="61">
        <f t="shared" si="31"/>
        <v>8096.1890240532312</v>
      </c>
      <c r="K110" s="62">
        <f t="shared" si="32"/>
        <v>5.3758918749999989E-4</v>
      </c>
      <c r="L110" s="63">
        <f t="shared" si="25"/>
        <v>1.6991566809663821E-5</v>
      </c>
      <c r="M110" s="60">
        <f t="shared" si="33"/>
        <v>3.160697276796294E-2</v>
      </c>
      <c r="N110" s="6">
        <f t="shared" si="4"/>
        <v>1731821589.5926464</v>
      </c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6.5">
      <c r="A111" s="2"/>
      <c r="B111" s="2"/>
      <c r="C111" s="58">
        <v>44995</v>
      </c>
      <c r="D111" s="9">
        <v>9.2499999999999995E-3</v>
      </c>
      <c r="E111" s="9">
        <v>997</v>
      </c>
      <c r="F111" s="2">
        <v>3970</v>
      </c>
      <c r="G111" s="2">
        <v>10.4</v>
      </c>
      <c r="H111" s="2">
        <v>6.5</v>
      </c>
      <c r="I111" s="60">
        <f t="shared" si="30"/>
        <v>0.38173076923076926</v>
      </c>
      <c r="J111" s="61">
        <f t="shared" si="31"/>
        <v>6555.1201064671977</v>
      </c>
      <c r="K111" s="62">
        <f t="shared" si="32"/>
        <v>5.3758918749999989E-4</v>
      </c>
      <c r="L111" s="63">
        <f t="shared" si="25"/>
        <v>4.0380414898796407E-5</v>
      </c>
      <c r="M111" s="60">
        <f t="shared" si="33"/>
        <v>7.5113889634910891E-2</v>
      </c>
      <c r="N111" s="6">
        <f t="shared" si="4"/>
        <v>306639748.84682989</v>
      </c>
      <c r="O111" s="2"/>
      <c r="P111" s="8">
        <f>AVERAGE(L111:L114)</f>
        <v>4.0464375433935138E-5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6.5">
      <c r="A112" s="2"/>
      <c r="B112" s="2"/>
      <c r="C112" s="58">
        <v>44995</v>
      </c>
      <c r="D112" s="9">
        <v>9.2499999999999995E-3</v>
      </c>
      <c r="E112" s="9">
        <v>997</v>
      </c>
      <c r="F112" s="2">
        <v>6020</v>
      </c>
      <c r="G112" s="2">
        <v>10.75</v>
      </c>
      <c r="H112" s="2">
        <v>14</v>
      </c>
      <c r="I112" s="60">
        <f t="shared" si="30"/>
        <v>0.56000000000000005</v>
      </c>
      <c r="J112" s="61">
        <f t="shared" si="31"/>
        <v>9616.3777078249259</v>
      </c>
      <c r="K112" s="62">
        <f t="shared" si="32"/>
        <v>5.3758918749999989E-4</v>
      </c>
      <c r="L112" s="63">
        <f t="shared" si="25"/>
        <v>4.0364009240403522E-5</v>
      </c>
      <c r="M112" s="60">
        <f t="shared" si="33"/>
        <v>7.5083372543469418E-2</v>
      </c>
      <c r="N112" s="6">
        <f t="shared" si="4"/>
        <v>306889062.49999994</v>
      </c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6.5">
      <c r="A113" s="2"/>
      <c r="B113" s="2"/>
      <c r="C113" s="58">
        <v>44995</v>
      </c>
      <c r="D113" s="9">
        <v>9.2499999999999995E-3</v>
      </c>
      <c r="E113" s="9">
        <v>997</v>
      </c>
      <c r="F113" s="2">
        <v>6808</v>
      </c>
      <c r="G113" s="2">
        <v>12.54</v>
      </c>
      <c r="H113" s="2">
        <v>13</v>
      </c>
      <c r="I113" s="60">
        <f t="shared" si="30"/>
        <v>0.542902711323764</v>
      </c>
      <c r="J113" s="61">
        <f t="shared" si="31"/>
        <v>9322.7813048063508</v>
      </c>
      <c r="K113" s="62">
        <f t="shared" si="32"/>
        <v>5.3758918749999989E-4</v>
      </c>
      <c r="L113" s="63">
        <f t="shared" si="25"/>
        <v>4.0608843574714376E-5</v>
      </c>
      <c r="M113" s="60">
        <f t="shared" si="33"/>
        <v>7.5538802712088363E-2</v>
      </c>
      <c r="N113" s="6">
        <f t="shared" si="4"/>
        <v>303199694.91597462</v>
      </c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6.5">
      <c r="A114" s="2"/>
      <c r="B114" s="2"/>
      <c r="C114" s="58">
        <v>44995</v>
      </c>
      <c r="D114" s="9">
        <v>9.2499999999999995E-3</v>
      </c>
      <c r="E114" s="9">
        <v>997</v>
      </c>
      <c r="F114" s="2">
        <v>7776</v>
      </c>
      <c r="G114" s="2">
        <v>14.36</v>
      </c>
      <c r="H114" s="2">
        <v>13</v>
      </c>
      <c r="I114" s="60">
        <f t="shared" si="30"/>
        <v>0.54150417827298047</v>
      </c>
      <c r="J114" s="61">
        <f t="shared" si="31"/>
        <v>9298.7655511398989</v>
      </c>
      <c r="K114" s="62">
        <f t="shared" si="32"/>
        <v>5.3758918749999989E-4</v>
      </c>
      <c r="L114" s="63">
        <f t="shared" si="25"/>
        <v>4.0504234021826241E-5</v>
      </c>
      <c r="M114" s="60">
        <f t="shared" si="33"/>
        <v>7.5344212576496886E-2</v>
      </c>
      <c r="N114" s="6">
        <f t="shared" si="4"/>
        <v>304767854.07286215</v>
      </c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2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6" t="e">
        <f t="shared" si="4"/>
        <v>#DIV/0!</v>
      </c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2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6" t="e">
        <f t="shared" si="4"/>
        <v>#DIV/0!</v>
      </c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6.5">
      <c r="A117" s="9" t="s">
        <v>205</v>
      </c>
      <c r="B117" s="9" t="s">
        <v>203</v>
      </c>
      <c r="C117" s="66">
        <v>45202</v>
      </c>
      <c r="D117" s="2">
        <v>1.5621000000000001E-3</v>
      </c>
      <c r="E117" s="9">
        <v>997</v>
      </c>
      <c r="F117" s="9">
        <v>1833</v>
      </c>
      <c r="G117" s="9">
        <v>7.31</v>
      </c>
      <c r="H117" s="9">
        <v>51</v>
      </c>
      <c r="I117" s="60">
        <f t="shared" ref="I117:I124" si="34">(F117*0.001)/G117</f>
        <v>0.25075239398084814</v>
      </c>
      <c r="J117" s="61">
        <f t="shared" ref="J117:J124" si="35">E117*D117*(I117/(K117*E117))/(0.001002)</f>
        <v>25497.72743864228</v>
      </c>
      <c r="K117" s="62">
        <f t="shared" ref="K117:K124" si="36">D117^2/4*3.1415*8</f>
        <v>1.5331502724030003E-5</v>
      </c>
      <c r="L117" s="63">
        <f t="shared" ref="L117:L124" si="37">10^6*I117/(SQRT(2*E117*(H117*6895)))</f>
        <v>9.4695706316516954</v>
      </c>
      <c r="M117" s="60">
        <f t="shared" ref="M117:M124" si="38">I117/(K117*SQRT(2*E117*(H117*6895)))</f>
        <v>0.61765443362635664</v>
      </c>
      <c r="N117" s="6">
        <f t="shared" si="4"/>
        <v>5.5758287765894955E-3</v>
      </c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6.5">
      <c r="A118" s="9" t="s">
        <v>205</v>
      </c>
      <c r="B118" s="9" t="s">
        <v>203</v>
      </c>
      <c r="C118" s="68">
        <v>45202</v>
      </c>
      <c r="D118" s="2">
        <v>1.5621000000000001E-3</v>
      </c>
      <c r="E118" s="9">
        <v>997</v>
      </c>
      <c r="F118" s="9">
        <v>2108</v>
      </c>
      <c r="G118" s="9">
        <v>7.68</v>
      </c>
      <c r="H118" s="9">
        <v>59</v>
      </c>
      <c r="I118" s="60">
        <f t="shared" si="34"/>
        <v>0.27447916666666666</v>
      </c>
      <c r="J118" s="61">
        <f t="shared" si="35"/>
        <v>27910.381504819728</v>
      </c>
      <c r="K118" s="62">
        <f t="shared" si="36"/>
        <v>1.5331502724030003E-5</v>
      </c>
      <c r="L118" s="63">
        <f t="shared" si="37"/>
        <v>9.6372620556347357</v>
      </c>
      <c r="M118" s="60">
        <f t="shared" si="38"/>
        <v>0.62859213666835567</v>
      </c>
      <c r="N118" s="6">
        <f t="shared" si="4"/>
        <v>5.3834745890562379E-3</v>
      </c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6.5">
      <c r="A119" s="9" t="s">
        <v>205</v>
      </c>
      <c r="B119" s="9" t="s">
        <v>203</v>
      </c>
      <c r="C119" s="68">
        <v>45202</v>
      </c>
      <c r="D119" s="2">
        <v>1.5621000000000001E-3</v>
      </c>
      <c r="E119" s="9">
        <v>997</v>
      </c>
      <c r="F119" s="9">
        <v>2176</v>
      </c>
      <c r="G119" s="9">
        <v>7.85</v>
      </c>
      <c r="H119" s="9">
        <v>63</v>
      </c>
      <c r="I119" s="60">
        <f t="shared" si="34"/>
        <v>0.27719745222929937</v>
      </c>
      <c r="J119" s="61">
        <f t="shared" si="35"/>
        <v>28186.790049823285</v>
      </c>
      <c r="K119" s="62">
        <f t="shared" si="36"/>
        <v>1.5331502724030003E-5</v>
      </c>
      <c r="L119" s="63">
        <f t="shared" si="37"/>
        <v>9.4186627658311135</v>
      </c>
      <c r="M119" s="60">
        <f t="shared" si="38"/>
        <v>0.61433395899729182</v>
      </c>
      <c r="N119" s="6">
        <f t="shared" si="4"/>
        <v>5.6362663704129659E-3</v>
      </c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6.5">
      <c r="A120" s="9" t="s">
        <v>205</v>
      </c>
      <c r="B120" s="9" t="s">
        <v>203</v>
      </c>
      <c r="C120" s="68">
        <v>45202</v>
      </c>
      <c r="D120" s="2">
        <v>1.5621000000000001E-3</v>
      </c>
      <c r="E120" s="9">
        <v>997</v>
      </c>
      <c r="F120" s="2">
        <v>2431</v>
      </c>
      <c r="G120" s="2">
        <v>8.27</v>
      </c>
      <c r="H120" s="2">
        <v>83</v>
      </c>
      <c r="I120" s="60">
        <f t="shared" si="34"/>
        <v>0.29395405078597342</v>
      </c>
      <c r="J120" s="61">
        <f t="shared" si="35"/>
        <v>29890.682786454367</v>
      </c>
      <c r="K120" s="62">
        <f t="shared" si="36"/>
        <v>1.5331502724030003E-5</v>
      </c>
      <c r="L120" s="63">
        <f t="shared" si="37"/>
        <v>8.7018319285086196</v>
      </c>
      <c r="M120" s="60">
        <f t="shared" si="38"/>
        <v>0.56757853976503581</v>
      </c>
      <c r="N120" s="6">
        <f t="shared" si="4"/>
        <v>6.6031113752604356E-3</v>
      </c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6.5">
      <c r="A121" s="9" t="s">
        <v>205</v>
      </c>
      <c r="B121" s="9" t="s">
        <v>203</v>
      </c>
      <c r="C121" s="68">
        <v>45202</v>
      </c>
      <c r="D121" s="2">
        <v>1.5621000000000001E-3</v>
      </c>
      <c r="E121" s="9">
        <v>997</v>
      </c>
      <c r="F121" s="2">
        <v>1879</v>
      </c>
      <c r="G121" s="2">
        <v>7.99</v>
      </c>
      <c r="H121" s="2">
        <v>36</v>
      </c>
      <c r="I121" s="60">
        <f t="shared" si="34"/>
        <v>0.23516896120150188</v>
      </c>
      <c r="J121" s="61">
        <f t="shared" si="35"/>
        <v>23913.12792492229</v>
      </c>
      <c r="K121" s="62">
        <f t="shared" si="36"/>
        <v>1.5331502724030003E-5</v>
      </c>
      <c r="L121" s="63">
        <f t="shared" si="37"/>
        <v>10.570585373640439</v>
      </c>
      <c r="M121" s="60">
        <f t="shared" si="38"/>
        <v>0.68946831657098506</v>
      </c>
      <c r="N121" s="6">
        <f t="shared" si="4"/>
        <v>4.4747824695668568E-3</v>
      </c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6.5">
      <c r="A122" s="9" t="s">
        <v>205</v>
      </c>
      <c r="B122" s="9" t="s">
        <v>203</v>
      </c>
      <c r="C122" s="68">
        <v>45202</v>
      </c>
      <c r="D122" s="2">
        <v>1.5621000000000001E-3</v>
      </c>
      <c r="E122" s="9">
        <v>997</v>
      </c>
      <c r="F122" s="2">
        <v>2737</v>
      </c>
      <c r="G122" s="2">
        <v>9.23</v>
      </c>
      <c r="H122" s="2">
        <v>89</v>
      </c>
      <c r="I122" s="60">
        <f t="shared" si="34"/>
        <v>0.29653304442036837</v>
      </c>
      <c r="J122" s="61">
        <f t="shared" si="35"/>
        <v>30152.927448257346</v>
      </c>
      <c r="K122" s="62">
        <f t="shared" si="36"/>
        <v>1.5331502724030003E-5</v>
      </c>
      <c r="L122" s="63">
        <f t="shared" si="37"/>
        <v>8.4771209730879882</v>
      </c>
      <c r="M122" s="60">
        <f t="shared" si="38"/>
        <v>0.5529217276139069</v>
      </c>
      <c r="N122" s="6">
        <f t="shared" si="4"/>
        <v>6.9578208557771826E-3</v>
      </c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6.5">
      <c r="A123" s="9" t="s">
        <v>205</v>
      </c>
      <c r="B123" s="9" t="s">
        <v>203</v>
      </c>
      <c r="C123" s="68">
        <v>45202</v>
      </c>
      <c r="D123" s="2">
        <v>1.5621000000000001E-3</v>
      </c>
      <c r="E123" s="9">
        <v>997</v>
      </c>
      <c r="F123" s="2">
        <v>2753</v>
      </c>
      <c r="G123" s="2">
        <v>9.23</v>
      </c>
      <c r="H123" s="2">
        <v>90</v>
      </c>
      <c r="I123" s="60">
        <f t="shared" si="34"/>
        <v>0.29826652221018418</v>
      </c>
      <c r="J123" s="61">
        <f t="shared" si="35"/>
        <v>30329.195931696191</v>
      </c>
      <c r="K123" s="62">
        <f t="shared" si="36"/>
        <v>1.5331502724030003E-5</v>
      </c>
      <c r="L123" s="63">
        <f t="shared" si="37"/>
        <v>8.4791739208983223</v>
      </c>
      <c r="M123" s="60">
        <f t="shared" si="38"/>
        <v>0.55305563150103954</v>
      </c>
      <c r="N123" s="6">
        <f t="shared" si="4"/>
        <v>6.9544520573487896E-3</v>
      </c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6.5">
      <c r="A124" s="9" t="s">
        <v>205</v>
      </c>
      <c r="B124" s="9" t="s">
        <v>203</v>
      </c>
      <c r="C124" s="68">
        <v>45202</v>
      </c>
      <c r="D124" s="2">
        <v>1.5621000000000001E-3</v>
      </c>
      <c r="E124" s="9">
        <v>997</v>
      </c>
      <c r="F124" s="2">
        <v>2607</v>
      </c>
      <c r="G124" s="2">
        <v>8.1300000000000008</v>
      </c>
      <c r="H124" s="2">
        <v>96</v>
      </c>
      <c r="I124" s="60">
        <f t="shared" si="34"/>
        <v>0.32066420664206641</v>
      </c>
      <c r="J124" s="61">
        <f t="shared" si="35"/>
        <v>32606.701816423549</v>
      </c>
      <c r="K124" s="62">
        <f t="shared" si="36"/>
        <v>1.5331502724030003E-5</v>
      </c>
      <c r="L124" s="63">
        <f t="shared" si="37"/>
        <v>8.8264315348721709</v>
      </c>
      <c r="M124" s="60">
        <f t="shared" si="38"/>
        <v>0.57570557131610878</v>
      </c>
      <c r="N124" s="6">
        <f t="shared" si="4"/>
        <v>6.4179996742204639E-3</v>
      </c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2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>
        <f t="shared" ref="L125:M125" si="39">AVERAGE(L122:L124,L120)</f>
        <v>8.6211395893417748</v>
      </c>
      <c r="M125" s="11">
        <f t="shared" si="39"/>
        <v>0.56231536754902278</v>
      </c>
      <c r="N125" s="6">
        <f t="shared" si="4"/>
        <v>6.7272977545330351E-3</v>
      </c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2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6" t="e">
        <f t="shared" si="4"/>
        <v>#DIV/0!</v>
      </c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6.5">
      <c r="A127" s="9" t="s">
        <v>205</v>
      </c>
      <c r="B127" s="9" t="s">
        <v>208</v>
      </c>
      <c r="C127" s="9" t="s">
        <v>209</v>
      </c>
      <c r="D127" s="2">
        <v>1.2699999999999999E-2</v>
      </c>
      <c r="E127" s="9">
        <v>997</v>
      </c>
      <c r="F127" s="9">
        <v>3148</v>
      </c>
      <c r="G127" s="9">
        <v>8.6999999999999993</v>
      </c>
      <c r="H127" s="9">
        <v>33</v>
      </c>
      <c r="I127" s="60">
        <f t="shared" ref="I127:I130" si="40">(F127*0.001)/G127</f>
        <v>0.36183908045977015</v>
      </c>
      <c r="J127" s="61">
        <f t="shared" ref="J127:J130" si="41">E127*D127*(I127/(K127*E127))/(0.001002)</f>
        <v>4525.6083691179874</v>
      </c>
      <c r="K127" s="62">
        <f t="shared" ref="K127:K130" si="42">D127^2/4*3.1415*8</f>
        <v>1.01338507E-3</v>
      </c>
      <c r="L127" s="63">
        <f t="shared" ref="L127:L130" si="43">10^6*I127/(SQRT(2*E127*(H127*6895)))</f>
        <v>16.987473368272017</v>
      </c>
      <c r="M127" s="60">
        <f t="shared" ref="M127:M130" si="44">I127/(K127*SQRT(2*E127*(H127*6895)))</f>
        <v>1.676309812643284E-2</v>
      </c>
      <c r="N127" s="6">
        <f t="shared" si="4"/>
        <v>1.7326563181187221E-3</v>
      </c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6.5">
      <c r="A128" s="9" t="s">
        <v>205</v>
      </c>
      <c r="B128" s="9" t="s">
        <v>208</v>
      </c>
      <c r="C128" s="69">
        <v>45202</v>
      </c>
      <c r="D128" s="2">
        <v>1.2699999999999999E-2</v>
      </c>
      <c r="E128" s="9">
        <v>997</v>
      </c>
      <c r="F128" s="9">
        <v>1990</v>
      </c>
      <c r="G128" s="9">
        <v>5.9</v>
      </c>
      <c r="H128" s="9">
        <v>22</v>
      </c>
      <c r="I128" s="60">
        <f t="shared" si="40"/>
        <v>0.3372881355932203</v>
      </c>
      <c r="J128" s="61">
        <f t="shared" si="41"/>
        <v>4218.5437993743517</v>
      </c>
      <c r="K128" s="62">
        <f t="shared" si="42"/>
        <v>1.01338507E-3</v>
      </c>
      <c r="L128" s="63">
        <f t="shared" si="43"/>
        <v>19.393670476492563</v>
      </c>
      <c r="M128" s="60">
        <f t="shared" si="44"/>
        <v>1.9137513518422532E-2</v>
      </c>
      <c r="N128" s="6">
        <f t="shared" si="4"/>
        <v>1.3293825694553169E-3</v>
      </c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6.5">
      <c r="A129" s="9" t="s">
        <v>205</v>
      </c>
      <c r="B129" s="9" t="s">
        <v>208</v>
      </c>
      <c r="C129" s="69">
        <v>45202</v>
      </c>
      <c r="D129" s="2">
        <v>1.2699999999999999E-2</v>
      </c>
      <c r="E129" s="9">
        <v>997</v>
      </c>
      <c r="F129" s="9">
        <v>2182</v>
      </c>
      <c r="G129" s="9">
        <v>6.15</v>
      </c>
      <c r="H129" s="9">
        <v>24</v>
      </c>
      <c r="I129" s="60">
        <f t="shared" si="40"/>
        <v>0.35479674796747962</v>
      </c>
      <c r="J129" s="61">
        <f t="shared" si="41"/>
        <v>4437.5282235883087</v>
      </c>
      <c r="K129" s="62">
        <f t="shared" si="42"/>
        <v>1.01338507E-3</v>
      </c>
      <c r="L129" s="63">
        <f t="shared" si="43"/>
        <v>19.531891242391239</v>
      </c>
      <c r="M129" s="60">
        <f t="shared" si="44"/>
        <v>1.9273908626255207E-2</v>
      </c>
      <c r="N129" s="6">
        <f t="shared" si="4"/>
        <v>1.3106339381414979E-3</v>
      </c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6.5">
      <c r="A130" s="9" t="s">
        <v>205</v>
      </c>
      <c r="B130" s="9" t="s">
        <v>208</v>
      </c>
      <c r="C130" s="68">
        <v>45202</v>
      </c>
      <c r="D130" s="2">
        <v>1.2699999999999999E-2</v>
      </c>
      <c r="E130" s="9">
        <v>997</v>
      </c>
      <c r="F130" s="2">
        <v>2025</v>
      </c>
      <c r="G130" s="2">
        <v>5.51</v>
      </c>
      <c r="H130" s="2">
        <v>26</v>
      </c>
      <c r="I130" s="60">
        <f t="shared" si="40"/>
        <v>0.36751361161524498</v>
      </c>
      <c r="J130" s="61">
        <f t="shared" si="41"/>
        <v>4596.5810944947116</v>
      </c>
      <c r="K130" s="62">
        <f t="shared" si="42"/>
        <v>1.01338507E-3</v>
      </c>
      <c r="L130" s="63">
        <f t="shared" si="43"/>
        <v>19.438244587780684</v>
      </c>
      <c r="M130" s="60">
        <f t="shared" si="44"/>
        <v>1.9181498882533059E-2</v>
      </c>
      <c r="N130" s="6">
        <f t="shared" si="4"/>
        <v>1.3232927082137483E-3</v>
      </c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2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>
        <f>AVERAGEA(L128:L130)</f>
        <v>19.454602102221497</v>
      </c>
      <c r="M131" s="2"/>
      <c r="N131" s="6">
        <f t="shared" si="4"/>
        <v>1.3210683831376227E-3</v>
      </c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2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6" t="e">
        <f t="shared" si="4"/>
        <v>#DIV/0!</v>
      </c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6.5">
      <c r="A133" s="2"/>
      <c r="B133" s="9" t="s">
        <v>206</v>
      </c>
      <c r="C133" s="58">
        <v>44995</v>
      </c>
      <c r="D133" s="9">
        <v>9.2499999999999995E-3</v>
      </c>
      <c r="E133" s="9">
        <v>997</v>
      </c>
      <c r="F133" s="2">
        <v>4580</v>
      </c>
      <c r="G133" s="2">
        <v>6.75</v>
      </c>
      <c r="H133" s="2">
        <v>50</v>
      </c>
      <c r="I133" s="60">
        <f t="shared" ref="I133:I138" si="45">(F133*0.001)/G133</f>
        <v>0.67851851851851852</v>
      </c>
      <c r="J133" s="61">
        <f t="shared" ref="J133:J138" si="46">E133*D133*(I133/(K133*E133))/(0.001002)</f>
        <v>11651.589921121207</v>
      </c>
      <c r="K133" s="62">
        <f t="shared" ref="K133:K138" si="47">D133^2/4*3.1415*8</f>
        <v>5.3758918749999989E-4</v>
      </c>
      <c r="L133" s="63">
        <f t="shared" ref="L133:L138" si="48">I133/(SQRT(2*E133*(H133*6895)))</f>
        <v>2.5878970216068969E-5</v>
      </c>
      <c r="M133" s="60">
        <f t="shared" ref="M133:M138" si="49">I133/(K133*SQRT(2*E133*(H133*6895)))</f>
        <v>4.8138933627769387E-2</v>
      </c>
      <c r="N133" s="6">
        <f t="shared" si="4"/>
        <v>746579434.95428205</v>
      </c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6.5">
      <c r="A134" s="2"/>
      <c r="B134" s="2"/>
      <c r="C134" s="58">
        <v>44995</v>
      </c>
      <c r="D134" s="9">
        <v>9.2499999999999995E-3</v>
      </c>
      <c r="E134" s="9">
        <v>997</v>
      </c>
      <c r="F134" s="2">
        <v>3008</v>
      </c>
      <c r="G134" s="2">
        <v>6.38</v>
      </c>
      <c r="H134" s="2">
        <v>56</v>
      </c>
      <c r="I134" s="60">
        <f t="shared" si="45"/>
        <v>0.47147335423197495</v>
      </c>
      <c r="J134" s="61">
        <f t="shared" si="46"/>
        <v>8096.1890240532312</v>
      </c>
      <c r="K134" s="62">
        <f t="shared" si="47"/>
        <v>5.3758918749999989E-4</v>
      </c>
      <c r="L134" s="63">
        <f t="shared" si="48"/>
        <v>1.6991566809663821E-5</v>
      </c>
      <c r="M134" s="60">
        <f t="shared" si="49"/>
        <v>3.160697276796294E-2</v>
      </c>
      <c r="N134" s="6">
        <f t="shared" si="4"/>
        <v>1731821589.5926464</v>
      </c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6.5">
      <c r="A135" s="2"/>
      <c r="B135" s="2"/>
      <c r="C135" s="58">
        <v>44995</v>
      </c>
      <c r="D135" s="9">
        <v>9.2499999999999995E-3</v>
      </c>
      <c r="E135" s="9">
        <v>997</v>
      </c>
      <c r="F135" s="2">
        <v>3970</v>
      </c>
      <c r="G135" s="2">
        <v>10.4</v>
      </c>
      <c r="H135" s="2">
        <v>6.5</v>
      </c>
      <c r="I135" s="60">
        <f t="shared" si="45"/>
        <v>0.38173076923076926</v>
      </c>
      <c r="J135" s="61">
        <f t="shared" si="46"/>
        <v>6555.1201064671977</v>
      </c>
      <c r="K135" s="62">
        <f t="shared" si="47"/>
        <v>5.3758918749999989E-4</v>
      </c>
      <c r="L135" s="63">
        <f t="shared" si="48"/>
        <v>4.0380414898796407E-5</v>
      </c>
      <c r="M135" s="60">
        <f t="shared" si="49"/>
        <v>7.5113889634910891E-2</v>
      </c>
      <c r="N135" s="6">
        <f t="shared" si="4"/>
        <v>306639748.84682989</v>
      </c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6.5">
      <c r="A136" s="2"/>
      <c r="B136" s="2"/>
      <c r="C136" s="58">
        <v>44995</v>
      </c>
      <c r="D136" s="9">
        <v>9.2499999999999995E-3</v>
      </c>
      <c r="E136" s="9">
        <v>997</v>
      </c>
      <c r="F136" s="2">
        <v>6020</v>
      </c>
      <c r="G136" s="2">
        <v>10.75</v>
      </c>
      <c r="H136" s="2">
        <v>14</v>
      </c>
      <c r="I136" s="60">
        <f t="shared" si="45"/>
        <v>0.56000000000000005</v>
      </c>
      <c r="J136" s="61">
        <f t="shared" si="46"/>
        <v>9616.3777078249259</v>
      </c>
      <c r="K136" s="62">
        <f t="shared" si="47"/>
        <v>5.3758918749999989E-4</v>
      </c>
      <c r="L136" s="63">
        <f t="shared" si="48"/>
        <v>4.0364009240403522E-5</v>
      </c>
      <c r="M136" s="60">
        <f t="shared" si="49"/>
        <v>7.5083372543469418E-2</v>
      </c>
      <c r="N136" s="6">
        <f t="shared" si="4"/>
        <v>306889062.49999994</v>
      </c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6.5">
      <c r="A137" s="2"/>
      <c r="B137" s="2"/>
      <c r="C137" s="58">
        <v>44995</v>
      </c>
      <c r="D137" s="9">
        <v>9.2499999999999995E-3</v>
      </c>
      <c r="E137" s="9">
        <v>997</v>
      </c>
      <c r="F137" s="2">
        <v>6808</v>
      </c>
      <c r="G137" s="2">
        <v>12.54</v>
      </c>
      <c r="H137" s="2">
        <v>13</v>
      </c>
      <c r="I137" s="60">
        <f t="shared" si="45"/>
        <v>0.542902711323764</v>
      </c>
      <c r="J137" s="61">
        <f t="shared" si="46"/>
        <v>9322.7813048063508</v>
      </c>
      <c r="K137" s="62">
        <f t="shared" si="47"/>
        <v>5.3758918749999989E-4</v>
      </c>
      <c r="L137" s="63">
        <f t="shared" si="48"/>
        <v>4.0608843574714376E-5</v>
      </c>
      <c r="M137" s="60">
        <f t="shared" si="49"/>
        <v>7.5538802712088363E-2</v>
      </c>
      <c r="N137" s="6">
        <f t="shared" si="4"/>
        <v>303199694.91597462</v>
      </c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6.5">
      <c r="A138" s="2"/>
      <c r="B138" s="2"/>
      <c r="C138" s="58">
        <v>44995</v>
      </c>
      <c r="D138" s="9">
        <v>9.2499999999999995E-3</v>
      </c>
      <c r="E138" s="9">
        <v>997</v>
      </c>
      <c r="F138" s="2">
        <v>7776</v>
      </c>
      <c r="G138" s="2">
        <v>14.36</v>
      </c>
      <c r="H138" s="2">
        <v>13</v>
      </c>
      <c r="I138" s="60">
        <f t="shared" si="45"/>
        <v>0.54150417827298047</v>
      </c>
      <c r="J138" s="61">
        <f t="shared" si="46"/>
        <v>9298.7655511398989</v>
      </c>
      <c r="K138" s="62">
        <f t="shared" si="47"/>
        <v>5.3758918749999989E-4</v>
      </c>
      <c r="L138" s="63">
        <f t="shared" si="48"/>
        <v>4.0504234021826241E-5</v>
      </c>
      <c r="M138" s="60">
        <f t="shared" si="49"/>
        <v>7.5344212576496886E-2</v>
      </c>
      <c r="N138" s="6">
        <f t="shared" si="4"/>
        <v>304767854.07286215</v>
      </c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2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>
        <f t="shared" ref="L139:M139" si="50">AVERAGE(L135:L138)</f>
        <v>4.0464375433935138E-5</v>
      </c>
      <c r="M139" s="11">
        <f t="shared" si="50"/>
        <v>7.5270069366741382E-2</v>
      </c>
      <c r="N139" s="6">
        <f t="shared" si="4"/>
        <v>305368560.20241302</v>
      </c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2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6" t="e">
        <f t="shared" si="4"/>
        <v>#DIV/0!</v>
      </c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2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6" t="e">
        <f t="shared" si="4"/>
        <v>#DIV/0!</v>
      </c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2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6" t="e">
        <f t="shared" si="4"/>
        <v>#DIV/0!</v>
      </c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6.5">
      <c r="A143" s="2"/>
      <c r="B143" s="9" t="s">
        <v>210</v>
      </c>
      <c r="C143" s="2" t="s">
        <v>211</v>
      </c>
      <c r="D143" s="9">
        <v>1.6256E-3</v>
      </c>
      <c r="E143" s="9">
        <v>997</v>
      </c>
      <c r="F143" s="2">
        <v>4500</v>
      </c>
      <c r="G143" s="2">
        <v>13.5</v>
      </c>
      <c r="H143" s="2">
        <v>36</v>
      </c>
      <c r="I143" s="60">
        <f t="shared" ref="I143:I155" si="51">(F143*0.001)/G143</f>
        <v>0.33333333333333331</v>
      </c>
      <c r="J143" s="61">
        <f t="shared" ref="J143:J155" si="52">E143*D143*(I143/(K143*E143))/(0.001002)</f>
        <v>32570.938568243138</v>
      </c>
      <c r="K143" s="62">
        <f t="shared" ref="K143:K148" si="53">D143^2/4*3.1415*8</f>
        <v>1.6603300986880002E-5</v>
      </c>
      <c r="L143" s="63">
        <f t="shared" ref="L143:L155" si="54">I143/(SQRT(2*E143*(H143*6895)))</f>
        <v>1.4982965608548359E-5</v>
      </c>
      <c r="M143" s="60">
        <f t="shared" ref="M143:M148" si="55">I143/(K143*SQRT(2*E143*(H143*6895)))</f>
        <v>0.90240884149410783</v>
      </c>
      <c r="N143" s="6">
        <f t="shared" si="4"/>
        <v>2227278060</v>
      </c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6.5">
      <c r="A144" s="2"/>
      <c r="B144" s="2"/>
      <c r="C144" s="58">
        <v>45219</v>
      </c>
      <c r="D144" s="9">
        <v>1.6256E-3</v>
      </c>
      <c r="E144" s="9">
        <v>997</v>
      </c>
      <c r="F144" s="2">
        <f>2428-750</f>
        <v>1678</v>
      </c>
      <c r="G144" s="2">
        <v>5.97</v>
      </c>
      <c r="H144" s="2">
        <v>80</v>
      </c>
      <c r="I144" s="60">
        <f t="shared" si="51"/>
        <v>0.28107202680067001</v>
      </c>
      <c r="J144" s="61">
        <f t="shared" si="52"/>
        <v>27464.339154528639</v>
      </c>
      <c r="K144" s="62">
        <f t="shared" si="53"/>
        <v>1.6603300986880002E-5</v>
      </c>
      <c r="L144" s="63">
        <f t="shared" si="54"/>
        <v>8.4750626951184358E-6</v>
      </c>
      <c r="M144" s="60">
        <f t="shared" si="55"/>
        <v>0.5104444412478859</v>
      </c>
      <c r="N144" s="6">
        <f t="shared" si="4"/>
        <v>6961200858.7185202</v>
      </c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6.5">
      <c r="A145" s="2"/>
      <c r="B145" s="2"/>
      <c r="C145" s="68">
        <v>45219</v>
      </c>
      <c r="D145" s="9">
        <v>1.6256E-3</v>
      </c>
      <c r="E145" s="9">
        <v>997</v>
      </c>
      <c r="F145" s="2">
        <f>4503-2696</f>
        <v>1807</v>
      </c>
      <c r="G145" s="2">
        <v>6.43</v>
      </c>
      <c r="H145" s="2">
        <v>74</v>
      </c>
      <c r="I145" s="60">
        <f t="shared" si="51"/>
        <v>0.28102643856920684</v>
      </c>
      <c r="J145" s="61">
        <f t="shared" si="52"/>
        <v>27459.88460006937</v>
      </c>
      <c r="K145" s="62">
        <f t="shared" si="53"/>
        <v>1.6603300986880002E-5</v>
      </c>
      <c r="L145" s="63">
        <f t="shared" si="54"/>
        <v>8.8105213418895252E-6</v>
      </c>
      <c r="M145" s="60">
        <f t="shared" si="55"/>
        <v>0.53064877573752567</v>
      </c>
      <c r="N145" s="6">
        <f t="shared" si="4"/>
        <v>6441200074.4871216</v>
      </c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6.5">
      <c r="A146" s="2"/>
      <c r="B146" s="2"/>
      <c r="C146" s="68">
        <v>45219</v>
      </c>
      <c r="D146" s="9">
        <v>1.6256E-3</v>
      </c>
      <c r="E146" s="9">
        <v>997</v>
      </c>
      <c r="F146" s="2">
        <f>6624-4870</f>
        <v>1754</v>
      </c>
      <c r="G146" s="2">
        <v>7.62</v>
      </c>
      <c r="H146" s="2">
        <v>70</v>
      </c>
      <c r="I146" s="60">
        <f t="shared" si="51"/>
        <v>0.23018372703412074</v>
      </c>
      <c r="J146" s="61">
        <f t="shared" si="52"/>
        <v>22491.900097912781</v>
      </c>
      <c r="K146" s="62">
        <f t="shared" si="53"/>
        <v>1.6603300986880002E-5</v>
      </c>
      <c r="L146" s="63">
        <f t="shared" si="54"/>
        <v>7.4198629808527723E-6</v>
      </c>
      <c r="M146" s="60">
        <f t="shared" si="55"/>
        <v>0.44689083133022639</v>
      </c>
      <c r="N146" s="6">
        <f t="shared" si="4"/>
        <v>9081931740.975832</v>
      </c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6.5">
      <c r="A147" s="2"/>
      <c r="B147" s="2"/>
      <c r="C147" s="68">
        <v>45219</v>
      </c>
      <c r="D147" s="9">
        <v>1.6256E-3</v>
      </c>
      <c r="E147" s="9">
        <v>997</v>
      </c>
      <c r="F147" s="2">
        <f>3114-1566</f>
        <v>1548</v>
      </c>
      <c r="G147" s="2">
        <v>5.78</v>
      </c>
      <c r="H147" s="2">
        <v>76</v>
      </c>
      <c r="I147" s="60">
        <f t="shared" si="51"/>
        <v>0.26782006920415224</v>
      </c>
      <c r="J147" s="61">
        <f t="shared" si="52"/>
        <v>26169.453064173209</v>
      </c>
      <c r="K147" s="62">
        <f t="shared" si="53"/>
        <v>1.6603300986880002E-5</v>
      </c>
      <c r="L147" s="63">
        <f t="shared" si="54"/>
        <v>8.2852689276040553E-6</v>
      </c>
      <c r="M147" s="60">
        <f t="shared" si="55"/>
        <v>0.49901335488353254</v>
      </c>
      <c r="N147" s="6">
        <f t="shared" si="4"/>
        <v>7283779419.7631044</v>
      </c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6.5">
      <c r="A148" s="2"/>
      <c r="B148" s="2"/>
      <c r="C148" s="68">
        <v>45219</v>
      </c>
      <c r="D148" s="9">
        <v>1.6256E-3</v>
      </c>
      <c r="E148" s="9">
        <v>997</v>
      </c>
      <c r="F148" s="2">
        <f>5522-3921</f>
        <v>1601</v>
      </c>
      <c r="G148" s="2">
        <v>6.09</v>
      </c>
      <c r="H148" s="2">
        <v>77</v>
      </c>
      <c r="I148" s="60">
        <f t="shared" si="51"/>
        <v>0.26288998357963878</v>
      </c>
      <c r="J148" s="61">
        <f t="shared" si="52"/>
        <v>25687.720516136586</v>
      </c>
      <c r="K148" s="62">
        <f t="shared" si="53"/>
        <v>1.6603300986880002E-5</v>
      </c>
      <c r="L148" s="63">
        <f t="shared" si="54"/>
        <v>8.0797693711861686E-6</v>
      </c>
      <c r="M148" s="60">
        <f t="shared" si="55"/>
        <v>0.48663632476281898</v>
      </c>
      <c r="N148" s="6">
        <f t="shared" si="4"/>
        <v>7659000104.0361242</v>
      </c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6.5">
      <c r="A149" s="2"/>
      <c r="B149" s="2"/>
      <c r="C149" s="2"/>
      <c r="D149" s="2"/>
      <c r="E149" s="2"/>
      <c r="F149" s="2"/>
      <c r="G149" s="2"/>
      <c r="H149" s="2"/>
      <c r="I149" s="60" t="e">
        <f t="shared" si="51"/>
        <v>#DIV/0!</v>
      </c>
      <c r="J149" s="61" t="e">
        <f t="shared" si="52"/>
        <v>#DIV/0!</v>
      </c>
      <c r="K149" s="2"/>
      <c r="L149" s="63" t="e">
        <f t="shared" si="54"/>
        <v>#DIV/0!</v>
      </c>
      <c r="M149" s="11">
        <f>AVERAGE(M144:M148)</f>
        <v>0.49472674559239788</v>
      </c>
      <c r="N149" s="6" t="e">
        <f t="shared" si="4"/>
        <v>#DIV/0!</v>
      </c>
      <c r="O149" s="6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6.5">
      <c r="A150" s="2"/>
      <c r="B150" s="2"/>
      <c r="C150" s="2"/>
      <c r="D150" s="2"/>
      <c r="E150" s="2"/>
      <c r="F150" s="2"/>
      <c r="G150" s="2"/>
      <c r="H150" s="2"/>
      <c r="I150" s="60" t="e">
        <f t="shared" si="51"/>
        <v>#DIV/0!</v>
      </c>
      <c r="J150" s="61" t="e">
        <f t="shared" si="52"/>
        <v>#DIV/0!</v>
      </c>
      <c r="K150" s="2"/>
      <c r="L150" s="63" t="e">
        <f t="shared" si="54"/>
        <v>#DIV/0!</v>
      </c>
      <c r="M150" s="2"/>
      <c r="N150" s="6" t="e">
        <f t="shared" si="4"/>
        <v>#DIV/0!</v>
      </c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6.5">
      <c r="A151" s="2"/>
      <c r="B151" s="2" t="s">
        <v>212</v>
      </c>
      <c r="C151" s="70">
        <v>44960</v>
      </c>
      <c r="D151" s="2"/>
      <c r="E151" s="9">
        <v>997</v>
      </c>
      <c r="F151" s="2">
        <f>2498-781</f>
        <v>1717</v>
      </c>
      <c r="G151" s="2">
        <v>2.41</v>
      </c>
      <c r="H151" s="2">
        <v>70</v>
      </c>
      <c r="I151" s="60">
        <f t="shared" si="51"/>
        <v>0.71244813278008301</v>
      </c>
      <c r="J151" s="61" t="e">
        <f t="shared" si="52"/>
        <v>#DIV/0!</v>
      </c>
      <c r="K151" s="2"/>
      <c r="L151" s="63">
        <f t="shared" si="54"/>
        <v>2.296542676715379E-5</v>
      </c>
      <c r="M151" s="2"/>
      <c r="N151" s="6">
        <f t="shared" si="4"/>
        <v>948027561.78833163</v>
      </c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6.5">
      <c r="A152" s="2"/>
      <c r="B152" s="2" t="s">
        <v>213</v>
      </c>
      <c r="C152" s="70">
        <v>44960</v>
      </c>
      <c r="D152" s="2"/>
      <c r="E152" s="9">
        <v>997</v>
      </c>
      <c r="F152" s="2">
        <f>2985-775</f>
        <v>2210</v>
      </c>
      <c r="G152" s="2">
        <v>3.19</v>
      </c>
      <c r="H152" s="2">
        <v>58</v>
      </c>
      <c r="I152" s="60">
        <f t="shared" si="51"/>
        <v>0.69278996865203757</v>
      </c>
      <c r="J152" s="61" t="e">
        <f t="shared" si="52"/>
        <v>#DIV/0!</v>
      </c>
      <c r="K152" s="2"/>
      <c r="L152" s="63">
        <f t="shared" si="54"/>
        <v>2.4533408012488227E-5</v>
      </c>
      <c r="M152" s="2"/>
      <c r="N152" s="6">
        <f t="shared" si="4"/>
        <v>830719186.45134211</v>
      </c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6.5">
      <c r="A153" s="2"/>
      <c r="B153" s="2"/>
      <c r="C153" s="70">
        <v>44960</v>
      </c>
      <c r="D153" s="2"/>
      <c r="E153" s="9">
        <v>997</v>
      </c>
      <c r="F153" s="2">
        <f>3345-780</f>
        <v>2565</v>
      </c>
      <c r="G153" s="2">
        <v>3.28</v>
      </c>
      <c r="H153" s="2">
        <v>108</v>
      </c>
      <c r="I153" s="60">
        <f t="shared" si="51"/>
        <v>0.7820121951219513</v>
      </c>
      <c r="J153" s="61" t="e">
        <f t="shared" si="52"/>
        <v>#DIV/0!</v>
      </c>
      <c r="K153" s="2"/>
      <c r="L153" s="63">
        <f t="shared" si="54"/>
        <v>2.0294199986125407E-5</v>
      </c>
      <c r="M153" s="2"/>
      <c r="N153" s="6">
        <f t="shared" si="4"/>
        <v>1214020814.5439625</v>
      </c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6.5">
      <c r="A154" s="2"/>
      <c r="B154" s="2"/>
      <c r="C154" s="70">
        <v>44960</v>
      </c>
      <c r="D154" s="2"/>
      <c r="E154" s="9">
        <v>997</v>
      </c>
      <c r="F154" s="2">
        <f>3515-775</f>
        <v>2740</v>
      </c>
      <c r="G154" s="2">
        <v>3.21</v>
      </c>
      <c r="H154" s="2">
        <v>125</v>
      </c>
      <c r="I154" s="60">
        <f t="shared" si="51"/>
        <v>0.85358255451713405</v>
      </c>
      <c r="J154" s="61" t="e">
        <f t="shared" si="52"/>
        <v>#DIV/0!</v>
      </c>
      <c r="K154" s="2"/>
      <c r="L154" s="63">
        <f t="shared" si="54"/>
        <v>2.0590211690108511E-5</v>
      </c>
      <c r="M154" s="2"/>
      <c r="N154" s="6">
        <f t="shared" si="4"/>
        <v>1179365396.2567928</v>
      </c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6.5">
      <c r="A155" s="2"/>
      <c r="B155" s="2"/>
      <c r="C155" s="70">
        <v>44960</v>
      </c>
      <c r="D155" s="2"/>
      <c r="E155" s="9">
        <v>997</v>
      </c>
      <c r="F155" s="2">
        <f>2840-775</f>
        <v>2065</v>
      </c>
      <c r="G155" s="2">
        <v>3.38</v>
      </c>
      <c r="H155" s="2">
        <v>55</v>
      </c>
      <c r="I155" s="60">
        <f t="shared" si="51"/>
        <v>0.61094674556213013</v>
      </c>
      <c r="J155" s="61" t="e">
        <f t="shared" si="52"/>
        <v>#DIV/0!</v>
      </c>
      <c r="K155" s="2"/>
      <c r="L155" s="63">
        <f t="shared" si="54"/>
        <v>2.2217352148828694E-5</v>
      </c>
      <c r="M155" s="2"/>
      <c r="N155" s="6">
        <f t="shared" si="4"/>
        <v>1012943931.366192</v>
      </c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2.3">
      <c r="A156" s="2"/>
      <c r="B156" s="2" t="s">
        <v>214</v>
      </c>
      <c r="C156" s="2"/>
      <c r="D156" s="2"/>
      <c r="E156" s="2"/>
      <c r="F156" s="2"/>
      <c r="G156" s="2"/>
      <c r="H156" s="2"/>
      <c r="I156" s="60"/>
      <c r="J156" s="2"/>
      <c r="K156" s="2"/>
      <c r="L156" s="8">
        <f>AVERAGE(L151:L155)</f>
        <v>2.2120119720940926E-5</v>
      </c>
      <c r="M156" s="2"/>
      <c r="N156" s="6">
        <f t="shared" si="4"/>
        <v>1021868608.5613042</v>
      </c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2.3">
      <c r="A157" s="2"/>
      <c r="B157" s="2"/>
      <c r="C157" s="2"/>
      <c r="D157" s="2"/>
      <c r="E157" s="2"/>
      <c r="F157" s="2"/>
      <c r="G157" s="2"/>
      <c r="H157" s="2"/>
      <c r="I157" s="60"/>
      <c r="J157" s="2"/>
      <c r="K157" s="2"/>
      <c r="L157" s="2"/>
      <c r="M157" s="2"/>
      <c r="N157" s="6" t="e">
        <f t="shared" si="4"/>
        <v>#DIV/0!</v>
      </c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6.5">
      <c r="A158" s="2"/>
      <c r="B158" s="2" t="s">
        <v>212</v>
      </c>
      <c r="C158" s="70">
        <v>44960</v>
      </c>
      <c r="D158" s="2"/>
      <c r="E158" s="2">
        <v>997</v>
      </c>
      <c r="F158" s="2">
        <f>2070-775</f>
        <v>1295</v>
      </c>
      <c r="G158" s="2">
        <v>2.76</v>
      </c>
      <c r="H158" s="2">
        <f t="shared" ref="H158:H162" si="56">(R158-S158)/(LN(R158/S158))</f>
        <v>108.07924290025164</v>
      </c>
      <c r="I158" s="60">
        <f t="shared" ref="I158:I162" si="57">(F158*0.001)/G158</f>
        <v>0.46920289855072467</v>
      </c>
      <c r="J158" s="2"/>
      <c r="K158" s="2"/>
      <c r="L158" s="63">
        <f>I158/(SQRT(2*E158*(H158*6895)))</f>
        <v>1.2171940681858338E-5</v>
      </c>
      <c r="M158" s="2"/>
      <c r="N158" s="6">
        <f t="shared" si="4"/>
        <v>3374817946.2960825</v>
      </c>
      <c r="O158" s="2"/>
      <c r="P158" s="2"/>
      <c r="Q158" s="2"/>
      <c r="R158" s="2">
        <v>135</v>
      </c>
      <c r="S158" s="2">
        <v>85</v>
      </c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6.5">
      <c r="A159" s="2"/>
      <c r="B159" s="2" t="s">
        <v>215</v>
      </c>
      <c r="C159" s="70">
        <v>44960</v>
      </c>
      <c r="D159" s="2"/>
      <c r="E159" s="2">
        <v>997</v>
      </c>
      <c r="F159" s="2">
        <f>1875-780</f>
        <v>1095</v>
      </c>
      <c r="G159" s="2">
        <v>3.16</v>
      </c>
      <c r="H159" s="2">
        <f t="shared" si="56"/>
        <v>66.721209130476538</v>
      </c>
      <c r="I159" s="60">
        <f t="shared" si="57"/>
        <v>0.34651898734177211</v>
      </c>
      <c r="J159" s="2"/>
      <c r="K159" s="2"/>
      <c r="L159" s="63">
        <f t="shared" ref="L159:L162" si="58">I159/(SQRT(2*E159*(R159*6895)))</f>
        <v>1.0448461115816273E-5</v>
      </c>
      <c r="M159" s="2"/>
      <c r="N159" s="6">
        <f t="shared" si="4"/>
        <v>4579998573.107317</v>
      </c>
      <c r="O159" s="2"/>
      <c r="P159" s="2"/>
      <c r="Q159" s="2"/>
      <c r="R159" s="2">
        <v>80</v>
      </c>
      <c r="S159" s="2">
        <v>55</v>
      </c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6.5">
      <c r="A160" s="2"/>
      <c r="B160" s="2"/>
      <c r="C160" s="70">
        <v>44960</v>
      </c>
      <c r="D160" s="2"/>
      <c r="E160" s="2">
        <v>997</v>
      </c>
      <c r="F160" s="2">
        <f>1770-780</f>
        <v>990</v>
      </c>
      <c r="G160" s="2">
        <v>3.16</v>
      </c>
      <c r="H160" s="2">
        <f t="shared" si="56"/>
        <v>52.140892451733116</v>
      </c>
      <c r="I160" s="60">
        <f t="shared" si="57"/>
        <v>0.31329113924050633</v>
      </c>
      <c r="J160" s="2"/>
      <c r="K160" s="2"/>
      <c r="L160" s="63">
        <f t="shared" si="58"/>
        <v>1.0907940857453015E-5</v>
      </c>
      <c r="M160" s="2"/>
      <c r="N160" s="6">
        <f t="shared" si="4"/>
        <v>4202274861.5855513</v>
      </c>
      <c r="O160" s="2"/>
      <c r="P160" s="2"/>
      <c r="Q160" s="2"/>
      <c r="R160" s="2">
        <v>60</v>
      </c>
      <c r="S160" s="2">
        <v>45</v>
      </c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6.5">
      <c r="A161" s="2"/>
      <c r="B161" s="2"/>
      <c r="C161" s="70">
        <v>44960</v>
      </c>
      <c r="D161" s="2"/>
      <c r="E161" s="2">
        <v>997</v>
      </c>
      <c r="F161" s="2">
        <f>3535-800</f>
        <v>2735</v>
      </c>
      <c r="G161" s="2">
        <v>6.28</v>
      </c>
      <c r="H161" s="2">
        <f t="shared" si="56"/>
        <v>107.21641757348659</v>
      </c>
      <c r="I161" s="60">
        <f t="shared" si="57"/>
        <v>0.43550955414012738</v>
      </c>
      <c r="J161" s="2"/>
      <c r="K161" s="2"/>
      <c r="L161" s="63">
        <f t="shared" si="58"/>
        <v>9.9266785100915138E-6</v>
      </c>
      <c r="M161" s="2"/>
      <c r="N161" s="6">
        <f t="shared" si="4"/>
        <v>5074135852.5231524</v>
      </c>
      <c r="O161" s="2"/>
      <c r="P161" s="2"/>
      <c r="Q161" s="2"/>
      <c r="R161" s="2">
        <v>140</v>
      </c>
      <c r="S161" s="2">
        <v>80</v>
      </c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6.5">
      <c r="A162" s="2"/>
      <c r="B162" s="2"/>
      <c r="C162" s="70">
        <v>44960</v>
      </c>
      <c r="D162" s="2"/>
      <c r="E162" s="2">
        <v>997</v>
      </c>
      <c r="F162" s="2">
        <f>3350-785</f>
        <v>2565</v>
      </c>
      <c r="G162" s="2">
        <v>7</v>
      </c>
      <c r="H162" s="2">
        <f t="shared" si="56"/>
        <v>77.731352987036047</v>
      </c>
      <c r="I162" s="60">
        <f t="shared" si="57"/>
        <v>0.36642857142857144</v>
      </c>
      <c r="J162" s="2"/>
      <c r="K162" s="2"/>
      <c r="L162" s="63">
        <f t="shared" si="58"/>
        <v>9.5985732736504898E-6</v>
      </c>
      <c r="M162" s="2"/>
      <c r="N162" s="6">
        <f t="shared" si="4"/>
        <v>5426960183.0002775</v>
      </c>
      <c r="O162" s="2"/>
      <c r="P162" s="2"/>
      <c r="Q162" s="2"/>
      <c r="R162" s="2">
        <v>106</v>
      </c>
      <c r="S162" s="2">
        <v>55</v>
      </c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6.5">
      <c r="A163" s="2"/>
      <c r="B163" s="2" t="s">
        <v>216</v>
      </c>
      <c r="C163" s="2"/>
      <c r="D163" s="2"/>
      <c r="E163" s="2"/>
      <c r="F163" s="2"/>
      <c r="G163" s="2"/>
      <c r="H163" s="2"/>
      <c r="I163" s="60"/>
      <c r="J163" s="2"/>
      <c r="K163" s="2"/>
      <c r="L163" s="71">
        <f>AVERAGE(L158:L162)</f>
        <v>1.0610718887773927E-5</v>
      </c>
      <c r="M163" s="2"/>
      <c r="N163" s="6">
        <f t="shared" si="4"/>
        <v>4440996047.9085512</v>
      </c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6.5">
      <c r="A164" s="2"/>
      <c r="B164" s="2" t="s">
        <v>217</v>
      </c>
      <c r="C164" s="70">
        <v>44960</v>
      </c>
      <c r="D164" s="9">
        <v>1.6256E-3</v>
      </c>
      <c r="E164" s="2">
        <v>997</v>
      </c>
      <c r="F164" s="2">
        <f>2070-775</f>
        <v>1295</v>
      </c>
      <c r="G164" s="2">
        <v>2.76</v>
      </c>
      <c r="H164" s="2">
        <f t="shared" ref="H164:H165" si="59">(R164-S164)/(LN(R164/S164))</f>
        <v>75.466300587617368</v>
      </c>
      <c r="I164" s="60">
        <f t="shared" ref="I164:I167" si="60">(F164*0.001)/G164</f>
        <v>0.46920289855072467</v>
      </c>
      <c r="J164" s="2"/>
      <c r="K164" s="62">
        <f t="shared" ref="K164:K168" si="61">D164^2/4*3.1415*8</f>
        <v>1.6603300986880002E-5</v>
      </c>
      <c r="L164" s="63">
        <f t="shared" ref="L164:L167" si="62">I164/(SQRT(2*E164*(H164*6895)))</f>
        <v>1.456647418676556E-5</v>
      </c>
      <c r="M164" s="60">
        <f t="shared" ref="M164:M168" si="63">I164/(K164*SQRT(2*E164*(H164*6895)))</f>
        <v>0.87732398504827735</v>
      </c>
      <c r="N164" s="6">
        <f t="shared" si="4"/>
        <v>2356465670.2741637</v>
      </c>
      <c r="O164" s="2"/>
      <c r="P164" s="2"/>
      <c r="Q164" s="2"/>
      <c r="R164" s="2">
        <v>87</v>
      </c>
      <c r="S164" s="2">
        <v>65</v>
      </c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6.5">
      <c r="A165" s="2"/>
      <c r="B165" s="2"/>
      <c r="C165" s="70">
        <v>44960</v>
      </c>
      <c r="D165" s="9">
        <v>1.6256E-3</v>
      </c>
      <c r="E165" s="2">
        <v>997</v>
      </c>
      <c r="F165" s="2">
        <f>1875-780</f>
        <v>1095</v>
      </c>
      <c r="G165" s="2">
        <v>3.16</v>
      </c>
      <c r="H165" s="2">
        <f t="shared" si="59"/>
        <v>48.443932911032917</v>
      </c>
      <c r="I165" s="60">
        <f t="shared" si="60"/>
        <v>0.34651898734177211</v>
      </c>
      <c r="J165" s="2"/>
      <c r="K165" s="62">
        <f t="shared" si="61"/>
        <v>1.6603300986880002E-5</v>
      </c>
      <c r="L165" s="63">
        <f t="shared" si="62"/>
        <v>1.3426957903442658E-5</v>
      </c>
      <c r="M165" s="60">
        <f t="shared" si="63"/>
        <v>0.80869207358540907</v>
      </c>
      <c r="N165" s="6">
        <f t="shared" si="4"/>
        <v>2773414295.1029668</v>
      </c>
      <c r="O165" s="2"/>
      <c r="P165" s="2"/>
      <c r="Q165" s="2"/>
      <c r="R165" s="2">
        <v>58</v>
      </c>
      <c r="S165" s="2">
        <v>40</v>
      </c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6.5">
      <c r="A166" s="2"/>
      <c r="B166" s="2"/>
      <c r="C166" s="70">
        <v>44960</v>
      </c>
      <c r="D166" s="9">
        <v>1.6256E-3</v>
      </c>
      <c r="E166" s="2">
        <v>997</v>
      </c>
      <c r="F166" s="2">
        <f>1770-780</f>
        <v>990</v>
      </c>
      <c r="G166" s="2">
        <v>3.16</v>
      </c>
      <c r="H166" s="2">
        <f>(R165-S166)/(LN(R165/S166))</f>
        <v>41.195295201651199</v>
      </c>
      <c r="I166" s="60">
        <f t="shared" si="60"/>
        <v>0.31329113924050633</v>
      </c>
      <c r="J166" s="2"/>
      <c r="K166" s="62">
        <f t="shared" si="61"/>
        <v>1.6603300986880002E-5</v>
      </c>
      <c r="L166" s="63">
        <f t="shared" si="62"/>
        <v>1.3164203585548506E-5</v>
      </c>
      <c r="M166" s="60">
        <f t="shared" si="63"/>
        <v>0.79286664717762545</v>
      </c>
      <c r="N166" s="6">
        <f t="shared" si="4"/>
        <v>2885232557.3582454</v>
      </c>
      <c r="O166" s="2"/>
      <c r="P166" s="2"/>
      <c r="Q166" s="2"/>
      <c r="R166" s="2">
        <v>40</v>
      </c>
      <c r="S166" s="2">
        <v>28</v>
      </c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6.5">
      <c r="A167" s="2"/>
      <c r="B167" s="2"/>
      <c r="C167" s="70">
        <v>44960</v>
      </c>
      <c r="D167" s="9">
        <v>1.6256E-3</v>
      </c>
      <c r="E167" s="2">
        <v>997</v>
      </c>
      <c r="F167" s="2">
        <f>3350-785</f>
        <v>2565</v>
      </c>
      <c r="G167" s="2">
        <v>7</v>
      </c>
      <c r="H167" s="2">
        <f>(R167-S167)/(LN(R167/S167))</f>
        <v>56.087531407936055</v>
      </c>
      <c r="I167" s="60">
        <f t="shared" si="60"/>
        <v>0.36642857142857144</v>
      </c>
      <c r="J167" s="2"/>
      <c r="K167" s="62">
        <f t="shared" si="61"/>
        <v>1.6603300986880002E-5</v>
      </c>
      <c r="L167" s="63">
        <f t="shared" si="62"/>
        <v>1.3195518330368843E-5</v>
      </c>
      <c r="M167" s="60">
        <f t="shared" si="63"/>
        <v>0.79475270253764574</v>
      </c>
      <c r="N167" s="6">
        <f t="shared" si="4"/>
        <v>2871554714.2796831</v>
      </c>
      <c r="O167" s="2"/>
      <c r="P167" s="2"/>
      <c r="Q167" s="2"/>
      <c r="R167" s="2">
        <v>76</v>
      </c>
      <c r="S167" s="2">
        <v>40</v>
      </c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2.3">
      <c r="A168" s="2"/>
      <c r="B168" s="2"/>
      <c r="C168" s="2"/>
      <c r="D168" s="9"/>
      <c r="E168" s="2"/>
      <c r="F168" s="2"/>
      <c r="G168" s="2"/>
      <c r="H168" s="2"/>
      <c r="I168" s="2"/>
      <c r="J168" s="2"/>
      <c r="K168" s="62">
        <f t="shared" si="61"/>
        <v>0</v>
      </c>
      <c r="L168" s="2">
        <f>AVERAGE(L164:L167)</f>
        <v>1.3588288501531393E-5</v>
      </c>
      <c r="M168" s="60" t="e">
        <f t="shared" si="63"/>
        <v>#DIV/0!</v>
      </c>
      <c r="N168" s="6">
        <f t="shared" si="4"/>
        <v>2707949033.3798146</v>
      </c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2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 t="s">
        <v>216</v>
      </c>
      <c r="L169" s="2">
        <f>AVERAGE(L164:L168)</f>
        <v>1.3588288501531395E-5</v>
      </c>
      <c r="M169" s="2"/>
      <c r="N169" s="6">
        <f t="shared" si="4"/>
        <v>2707949033.3798141</v>
      </c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6.5">
      <c r="A170" s="9"/>
      <c r="B170" s="9" t="s">
        <v>218</v>
      </c>
      <c r="C170" s="68">
        <v>45339</v>
      </c>
      <c r="D170" s="2">
        <v>1.5621000000000001E-3</v>
      </c>
      <c r="E170" s="9">
        <v>997</v>
      </c>
      <c r="F170" s="2">
        <f>1545-800</f>
        <v>745</v>
      </c>
      <c r="G170" s="2">
        <v>3.32</v>
      </c>
      <c r="H170" s="2">
        <f t="shared" ref="H170:H175" si="64">(R170-S170)/(LN(R170/S170))</f>
        <v>75.841841973991421</v>
      </c>
      <c r="I170" s="60">
        <f t="shared" ref="I170:I175" si="65">(F170*0.001)/G170</f>
        <v>0.2243975903614458</v>
      </c>
      <c r="J170" s="61">
        <f t="shared" ref="J170:J175" si="66">E170*D170*(I170/(K170*E170))/(0.001002)</f>
        <v>22817.842358710444</v>
      </c>
      <c r="K170" s="62">
        <f t="shared" ref="K170:K175" si="67">D170^2/4*3.1415*8</f>
        <v>1.5331502724030003E-5</v>
      </c>
      <c r="L170" s="63">
        <f t="shared" ref="L170:L175" si="68">I170/(SQRT(2*E170*(H170*6895)))</f>
        <v>6.9491876747660603E-6</v>
      </c>
      <c r="M170" s="60">
        <f t="shared" ref="M170:M175" si="69">I170/(K170*SQRT(2*E170*(H170*6895)))</f>
        <v>0.45326200567894576</v>
      </c>
      <c r="N170" s="6">
        <f t="shared" si="4"/>
        <v>10353851287.690821</v>
      </c>
      <c r="O170" s="2"/>
      <c r="P170" s="2"/>
      <c r="Q170" s="2"/>
      <c r="R170" s="2">
        <v>82</v>
      </c>
      <c r="S170" s="2">
        <v>70</v>
      </c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6.5">
      <c r="A171" s="9"/>
      <c r="B171" s="72" t="s">
        <v>218</v>
      </c>
      <c r="C171" s="68">
        <v>45339</v>
      </c>
      <c r="D171" s="2">
        <v>1.5621000000000001E-3</v>
      </c>
      <c r="E171" s="9">
        <v>997</v>
      </c>
      <c r="F171" s="2">
        <f>2035-785</f>
        <v>1250</v>
      </c>
      <c r="G171" s="2">
        <v>5.25</v>
      </c>
      <c r="H171" s="2">
        <f t="shared" si="64"/>
        <v>75.559360022049646</v>
      </c>
      <c r="I171" s="60">
        <f t="shared" si="65"/>
        <v>0.23809523809523808</v>
      </c>
      <c r="J171" s="61">
        <f t="shared" si="66"/>
        <v>24210.686043757963</v>
      </c>
      <c r="K171" s="62">
        <f t="shared" si="67"/>
        <v>1.5331502724030003E-5</v>
      </c>
      <c r="L171" s="63">
        <f t="shared" si="68"/>
        <v>7.3871490516186645E-6</v>
      </c>
      <c r="M171" s="60">
        <f t="shared" si="69"/>
        <v>0.48182811460746988</v>
      </c>
      <c r="N171" s="6">
        <f t="shared" si="4"/>
        <v>9162548372.7031822</v>
      </c>
      <c r="O171" s="2"/>
      <c r="P171" s="2"/>
      <c r="Q171" s="2"/>
      <c r="R171" s="2">
        <v>86</v>
      </c>
      <c r="S171" s="2">
        <v>66</v>
      </c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6.5">
      <c r="A172" s="9"/>
      <c r="B172" s="72" t="s">
        <v>218</v>
      </c>
      <c r="C172" s="68">
        <v>45339</v>
      </c>
      <c r="D172" s="2">
        <v>1.5621000000000001E-3</v>
      </c>
      <c r="E172" s="9">
        <v>997</v>
      </c>
      <c r="F172" s="2">
        <f>1870-800</f>
        <v>1070</v>
      </c>
      <c r="G172" s="2">
        <v>4.8099999999999996</v>
      </c>
      <c r="H172" s="2">
        <f t="shared" si="64"/>
        <v>59.440268239769239</v>
      </c>
      <c r="I172" s="60">
        <f t="shared" si="65"/>
        <v>0.22245322245322249</v>
      </c>
      <c r="J172" s="61">
        <f t="shared" si="66"/>
        <v>22620.129538596324</v>
      </c>
      <c r="K172" s="62">
        <f t="shared" si="67"/>
        <v>1.5331502724030003E-5</v>
      </c>
      <c r="L172" s="63">
        <f t="shared" si="68"/>
        <v>7.7815947301622893E-6</v>
      </c>
      <c r="M172" s="60">
        <f t="shared" si="69"/>
        <v>0.50755590435148401</v>
      </c>
      <c r="N172" s="6">
        <f t="shared" si="4"/>
        <v>8257199675.4729156</v>
      </c>
      <c r="O172" s="2"/>
      <c r="P172" s="2"/>
      <c r="Q172" s="2"/>
      <c r="R172" s="2">
        <v>70</v>
      </c>
      <c r="S172" s="2">
        <v>50</v>
      </c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6.5">
      <c r="A173" s="9"/>
      <c r="B173" s="72" t="s">
        <v>218</v>
      </c>
      <c r="C173" s="68">
        <v>45339</v>
      </c>
      <c r="D173" s="2">
        <v>1.5621000000000001E-3</v>
      </c>
      <c r="E173" s="9">
        <v>997</v>
      </c>
      <c r="F173" s="2">
        <f>1845-805</f>
        <v>1040</v>
      </c>
      <c r="G173" s="2">
        <v>4.6500000000000004</v>
      </c>
      <c r="H173" s="2">
        <f t="shared" si="64"/>
        <v>58.539498110814144</v>
      </c>
      <c r="I173" s="60">
        <f t="shared" si="65"/>
        <v>0.2236559139784946</v>
      </c>
      <c r="J173" s="61">
        <f t="shared" si="66"/>
        <v>22742.425083684899</v>
      </c>
      <c r="K173" s="62">
        <f t="shared" si="67"/>
        <v>1.5331502724030003E-5</v>
      </c>
      <c r="L173" s="63">
        <f t="shared" si="68"/>
        <v>7.8836289716058119E-6</v>
      </c>
      <c r="M173" s="60">
        <f t="shared" si="69"/>
        <v>0.51421110595045039</v>
      </c>
      <c r="N173" s="6">
        <f t="shared" si="4"/>
        <v>8044844439.1788607</v>
      </c>
      <c r="O173" s="2"/>
      <c r="P173" s="2"/>
      <c r="Q173" s="2"/>
      <c r="R173" s="2">
        <v>68</v>
      </c>
      <c r="S173" s="2">
        <v>50</v>
      </c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6.5">
      <c r="A174" s="9"/>
      <c r="B174" s="72" t="s">
        <v>218</v>
      </c>
      <c r="C174" s="68">
        <v>45339</v>
      </c>
      <c r="D174" s="2">
        <v>1.5621000000000001E-3</v>
      </c>
      <c r="E174" s="9">
        <v>997</v>
      </c>
      <c r="F174" s="2">
        <f>1825-785</f>
        <v>1040</v>
      </c>
      <c r="G174" s="2">
        <v>4.09</v>
      </c>
      <c r="H174" s="2">
        <f t="shared" si="64"/>
        <v>77.380682393957301</v>
      </c>
      <c r="I174" s="60">
        <f t="shared" si="65"/>
        <v>0.25427872860635697</v>
      </c>
      <c r="J174" s="61">
        <f t="shared" si="66"/>
        <v>25856.302356756671</v>
      </c>
      <c r="K174" s="62">
        <f t="shared" si="67"/>
        <v>1.5331502724030003E-5</v>
      </c>
      <c r="L174" s="63">
        <f t="shared" si="68"/>
        <v>7.7958601804391901E-6</v>
      </c>
      <c r="M174" s="60">
        <f t="shared" si="69"/>
        <v>0.50848637089045823</v>
      </c>
      <c r="N174" s="6">
        <f t="shared" si="4"/>
        <v>8227008036.388586</v>
      </c>
      <c r="O174" s="2"/>
      <c r="P174" s="2"/>
      <c r="Q174" s="2"/>
      <c r="R174" s="2">
        <v>90</v>
      </c>
      <c r="S174" s="2">
        <v>66</v>
      </c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6.5">
      <c r="A175" s="9"/>
      <c r="B175" s="72" t="s">
        <v>218</v>
      </c>
      <c r="C175" s="68">
        <v>45339</v>
      </c>
      <c r="D175" s="2">
        <v>1.5621000000000001E-3</v>
      </c>
      <c r="E175" s="9">
        <v>997</v>
      </c>
      <c r="F175" s="2">
        <f>1870-790</f>
        <v>1080</v>
      </c>
      <c r="G175" s="2">
        <v>4.07</v>
      </c>
      <c r="H175" s="2">
        <f t="shared" si="64"/>
        <v>92.824106636844263</v>
      </c>
      <c r="I175" s="60">
        <f t="shared" si="65"/>
        <v>0.26535626535626533</v>
      </c>
      <c r="J175" s="61">
        <f t="shared" si="66"/>
        <v>26982.720367195605</v>
      </c>
      <c r="K175" s="62">
        <f t="shared" si="67"/>
        <v>1.5331502724030003E-5</v>
      </c>
      <c r="L175" s="63">
        <f t="shared" si="68"/>
        <v>7.4279546734063065E-6</v>
      </c>
      <c r="M175" s="60">
        <f t="shared" si="69"/>
        <v>0.48448966856745346</v>
      </c>
      <c r="N175" s="6">
        <f t="shared" si="4"/>
        <v>9062155591.2181835</v>
      </c>
      <c r="O175" s="2"/>
      <c r="P175" s="2"/>
      <c r="Q175" s="2"/>
      <c r="R175" s="2">
        <v>100</v>
      </c>
      <c r="S175" s="2">
        <v>86</v>
      </c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2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73">
        <f>(AVERAGE(L170:L175))</f>
        <v>7.5375625469997207E-6</v>
      </c>
      <c r="M176" s="2"/>
      <c r="N176" s="6">
        <f t="shared" si="4"/>
        <v>8800516193.9357243</v>
      </c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2.3">
      <c r="A177" s="2"/>
      <c r="B177" s="9" t="s">
        <v>219</v>
      </c>
      <c r="C177" s="68">
        <v>45339</v>
      </c>
      <c r="D177" s="2"/>
      <c r="E177" s="9">
        <v>997</v>
      </c>
      <c r="F177" s="2">
        <f>2895-785</f>
        <v>2110</v>
      </c>
      <c r="G177" s="2">
        <v>2.14</v>
      </c>
      <c r="H177" s="2">
        <f t="shared" ref="H177:H185" si="70">(R177-S177)/(LN(R177/S177))</f>
        <v>57.707801635558539</v>
      </c>
      <c r="I177" s="60">
        <f t="shared" ref="I177:I185" si="71">(F177*0.001)/G177</f>
        <v>0.98598130841121479</v>
      </c>
      <c r="J177" s="61" t="e">
        <f t="shared" ref="J177:J185" si="72">E177*D177*(I177/(K177*E177))/(0.001002)</f>
        <v>#DIV/0!</v>
      </c>
      <c r="K177" s="62">
        <f t="shared" ref="K177:K185" si="73">D177^2/4*3.1415*8</f>
        <v>0</v>
      </c>
      <c r="L177" s="74">
        <f t="shared" ref="L177:L185" si="74">I177/(SQRT(2*E177*(H177*6895)))</f>
        <v>3.5004324769406584E-5</v>
      </c>
      <c r="M177" s="60" t="e">
        <f t="shared" ref="M177:M186" si="75">I177/(K177*SQRT(2*E177*(H177*6895)))</f>
        <v>#DIV/0!</v>
      </c>
      <c r="N177" s="6">
        <f t="shared" si="4"/>
        <v>408062414.74158674</v>
      </c>
      <c r="O177" s="2"/>
      <c r="P177" s="2"/>
      <c r="Q177" s="2"/>
      <c r="R177" s="2">
        <v>80</v>
      </c>
      <c r="S177" s="2">
        <v>40</v>
      </c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2.3">
      <c r="A178" s="2"/>
      <c r="B178" s="9" t="s">
        <v>219</v>
      </c>
      <c r="C178" s="68">
        <v>45339</v>
      </c>
      <c r="D178" s="2"/>
      <c r="E178" s="9">
        <v>997</v>
      </c>
      <c r="F178" s="2">
        <f>4000-790</f>
        <v>3210</v>
      </c>
      <c r="G178" s="2">
        <v>2.68</v>
      </c>
      <c r="H178" s="2">
        <f t="shared" si="70"/>
        <v>54.434699845496716</v>
      </c>
      <c r="I178" s="60">
        <f t="shared" si="71"/>
        <v>1.1977611940298507</v>
      </c>
      <c r="J178" s="61" t="e">
        <f t="shared" si="72"/>
        <v>#DIV/0!</v>
      </c>
      <c r="K178" s="62">
        <f t="shared" si="73"/>
        <v>0</v>
      </c>
      <c r="L178" s="74">
        <f t="shared" si="74"/>
        <v>4.3782707020979023E-5</v>
      </c>
      <c r="M178" s="60" t="e">
        <f t="shared" si="75"/>
        <v>#DIV/0!</v>
      </c>
      <c r="N178" s="6">
        <f t="shared" si="4"/>
        <v>260834350.20971131</v>
      </c>
      <c r="O178" s="2"/>
      <c r="P178" s="2"/>
      <c r="Q178" s="2"/>
      <c r="R178" s="2">
        <v>80</v>
      </c>
      <c r="S178" s="2">
        <v>35</v>
      </c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2.3">
      <c r="A179" s="2"/>
      <c r="B179" s="9" t="s">
        <v>219</v>
      </c>
      <c r="C179" s="68">
        <v>45339</v>
      </c>
      <c r="D179" s="2"/>
      <c r="E179" s="9">
        <v>997</v>
      </c>
      <c r="F179" s="2">
        <f>3230-805</f>
        <v>2425</v>
      </c>
      <c r="G179" s="2">
        <v>2.1800000000000002</v>
      </c>
      <c r="H179" s="2">
        <f t="shared" si="70"/>
        <v>55.052061346849122</v>
      </c>
      <c r="I179" s="60">
        <f t="shared" si="71"/>
        <v>1.1123853211009174</v>
      </c>
      <c r="J179" s="61" t="e">
        <f t="shared" si="72"/>
        <v>#DIV/0!</v>
      </c>
      <c r="K179" s="62">
        <f t="shared" si="73"/>
        <v>0</v>
      </c>
      <c r="L179" s="74">
        <f t="shared" si="74"/>
        <v>4.0433258700183038E-5</v>
      </c>
      <c r="M179" s="60" t="e">
        <f t="shared" si="75"/>
        <v>#DIV/0!</v>
      </c>
      <c r="N179" s="6">
        <f t="shared" si="4"/>
        <v>305838753.74132317</v>
      </c>
      <c r="O179" s="2"/>
      <c r="P179" s="2"/>
      <c r="Q179" s="2"/>
      <c r="R179" s="2">
        <v>75</v>
      </c>
      <c r="S179" s="2">
        <v>39</v>
      </c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2.3">
      <c r="A180" s="2"/>
      <c r="B180" s="9" t="s">
        <v>219</v>
      </c>
      <c r="C180" s="68">
        <v>45339</v>
      </c>
      <c r="D180" s="2"/>
      <c r="E180" s="9">
        <v>997</v>
      </c>
      <c r="F180" s="2">
        <f>2815-790</f>
        <v>2025</v>
      </c>
      <c r="G180" s="2">
        <v>1.75</v>
      </c>
      <c r="H180" s="2">
        <f t="shared" si="70"/>
        <v>56.900761722179489</v>
      </c>
      <c r="I180" s="60">
        <f t="shared" si="71"/>
        <v>1.157142857142857</v>
      </c>
      <c r="J180" s="61" t="e">
        <f t="shared" si="72"/>
        <v>#DIV/0!</v>
      </c>
      <c r="K180" s="62">
        <f t="shared" si="73"/>
        <v>0</v>
      </c>
      <c r="L180" s="74">
        <f t="shared" si="74"/>
        <v>4.1371210326078962E-5</v>
      </c>
      <c r="M180" s="60" t="e">
        <f t="shared" si="75"/>
        <v>#DIV/0!</v>
      </c>
      <c r="N180" s="6">
        <f t="shared" si="4"/>
        <v>292128246.1681453</v>
      </c>
      <c r="O180" s="2"/>
      <c r="P180" s="2"/>
      <c r="Q180" s="2"/>
      <c r="R180" s="2">
        <v>78</v>
      </c>
      <c r="S180" s="2">
        <v>40</v>
      </c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2.3">
      <c r="A181" s="2"/>
      <c r="B181" s="9" t="s">
        <v>219</v>
      </c>
      <c r="C181" s="68">
        <v>45339</v>
      </c>
      <c r="D181" s="2"/>
      <c r="E181" s="9">
        <v>997</v>
      </c>
      <c r="F181" s="2">
        <f>2550- 800</f>
        <v>1750</v>
      </c>
      <c r="G181" s="2">
        <v>2.4500000000000002</v>
      </c>
      <c r="H181" s="2">
        <f t="shared" si="70"/>
        <v>49.686849108777281</v>
      </c>
      <c r="I181" s="60">
        <f t="shared" si="71"/>
        <v>0.71428571428571419</v>
      </c>
      <c r="J181" s="61" t="e">
        <f t="shared" si="72"/>
        <v>#DIV/0!</v>
      </c>
      <c r="K181" s="62">
        <f t="shared" si="73"/>
        <v>0</v>
      </c>
      <c r="L181" s="74">
        <f t="shared" si="74"/>
        <v>2.7328860491559764E-5</v>
      </c>
      <c r="M181" s="60" t="e">
        <f t="shared" si="75"/>
        <v>#DIV/0!</v>
      </c>
      <c r="N181" s="6">
        <f t="shared" si="4"/>
        <v>669463582.1771605</v>
      </c>
      <c r="O181" s="2"/>
      <c r="P181" s="2"/>
      <c r="Q181" s="2"/>
      <c r="R181" s="2">
        <v>68</v>
      </c>
      <c r="S181" s="2">
        <v>35</v>
      </c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2.3">
      <c r="A182" s="2"/>
      <c r="B182" s="9" t="s">
        <v>219</v>
      </c>
      <c r="C182" s="68">
        <v>45339</v>
      </c>
      <c r="D182" s="2"/>
      <c r="E182" s="9">
        <v>997</v>
      </c>
      <c r="F182" s="2">
        <f>4200-795</f>
        <v>3405</v>
      </c>
      <c r="G182" s="2">
        <v>2.46</v>
      </c>
      <c r="H182" s="2">
        <f t="shared" si="70"/>
        <v>87.188897566370287</v>
      </c>
      <c r="I182" s="60">
        <f t="shared" si="71"/>
        <v>1.3841463414634148</v>
      </c>
      <c r="J182" s="61" t="e">
        <f t="shared" si="72"/>
        <v>#DIV/0!</v>
      </c>
      <c r="K182" s="62">
        <f t="shared" si="73"/>
        <v>0</v>
      </c>
      <c r="L182" s="74">
        <f t="shared" si="74"/>
        <v>3.997805891871181E-5</v>
      </c>
      <c r="M182" s="60" t="e">
        <f t="shared" si="75"/>
        <v>#DIV/0!</v>
      </c>
      <c r="N182" s="6">
        <f t="shared" si="4"/>
        <v>312843111.67835784</v>
      </c>
      <c r="O182" s="2"/>
      <c r="P182" s="2"/>
      <c r="Q182" s="2"/>
      <c r="R182" s="2">
        <v>130</v>
      </c>
      <c r="S182" s="2">
        <v>55</v>
      </c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2.3">
      <c r="A183" s="2"/>
      <c r="B183" s="9" t="s">
        <v>219</v>
      </c>
      <c r="C183" s="68">
        <v>45340</v>
      </c>
      <c r="D183" s="2"/>
      <c r="E183" s="9">
        <v>997</v>
      </c>
      <c r="F183" s="2">
        <f t="shared" ref="F183:F184" si="76">4190-805</f>
        <v>3385</v>
      </c>
      <c r="G183" s="2">
        <v>2.4</v>
      </c>
      <c r="H183" s="2">
        <f t="shared" si="70"/>
        <v>85.439290927219218</v>
      </c>
      <c r="I183" s="60">
        <f t="shared" si="71"/>
        <v>1.4104166666666669</v>
      </c>
      <c r="J183" s="61" t="e">
        <f t="shared" si="72"/>
        <v>#DIV/0!</v>
      </c>
      <c r="K183" s="62">
        <f t="shared" si="73"/>
        <v>0</v>
      </c>
      <c r="L183" s="74">
        <f t="shared" si="74"/>
        <v>4.115180617176062E-5</v>
      </c>
      <c r="M183" s="60" t="e">
        <f t="shared" si="75"/>
        <v>#DIV/0!</v>
      </c>
      <c r="N183" s="6">
        <f t="shared" si="4"/>
        <v>295251560.46871108</v>
      </c>
      <c r="O183" s="2"/>
      <c r="P183" s="2"/>
      <c r="Q183" s="2"/>
      <c r="R183" s="2">
        <v>129</v>
      </c>
      <c r="S183" s="2">
        <v>53</v>
      </c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2.3">
      <c r="A184" s="2"/>
      <c r="B184" s="9" t="s">
        <v>219</v>
      </c>
      <c r="C184" s="68">
        <v>45341</v>
      </c>
      <c r="D184" s="2"/>
      <c r="E184" s="9">
        <v>997</v>
      </c>
      <c r="F184" s="2">
        <f t="shared" si="76"/>
        <v>3385</v>
      </c>
      <c r="G184" s="2">
        <v>2.56</v>
      </c>
      <c r="H184" s="2">
        <f t="shared" si="70"/>
        <v>83.724795151671785</v>
      </c>
      <c r="I184" s="60">
        <f t="shared" si="71"/>
        <v>1.322265625</v>
      </c>
      <c r="J184" s="61" t="e">
        <f t="shared" si="72"/>
        <v>#DIV/0!</v>
      </c>
      <c r="K184" s="62">
        <f t="shared" si="73"/>
        <v>0</v>
      </c>
      <c r="L184" s="74">
        <f t="shared" si="74"/>
        <v>3.8972830498310116E-5</v>
      </c>
      <c r="M184" s="60" t="e">
        <f t="shared" si="75"/>
        <v>#DIV/0!</v>
      </c>
      <c r="N184" s="6">
        <f t="shared" si="4"/>
        <v>329189600.62869531</v>
      </c>
      <c r="O184" s="2"/>
      <c r="P184" s="2"/>
      <c r="Q184" s="2"/>
      <c r="R184" s="2">
        <v>130</v>
      </c>
      <c r="S184" s="2">
        <v>50</v>
      </c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2.3">
      <c r="A185" s="2"/>
      <c r="B185" s="9" t="s">
        <v>219</v>
      </c>
      <c r="C185" s="68">
        <v>45342</v>
      </c>
      <c r="D185" s="2"/>
      <c r="E185" s="9">
        <v>997</v>
      </c>
      <c r="F185" s="2" t="s">
        <v>220</v>
      </c>
      <c r="G185" s="2"/>
      <c r="H185" s="2" t="e">
        <f t="shared" si="70"/>
        <v>#DIV/0!</v>
      </c>
      <c r="I185" s="60" t="e">
        <f t="shared" si="71"/>
        <v>#VALUE!</v>
      </c>
      <c r="J185" s="61" t="e">
        <f t="shared" si="72"/>
        <v>#VALUE!</v>
      </c>
      <c r="K185" s="62">
        <f t="shared" si="73"/>
        <v>0</v>
      </c>
      <c r="L185" s="74" t="e">
        <f t="shared" si="74"/>
        <v>#VALUE!</v>
      </c>
      <c r="M185" s="60" t="e">
        <f t="shared" si="75"/>
        <v>#VALUE!</v>
      </c>
      <c r="N185" s="6" t="e">
        <f t="shared" si="4"/>
        <v>#VALUE!</v>
      </c>
      <c r="O185" s="2"/>
      <c r="P185" s="2"/>
      <c r="Q185" s="2"/>
      <c r="R185" s="2">
        <v>130</v>
      </c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2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75">
        <f>(AVERAGE(L177:L184))</f>
        <v>3.8502882112123741E-5</v>
      </c>
      <c r="M186" s="76" t="e">
        <f t="shared" si="75"/>
        <v>#DIV/0!</v>
      </c>
      <c r="N186" s="6">
        <f t="shared" si="4"/>
        <v>337274513.98214924</v>
      </c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2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6" t="e">
        <f t="shared" si="4"/>
        <v>#DIV/0!</v>
      </c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2.3">
      <c r="A188" s="2"/>
      <c r="B188" s="2"/>
      <c r="C188" s="2"/>
      <c r="D188" s="2"/>
      <c r="E188" s="2"/>
      <c r="F188" s="2"/>
      <c r="G188" s="2"/>
      <c r="H188" s="2"/>
      <c r="I188" s="2"/>
      <c r="J188" s="2" t="s">
        <v>221</v>
      </c>
      <c r="K188" s="2" t="s">
        <v>222</v>
      </c>
      <c r="L188" s="2" t="s">
        <v>223</v>
      </c>
      <c r="M188" s="2"/>
      <c r="N188" s="6" t="e">
        <f t="shared" si="4"/>
        <v>#VALUE!</v>
      </c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2.3">
      <c r="A189" s="2"/>
      <c r="B189" s="2"/>
      <c r="C189" s="2"/>
      <c r="D189" s="2"/>
      <c r="E189" s="2"/>
      <c r="F189" s="2"/>
      <c r="G189" s="2"/>
      <c r="H189" s="2"/>
      <c r="I189" s="2"/>
      <c r="J189" s="2">
        <v>0.1</v>
      </c>
      <c r="K189" s="2"/>
      <c r="L189" s="2"/>
      <c r="M189" s="2"/>
      <c r="N189" s="6" t="e">
        <f t="shared" si="4"/>
        <v>#DIV/0!</v>
      </c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2.3">
      <c r="A190" s="2"/>
      <c r="B190" s="2"/>
      <c r="C190" s="2"/>
      <c r="D190" s="2"/>
      <c r="E190" s="2"/>
      <c r="F190" s="2"/>
      <c r="G190" s="2"/>
      <c r="H190" s="2"/>
      <c r="I190" s="2"/>
      <c r="J190" s="2">
        <f>J189+0.05</f>
        <v>0.15000000000000002</v>
      </c>
      <c r="K190" s="2"/>
      <c r="L190" s="2"/>
      <c r="M190" s="2"/>
      <c r="N190" s="6" t="e">
        <f t="shared" si="4"/>
        <v>#DIV/0!</v>
      </c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2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6" t="e">
        <f t="shared" si="4"/>
        <v>#DIV/0!</v>
      </c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2.3">
      <c r="A192" s="77"/>
      <c r="B192" s="77" t="s">
        <v>219</v>
      </c>
      <c r="C192" s="68">
        <v>45360</v>
      </c>
      <c r="D192" s="77"/>
      <c r="E192" s="78">
        <v>997</v>
      </c>
      <c r="F192" s="78">
        <f>3700-800</f>
        <v>2900</v>
      </c>
      <c r="G192" s="78">
        <v>2.4300000000000002</v>
      </c>
      <c r="H192" s="78">
        <f t="shared" ref="H192:H200" si="77">(R192-S192)/(LN(R192/S192))</f>
        <v>61.436204382368111</v>
      </c>
      <c r="I192" s="79">
        <f t="shared" ref="I192:I200" si="78">(F192*0.001)/G192</f>
        <v>1.1934156378600822</v>
      </c>
      <c r="J192" s="80" t="e">
        <f t="shared" ref="J192:J200" si="79">E192*D192*(I192/(K192*E192))/(0.001002)</f>
        <v>#DIV/0!</v>
      </c>
      <c r="K192" s="81">
        <f t="shared" ref="K192:K200" si="80">D192^2/4*3.1415*8</f>
        <v>0</v>
      </c>
      <c r="L192" s="82">
        <f t="shared" ref="L192:L200" si="81">I192/(SQRT(2*E192*(H192*6895)))</f>
        <v>4.1062919510383939E-5</v>
      </c>
      <c r="M192" s="79" t="e">
        <f t="shared" ref="M192:M200" si="82">I192/(K192*SQRT(2*E192*(H192*6895)))</f>
        <v>#DIV/0!</v>
      </c>
      <c r="N192" s="6">
        <f t="shared" si="4"/>
        <v>296531173.81264055</v>
      </c>
      <c r="O192" s="77"/>
      <c r="P192" s="77"/>
      <c r="Q192" s="77"/>
      <c r="R192" s="78">
        <v>105</v>
      </c>
      <c r="S192" s="78">
        <v>32</v>
      </c>
      <c r="T192" s="77"/>
      <c r="U192" s="77"/>
      <c r="V192" s="77"/>
      <c r="W192" s="77"/>
      <c r="X192" s="77"/>
      <c r="Y192" s="77"/>
      <c r="Z192" s="77"/>
      <c r="AA192" s="77"/>
      <c r="AB192" s="77"/>
      <c r="AC192" s="77"/>
      <c r="AD192" s="77"/>
    </row>
    <row r="193" spans="1:30" ht="12.3">
      <c r="A193" s="83"/>
      <c r="B193" s="83" t="s">
        <v>219</v>
      </c>
      <c r="C193" s="68">
        <v>45360</v>
      </c>
      <c r="D193" s="83"/>
      <c r="E193" s="84">
        <v>997</v>
      </c>
      <c r="F193" s="78">
        <f>4450-750</f>
        <v>3700</v>
      </c>
      <c r="G193" s="84">
        <v>2.81</v>
      </c>
      <c r="H193" s="84">
        <f t="shared" si="77"/>
        <v>58.140848155777611</v>
      </c>
      <c r="I193" s="76">
        <f t="shared" si="78"/>
        <v>1.3167259786476868</v>
      </c>
      <c r="J193" s="85" t="e">
        <f t="shared" si="79"/>
        <v>#DIV/0!</v>
      </c>
      <c r="K193" s="86">
        <f t="shared" si="80"/>
        <v>0</v>
      </c>
      <c r="L193" s="82">
        <f t="shared" si="81"/>
        <v>4.6572013046027075E-5</v>
      </c>
      <c r="M193" s="76" t="e">
        <f t="shared" si="82"/>
        <v>#DIV/0!</v>
      </c>
      <c r="N193" s="6">
        <f t="shared" si="4"/>
        <v>230526036.52980098</v>
      </c>
      <c r="O193" s="83"/>
      <c r="P193" s="83"/>
      <c r="Q193" s="83"/>
      <c r="R193" s="84">
        <v>100</v>
      </c>
      <c r="S193" s="84">
        <v>30</v>
      </c>
      <c r="T193" s="83"/>
      <c r="U193" s="83"/>
      <c r="V193" s="83"/>
      <c r="W193" s="83"/>
      <c r="X193" s="83"/>
      <c r="Y193" s="83"/>
      <c r="Z193" s="83"/>
      <c r="AA193" s="83"/>
      <c r="AB193" s="83"/>
      <c r="AC193" s="83"/>
      <c r="AD193" s="83"/>
    </row>
    <row r="194" spans="1:30" ht="12.3">
      <c r="A194" s="77"/>
      <c r="B194" s="77" t="s">
        <v>219</v>
      </c>
      <c r="C194" s="68">
        <v>45360</v>
      </c>
      <c r="D194" s="77"/>
      <c r="E194" s="78">
        <v>997</v>
      </c>
      <c r="F194" s="78">
        <f>4550-750</f>
        <v>3800</v>
      </c>
      <c r="G194" s="78">
        <v>2.89</v>
      </c>
      <c r="H194" s="78">
        <f t="shared" si="77"/>
        <v>57.356386498976185</v>
      </c>
      <c r="I194" s="79">
        <f t="shared" si="78"/>
        <v>1.314878892733564</v>
      </c>
      <c r="J194" s="80" t="e">
        <f t="shared" si="79"/>
        <v>#DIV/0!</v>
      </c>
      <c r="K194" s="81">
        <f t="shared" si="80"/>
        <v>0</v>
      </c>
      <c r="L194" s="82">
        <f t="shared" si="81"/>
        <v>4.6823637653651305E-5</v>
      </c>
      <c r="M194" s="79" t="e">
        <f t="shared" si="82"/>
        <v>#DIV/0!</v>
      </c>
      <c r="N194" s="6">
        <f t="shared" si="4"/>
        <v>228055055.30388448</v>
      </c>
      <c r="O194" s="77"/>
      <c r="P194" s="77"/>
      <c r="Q194" s="77"/>
      <c r="R194" s="78">
        <v>100</v>
      </c>
      <c r="S194" s="78">
        <v>29</v>
      </c>
      <c r="T194" s="77"/>
      <c r="U194" s="77"/>
      <c r="V194" s="77"/>
      <c r="W194" s="77"/>
      <c r="X194" s="77"/>
      <c r="Y194" s="77"/>
      <c r="Z194" s="77"/>
      <c r="AA194" s="77"/>
      <c r="AB194" s="77"/>
      <c r="AC194" s="77"/>
      <c r="AD194" s="77"/>
    </row>
    <row r="195" spans="1:30" ht="12.3">
      <c r="A195" s="83"/>
      <c r="B195" s="83" t="s">
        <v>219</v>
      </c>
      <c r="C195" s="68">
        <v>45360</v>
      </c>
      <c r="D195" s="83"/>
      <c r="E195" s="84">
        <v>997</v>
      </c>
      <c r="F195" s="78">
        <f>4800-750</f>
        <v>4050</v>
      </c>
      <c r="G195" s="84">
        <v>2.86</v>
      </c>
      <c r="H195" s="84">
        <f t="shared" si="77"/>
        <v>84.899315805885109</v>
      </c>
      <c r="I195" s="76">
        <f t="shared" si="78"/>
        <v>1.416083916083916</v>
      </c>
      <c r="J195" s="85" t="e">
        <f t="shared" si="79"/>
        <v>#DIV/0!</v>
      </c>
      <c r="K195" s="86">
        <f t="shared" si="80"/>
        <v>0</v>
      </c>
      <c r="L195" s="82">
        <f t="shared" si="81"/>
        <v>4.1448343901004171E-5</v>
      </c>
      <c r="M195" s="76" t="e">
        <f t="shared" si="82"/>
        <v>#DIV/0!</v>
      </c>
      <c r="N195" s="6">
        <f t="shared" si="4"/>
        <v>291041981.79796708</v>
      </c>
      <c r="O195" s="83"/>
      <c r="P195" s="83"/>
      <c r="Q195" s="83"/>
      <c r="R195" s="84">
        <v>155</v>
      </c>
      <c r="S195" s="84">
        <v>40</v>
      </c>
      <c r="T195" s="83"/>
      <c r="U195" s="83"/>
      <c r="V195" s="83"/>
      <c r="W195" s="83"/>
      <c r="X195" s="83"/>
      <c r="Y195" s="83"/>
      <c r="Z195" s="83"/>
      <c r="AA195" s="83"/>
      <c r="AB195" s="83"/>
      <c r="AC195" s="83"/>
      <c r="AD195" s="83"/>
    </row>
    <row r="196" spans="1:30" ht="12.3">
      <c r="A196" s="77"/>
      <c r="B196" s="77" t="s">
        <v>219</v>
      </c>
      <c r="C196" s="68">
        <v>45360</v>
      </c>
      <c r="D196" s="77"/>
      <c r="E196" s="78">
        <v>997</v>
      </c>
      <c r="F196" s="78">
        <f>4550-800</f>
        <v>3750</v>
      </c>
      <c r="G196" s="78">
        <v>2.37</v>
      </c>
      <c r="H196" s="78">
        <f t="shared" si="77"/>
        <v>86.539938080330501</v>
      </c>
      <c r="I196" s="79">
        <f t="shared" si="78"/>
        <v>1.5822784810126582</v>
      </c>
      <c r="J196" s="80" t="e">
        <f t="shared" si="79"/>
        <v>#DIV/0!</v>
      </c>
      <c r="K196" s="81">
        <f t="shared" si="80"/>
        <v>0</v>
      </c>
      <c r="L196" s="82">
        <f t="shared" si="81"/>
        <v>4.5871708880580234E-5</v>
      </c>
      <c r="M196" s="79" t="e">
        <f t="shared" si="82"/>
        <v>#DIV/0!</v>
      </c>
      <c r="N196" s="6">
        <f t="shared" si="4"/>
        <v>237618453.76827472</v>
      </c>
      <c r="O196" s="77"/>
      <c r="P196" s="77"/>
      <c r="Q196" s="77"/>
      <c r="R196" s="78">
        <v>155</v>
      </c>
      <c r="S196" s="78">
        <v>42</v>
      </c>
      <c r="T196" s="77"/>
      <c r="U196" s="77"/>
      <c r="V196" s="77"/>
      <c r="W196" s="77"/>
      <c r="X196" s="77"/>
      <c r="Y196" s="77"/>
      <c r="Z196" s="77"/>
      <c r="AA196" s="77"/>
      <c r="AB196" s="77"/>
      <c r="AC196" s="77"/>
      <c r="AD196" s="77"/>
    </row>
    <row r="197" spans="1:30" ht="12.3">
      <c r="A197" s="83"/>
      <c r="B197" s="83" t="s">
        <v>219</v>
      </c>
      <c r="C197" s="68">
        <v>45360</v>
      </c>
      <c r="D197" s="83"/>
      <c r="E197" s="84">
        <v>997</v>
      </c>
      <c r="F197" s="78">
        <f>3550-800</f>
        <v>2750</v>
      </c>
      <c r="G197" s="84">
        <v>2.37</v>
      </c>
      <c r="H197" s="84">
        <f t="shared" si="77"/>
        <v>41.862397575835892</v>
      </c>
      <c r="I197" s="76">
        <f t="shared" si="78"/>
        <v>1.1603375527426161</v>
      </c>
      <c r="J197" s="85" t="e">
        <f t="shared" si="79"/>
        <v>#DIV/0!</v>
      </c>
      <c r="K197" s="86">
        <f t="shared" si="80"/>
        <v>0</v>
      </c>
      <c r="L197" s="82">
        <f t="shared" si="81"/>
        <v>4.8366268957941379E-5</v>
      </c>
      <c r="M197" s="76" t="e">
        <f t="shared" si="82"/>
        <v>#DIV/0!</v>
      </c>
      <c r="N197" s="6">
        <f t="shared" si="4"/>
        <v>213739520.68904164</v>
      </c>
      <c r="O197" s="83"/>
      <c r="P197" s="83"/>
      <c r="Q197" s="83"/>
      <c r="R197" s="84">
        <v>65</v>
      </c>
      <c r="S197" s="84">
        <v>25</v>
      </c>
      <c r="T197" s="83"/>
      <c r="U197" s="83"/>
      <c r="V197" s="83"/>
      <c r="W197" s="83"/>
      <c r="X197" s="83"/>
      <c r="Y197" s="83"/>
      <c r="Z197" s="83"/>
      <c r="AA197" s="83"/>
      <c r="AB197" s="83"/>
      <c r="AC197" s="83"/>
      <c r="AD197" s="83"/>
    </row>
    <row r="198" spans="1:30" ht="12.3">
      <c r="A198" s="77"/>
      <c r="B198" s="77" t="s">
        <v>219</v>
      </c>
      <c r="C198" s="68">
        <v>45360</v>
      </c>
      <c r="D198" s="77"/>
      <c r="E198" s="78">
        <v>997</v>
      </c>
      <c r="F198" s="78">
        <f t="shared" ref="F198:F199" si="83">-800</f>
        <v>-800</v>
      </c>
      <c r="G198" s="78"/>
      <c r="H198" s="78" t="e">
        <f t="shared" si="77"/>
        <v>#DIV/0!</v>
      </c>
      <c r="I198" s="79" t="e">
        <f t="shared" si="78"/>
        <v>#DIV/0!</v>
      </c>
      <c r="J198" s="80" t="e">
        <f t="shared" si="79"/>
        <v>#DIV/0!</v>
      </c>
      <c r="K198" s="81">
        <f t="shared" si="80"/>
        <v>0</v>
      </c>
      <c r="L198" s="82" t="e">
        <f t="shared" si="81"/>
        <v>#DIV/0!</v>
      </c>
      <c r="M198" s="79" t="e">
        <f t="shared" si="82"/>
        <v>#DIV/0!</v>
      </c>
      <c r="N198" s="6" t="e">
        <f t="shared" si="4"/>
        <v>#DIV/0!</v>
      </c>
      <c r="O198" s="77"/>
      <c r="P198" s="77"/>
      <c r="Q198" s="77"/>
      <c r="R198" s="78"/>
      <c r="S198" s="78"/>
      <c r="T198" s="77"/>
      <c r="U198" s="77"/>
      <c r="V198" s="77"/>
      <c r="W198" s="77"/>
      <c r="X198" s="77"/>
      <c r="Y198" s="77"/>
      <c r="Z198" s="77"/>
      <c r="AA198" s="77"/>
      <c r="AB198" s="77"/>
      <c r="AC198" s="77"/>
      <c r="AD198" s="77"/>
    </row>
    <row r="199" spans="1:30" ht="12.3">
      <c r="A199" s="83"/>
      <c r="B199" s="83" t="s">
        <v>219</v>
      </c>
      <c r="C199" s="68">
        <v>45360</v>
      </c>
      <c r="D199" s="83"/>
      <c r="E199" s="84">
        <v>997</v>
      </c>
      <c r="F199" s="78">
        <f t="shared" si="83"/>
        <v>-800</v>
      </c>
      <c r="G199" s="84"/>
      <c r="H199" s="84" t="e">
        <f t="shared" si="77"/>
        <v>#DIV/0!</v>
      </c>
      <c r="I199" s="76" t="e">
        <f t="shared" si="78"/>
        <v>#DIV/0!</v>
      </c>
      <c r="J199" s="85" t="e">
        <f t="shared" si="79"/>
        <v>#DIV/0!</v>
      </c>
      <c r="K199" s="86">
        <f t="shared" si="80"/>
        <v>0</v>
      </c>
      <c r="L199" s="82" t="e">
        <f t="shared" si="81"/>
        <v>#DIV/0!</v>
      </c>
      <c r="M199" s="76" t="e">
        <f t="shared" si="82"/>
        <v>#DIV/0!</v>
      </c>
      <c r="N199" s="6" t="e">
        <f t="shared" si="4"/>
        <v>#DIV/0!</v>
      </c>
      <c r="O199" s="83"/>
      <c r="P199" s="83"/>
      <c r="Q199" s="83"/>
      <c r="R199" s="84"/>
      <c r="S199" s="84"/>
      <c r="T199" s="83"/>
      <c r="U199" s="83"/>
      <c r="V199" s="83"/>
      <c r="W199" s="83"/>
      <c r="X199" s="83"/>
      <c r="Y199" s="83"/>
      <c r="Z199" s="83"/>
      <c r="AA199" s="83"/>
      <c r="AB199" s="83"/>
      <c r="AC199" s="83"/>
      <c r="AD199" s="83"/>
    </row>
    <row r="200" spans="1:30" ht="12.3">
      <c r="A200" s="77"/>
      <c r="B200" s="77" t="s">
        <v>219</v>
      </c>
      <c r="C200" s="68">
        <v>45360</v>
      </c>
      <c r="D200" s="77"/>
      <c r="E200" s="78">
        <v>997</v>
      </c>
      <c r="F200" s="77" t="s">
        <v>220</v>
      </c>
      <c r="G200" s="77"/>
      <c r="H200" s="87" t="e">
        <f t="shared" si="77"/>
        <v>#DIV/0!</v>
      </c>
      <c r="I200" s="79" t="e">
        <f t="shared" si="78"/>
        <v>#VALUE!</v>
      </c>
      <c r="J200" s="80" t="e">
        <f t="shared" si="79"/>
        <v>#VALUE!</v>
      </c>
      <c r="K200" s="81">
        <f t="shared" si="80"/>
        <v>0</v>
      </c>
      <c r="L200" s="88" t="e">
        <f t="shared" si="81"/>
        <v>#VALUE!</v>
      </c>
      <c r="M200" s="79" t="e">
        <f t="shared" si="82"/>
        <v>#VALUE!</v>
      </c>
      <c r="N200" s="6" t="e">
        <f t="shared" si="4"/>
        <v>#VALUE!</v>
      </c>
      <c r="O200" s="77"/>
      <c r="P200" s="77"/>
      <c r="Q200" s="77"/>
      <c r="R200" s="78"/>
      <c r="S200" s="77"/>
      <c r="T200" s="77"/>
      <c r="U200" s="77"/>
      <c r="V200" s="77"/>
      <c r="W200" s="77"/>
      <c r="X200" s="77"/>
      <c r="Y200" s="77"/>
      <c r="Z200" s="77"/>
      <c r="AA200" s="77"/>
      <c r="AB200" s="77"/>
      <c r="AC200" s="77"/>
      <c r="AD200" s="77"/>
    </row>
    <row r="201" spans="1:30" ht="12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6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2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6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2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6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2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6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2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6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2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6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2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6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2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6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2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6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2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6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2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6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2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6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2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6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2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6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2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6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2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6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2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6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2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6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2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6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2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6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2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6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2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6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2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6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2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6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2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6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2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6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2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6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2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6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2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6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2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6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2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6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2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6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2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6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2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6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2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6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2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6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2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6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2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6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2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6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2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6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2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6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2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6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2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6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2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6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2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6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2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6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2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6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2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6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2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6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2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6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2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6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2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6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2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6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2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6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2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6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2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6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2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6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2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6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2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6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2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6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2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6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2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6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2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6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2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6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2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6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2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6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2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6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2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6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2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6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2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6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2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6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2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6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2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6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2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6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2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6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2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6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2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6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2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6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2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6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2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6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2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6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2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6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2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6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2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6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2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6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2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6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2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6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2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6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2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6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2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6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2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6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2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6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2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6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2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6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2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6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2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6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2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6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2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6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2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6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2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6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2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6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2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6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2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6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2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6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2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6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2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6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2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6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2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6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2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6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2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6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2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6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2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6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2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6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2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6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2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6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2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6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2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6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2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6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2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6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2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6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2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6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2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6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2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6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2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6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2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6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2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6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2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6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2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6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2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6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2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6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2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6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2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6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2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6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2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6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2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6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2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6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2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6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2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6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2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6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2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6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2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6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2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6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2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6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2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6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2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6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2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6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2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6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2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6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2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6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2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6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2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6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2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6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2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6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2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6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2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6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2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6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2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6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2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6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2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6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2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6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2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6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2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6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2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6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2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6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2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6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2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6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2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6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2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6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2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6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2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6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2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6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2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6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2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6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2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6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2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6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2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6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2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6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2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6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2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6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2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6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2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6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2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6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2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6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2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6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2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6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2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6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2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6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2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6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2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6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2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6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2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6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2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6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2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6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2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6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2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6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2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6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2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6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2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6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2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6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2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6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2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6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2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6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2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6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2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6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2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6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2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6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2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6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2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6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2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6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2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6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2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6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2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6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2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6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2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6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2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6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2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6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2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6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2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6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2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6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2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6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2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6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2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6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2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6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2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6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2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6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2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6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2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6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2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6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2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6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2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6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2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6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2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6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2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6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2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6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2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6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2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6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2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6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2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6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2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6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2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6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2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6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2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6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2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6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2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6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2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6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2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6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2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6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2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6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2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6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2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6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2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6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2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6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2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6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2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6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2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6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2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6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2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6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2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6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2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6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2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6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2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6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2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6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2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6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2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6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2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6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2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6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2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6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2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6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2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6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2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6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2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6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2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6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2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6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2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6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2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6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2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6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2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6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2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6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2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6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2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6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2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6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2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6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2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6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2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6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2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6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2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6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2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6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2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6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2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6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2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6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2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6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2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6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2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6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2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6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2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6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2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6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2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6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2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6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2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6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2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6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2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6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2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6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2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6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2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6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2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6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2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6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2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6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2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6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2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6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2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6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2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6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2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6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2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6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2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6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2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6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2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6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2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6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2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6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2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6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2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6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2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6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2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6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2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6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2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6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2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6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2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6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2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6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2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6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2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6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2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6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2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6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2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6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2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6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2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6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2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6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2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6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2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6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2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6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2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6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2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6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2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6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2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6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2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6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2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6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2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6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2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6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2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6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2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6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2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6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2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6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2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6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2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6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2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6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2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6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2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6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2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6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2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6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2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6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2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6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2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6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2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6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2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6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2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6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2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6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2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6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2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6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2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6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2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6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2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6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2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6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2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6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2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6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2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6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2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6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2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6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2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6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2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6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2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6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2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6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2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6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2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6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2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6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2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6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2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6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2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6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2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6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2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6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2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6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2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6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2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6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2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6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2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6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2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6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2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6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2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6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2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6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2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6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2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6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2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6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2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6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2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6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2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6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2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6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2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6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2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6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2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6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2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6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2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6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2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6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2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6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2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6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2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6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2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6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2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6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2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6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2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6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2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6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2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6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2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6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2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6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2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6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2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6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2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6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2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6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2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6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2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6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2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6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2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6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2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6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2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6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2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6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2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6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2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6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2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6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2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6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2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6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2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6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2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6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2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6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2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6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2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6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2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6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2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6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2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6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2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6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2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6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2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6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2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6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2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6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2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6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2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6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2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6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2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6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2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6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2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6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2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6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2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6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2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6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2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6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2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6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2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6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2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6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2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6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2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6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2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6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2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6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2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6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2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6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2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6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2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6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2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6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2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6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2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6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2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6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2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6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2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6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2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6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2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6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2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6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2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6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2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6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2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6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2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6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2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6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2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6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2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6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2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6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2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6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2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6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2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6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2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6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2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6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2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6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2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6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2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6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2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6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2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6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2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6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2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6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2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6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2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6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2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6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2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6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2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6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2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6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2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6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2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6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2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6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2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6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2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6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2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6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2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6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2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6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2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6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2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6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2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6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2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6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2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6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2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6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2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6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2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6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2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6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2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6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2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6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2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6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2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6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2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6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2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6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2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6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2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6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2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6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2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6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2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6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2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6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2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6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2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6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2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6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2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6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2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6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2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6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2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6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2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6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2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6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2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6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2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6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2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6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2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6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2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6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2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6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2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6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2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6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2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6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2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6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2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6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2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6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2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6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2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6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2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6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2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6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2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6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2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6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2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6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2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6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2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6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2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6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2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6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2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6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2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6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2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6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2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6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2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6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2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6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2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6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2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6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2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6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2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6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2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6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2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6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2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6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2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6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2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6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2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6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2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6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2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6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2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6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2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6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2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6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2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6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2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6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2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6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2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6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2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6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2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6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2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6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2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6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2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6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2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6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2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6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2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6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2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6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2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6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2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6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2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6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2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6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2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6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2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6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2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6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2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6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2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6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2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6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2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6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2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6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2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6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2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6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2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6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2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6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2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6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2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6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2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6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2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6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2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6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2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6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2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6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2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6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2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6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2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6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2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6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2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6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2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6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2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6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2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6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2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6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2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6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2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6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2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6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2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6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2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6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2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6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2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6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2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6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2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6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2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6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2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6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2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6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2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6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2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6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2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6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2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6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2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6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2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6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2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6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2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6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2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6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2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6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2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6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2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6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2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6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2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6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2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6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2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6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2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6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2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6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2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6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2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6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2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6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2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6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2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6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2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6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2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6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2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6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2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6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2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6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2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6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2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6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2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6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2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6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  <row r="877" spans="1:30" ht="12.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6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</row>
    <row r="878" spans="1:30" ht="12.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6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</row>
    <row r="879" spans="1:30" ht="12.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6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</row>
    <row r="880" spans="1:30" ht="12.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6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</row>
    <row r="881" spans="1:30" ht="12.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6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</row>
    <row r="882" spans="1:30" ht="12.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6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</row>
    <row r="883" spans="1:30" ht="12.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6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</row>
    <row r="884" spans="1:30" ht="12.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6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</row>
    <row r="885" spans="1:30" ht="12.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6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</row>
    <row r="886" spans="1:30" ht="12.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6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</row>
    <row r="887" spans="1:30" ht="12.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6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</row>
    <row r="888" spans="1:30" ht="12.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6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</row>
    <row r="889" spans="1:30" ht="12.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6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</row>
    <row r="890" spans="1:30" ht="12.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6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</row>
    <row r="891" spans="1:30" ht="12.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6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</row>
    <row r="892" spans="1:30" ht="12.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6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</row>
    <row r="893" spans="1:30" ht="12.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6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</row>
    <row r="894" spans="1:30" ht="12.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6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</row>
    <row r="895" spans="1:30" ht="12.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6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</row>
    <row r="896" spans="1:30" ht="12.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6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</row>
    <row r="897" spans="1:30" ht="12.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6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</row>
    <row r="898" spans="1:30" ht="12.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6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</row>
    <row r="899" spans="1:30" ht="12.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6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</row>
    <row r="900" spans="1:30" ht="12.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6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</row>
    <row r="901" spans="1:30" ht="12.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6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</row>
    <row r="902" spans="1:30" ht="12.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6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</row>
    <row r="903" spans="1:30" ht="12.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6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</row>
    <row r="904" spans="1:30" ht="12.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6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</row>
    <row r="905" spans="1:30" ht="12.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6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</row>
    <row r="906" spans="1:30" ht="12.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6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</row>
    <row r="907" spans="1:30" ht="12.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6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</row>
    <row r="908" spans="1:30" ht="12.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6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</row>
    <row r="909" spans="1:30" ht="12.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6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</row>
    <row r="910" spans="1:30" ht="12.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6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</row>
    <row r="911" spans="1:30" ht="12.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6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</row>
    <row r="912" spans="1:30" ht="12.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6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</row>
    <row r="913" spans="1:30" ht="12.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6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</row>
    <row r="914" spans="1:30" ht="12.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6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</row>
    <row r="915" spans="1:30" ht="12.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6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</row>
    <row r="916" spans="1:30" ht="12.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6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</row>
    <row r="917" spans="1:30" ht="12.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6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</row>
    <row r="918" spans="1:30" ht="12.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6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</row>
    <row r="919" spans="1:30" ht="12.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6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</row>
    <row r="920" spans="1:30" ht="12.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6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</row>
    <row r="921" spans="1:30" ht="12.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6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</row>
    <row r="922" spans="1:30" ht="12.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6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</row>
    <row r="923" spans="1:30" ht="12.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6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</row>
    <row r="924" spans="1:30" ht="12.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6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</row>
    <row r="925" spans="1:30" ht="12.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6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</row>
    <row r="926" spans="1:30" ht="12.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6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</row>
    <row r="927" spans="1:30" ht="12.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6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</row>
    <row r="928" spans="1:30" ht="12.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6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</row>
    <row r="929" spans="1:30" ht="12.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6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</row>
    <row r="930" spans="1:30" ht="12.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6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</row>
    <row r="931" spans="1:30" ht="12.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6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</row>
    <row r="932" spans="1:30" ht="12.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6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</row>
    <row r="933" spans="1:30" ht="12.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6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</row>
    <row r="934" spans="1:30" ht="12.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6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</row>
    <row r="935" spans="1:30" ht="12.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6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</row>
    <row r="936" spans="1:30" ht="12.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6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</row>
    <row r="937" spans="1:30" ht="12.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6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</row>
    <row r="938" spans="1:30" ht="12.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6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</row>
    <row r="939" spans="1:30" ht="12.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6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</row>
    <row r="940" spans="1:30" ht="12.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6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</row>
    <row r="941" spans="1:30" ht="12.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6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</row>
    <row r="942" spans="1:30" ht="12.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6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</row>
    <row r="943" spans="1:30" ht="12.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6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</row>
    <row r="944" spans="1:30" ht="12.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6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</row>
    <row r="945" spans="1:30" ht="12.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6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</row>
    <row r="946" spans="1:30" ht="12.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6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</row>
    <row r="947" spans="1:30" ht="12.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6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</row>
    <row r="948" spans="1:30" ht="12.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6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</row>
    <row r="949" spans="1:30" ht="12.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6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</row>
    <row r="950" spans="1:30" ht="12.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6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</row>
    <row r="951" spans="1:30" ht="12.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6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</row>
    <row r="952" spans="1:30" ht="12.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6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</row>
    <row r="953" spans="1:30" ht="12.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6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</row>
    <row r="954" spans="1:30" ht="12.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6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</row>
    <row r="955" spans="1:30" ht="12.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6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</row>
    <row r="956" spans="1:30" ht="12.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6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</row>
    <row r="957" spans="1:30" ht="12.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6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</row>
    <row r="958" spans="1:30" ht="12.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6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</row>
    <row r="959" spans="1:30" ht="12.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6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</row>
    <row r="960" spans="1:30" ht="12.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6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</row>
    <row r="961" spans="1:30" ht="12.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6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</row>
    <row r="962" spans="1:30" ht="12.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6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</row>
    <row r="963" spans="1:30" ht="12.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6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</row>
    <row r="964" spans="1:30" ht="12.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6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</row>
    <row r="965" spans="1:30" ht="12.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6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</row>
    <row r="966" spans="1:30" ht="12.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6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</row>
    <row r="967" spans="1:30" ht="12.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6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</row>
    <row r="968" spans="1:30" ht="12.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6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</row>
    <row r="969" spans="1:30" ht="12.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6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</row>
    <row r="970" spans="1:30" ht="12.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6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</row>
    <row r="971" spans="1:30" ht="12.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6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</row>
    <row r="972" spans="1:30" ht="12.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6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</row>
    <row r="973" spans="1:30" ht="12.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6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</row>
    <row r="974" spans="1:30" ht="12.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6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</row>
    <row r="975" spans="1:30" ht="12.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6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</row>
    <row r="976" spans="1:30" ht="12.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6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</row>
    <row r="977" spans="1:30" ht="12.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6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</row>
    <row r="978" spans="1:30" ht="12.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6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</row>
    <row r="979" spans="1:30" ht="12.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6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</row>
    <row r="980" spans="1:30" ht="12.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6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</row>
    <row r="981" spans="1:30" ht="12.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6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</row>
    <row r="982" spans="1:30" ht="12.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6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</row>
    <row r="983" spans="1:30" ht="12.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6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</row>
    <row r="984" spans="1:30" ht="12.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6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</row>
    <row r="985" spans="1:30" ht="12.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6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</row>
    <row r="986" spans="1:30" ht="12.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6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</row>
    <row r="987" spans="1:30" ht="12.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6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</row>
    <row r="988" spans="1:30" ht="12.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6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</row>
    <row r="989" spans="1:30" ht="12.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6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</row>
    <row r="990" spans="1:30" ht="12.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6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</row>
    <row r="991" spans="1:30" ht="12.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6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</row>
    <row r="992" spans="1:30" ht="12.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6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</row>
    <row r="993" spans="1:30" ht="12.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6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</row>
    <row r="994" spans="1:30" ht="12.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6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</row>
  </sheetData>
  <printOptions horizontalCentered="1" gridLines="1"/>
  <pageMargins left="0.7" right="0.7" top="0.75" bottom="0.75" header="0" footer="0"/>
  <pageSetup pageOrder="overThenDown" orientation="landscape" cellComments="atEnd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AD876"/>
  <sheetViews>
    <sheetView workbookViewId="0">
      <pane ySplit="2" topLeftCell="A3" activePane="bottomLeft" state="frozen"/>
      <selection pane="bottomLeft" activeCell="E10" sqref="E10"/>
    </sheetView>
  </sheetViews>
  <sheetFormatPr defaultColWidth="12.609375" defaultRowHeight="15.75" customHeight="1"/>
  <cols>
    <col min="1" max="2" width="15.21875" customWidth="1"/>
    <col min="3" max="3" width="12.109375" customWidth="1"/>
    <col min="4" max="4" width="15.609375" customWidth="1"/>
    <col min="5" max="5" width="12.71875" customWidth="1"/>
    <col min="6" max="6" width="12.21875" customWidth="1"/>
    <col min="7" max="7" width="7.88671875" customWidth="1"/>
    <col min="8" max="8" width="18" customWidth="1"/>
    <col min="9" max="9" width="10.88671875" customWidth="1"/>
    <col min="10" max="10" width="10.21875" customWidth="1"/>
    <col min="11" max="11" width="13.71875" customWidth="1"/>
    <col min="12" max="12" width="18" customWidth="1"/>
    <col min="14" max="14" width="19" customWidth="1"/>
  </cols>
  <sheetData>
    <row r="1" spans="1:30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>
      <c r="A2" s="2" t="s">
        <v>172</v>
      </c>
      <c r="B2" s="2" t="s">
        <v>173</v>
      </c>
      <c r="C2" s="2" t="s">
        <v>174</v>
      </c>
      <c r="D2" s="46" t="s">
        <v>175</v>
      </c>
      <c r="E2" s="46" t="s">
        <v>176</v>
      </c>
      <c r="F2" s="46" t="s">
        <v>177</v>
      </c>
      <c r="G2" s="46" t="s">
        <v>178</v>
      </c>
      <c r="H2" s="46" t="s">
        <v>179</v>
      </c>
      <c r="I2" s="47" t="s">
        <v>180</v>
      </c>
      <c r="J2" s="2" t="s">
        <v>181</v>
      </c>
      <c r="K2" s="2" t="s">
        <v>182</v>
      </c>
      <c r="L2" s="2" t="s">
        <v>183</v>
      </c>
      <c r="M2" s="2" t="s">
        <v>184</v>
      </c>
      <c r="N2" s="6" t="s">
        <v>185</v>
      </c>
      <c r="O2" s="2" t="s">
        <v>186</v>
      </c>
      <c r="P2" s="2"/>
      <c r="Q2" s="2" t="s">
        <v>187</v>
      </c>
      <c r="R2" s="2" t="s">
        <v>188</v>
      </c>
      <c r="S2" s="2" t="s">
        <v>189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.75" customHeight="1">
      <c r="A3" s="48"/>
      <c r="B3" s="48" t="s">
        <v>190</v>
      </c>
      <c r="C3" s="48" t="s">
        <v>191</v>
      </c>
      <c r="D3" s="48">
        <v>1.549E-3</v>
      </c>
      <c r="E3" s="48">
        <v>997</v>
      </c>
      <c r="F3" s="48">
        <v>300</v>
      </c>
      <c r="G3" s="48">
        <v>1</v>
      </c>
      <c r="H3" s="48">
        <v>90</v>
      </c>
      <c r="I3" s="48">
        <f>(F3*0.001)/G3</f>
        <v>0.3</v>
      </c>
      <c r="J3" s="49">
        <f>E3*D3*(I3/(K3*E3))/(0.001002)</f>
        <v>30763.451234914421</v>
      </c>
      <c r="K3" s="48">
        <f>((D3/2)^2)*3.1415*8</f>
        <v>1.5075436483000001E-5</v>
      </c>
      <c r="L3" s="50">
        <f>I3/(SQRT(2*E3*(H3*6895)))</f>
        <v>8.5284535368570472E-6</v>
      </c>
      <c r="M3" s="51">
        <f>I3/(K3*SQRT(2*E3*(H3*6895)))</f>
        <v>0.56571851478225932</v>
      </c>
      <c r="N3" s="6">
        <f t="shared" ref="N3:N83" si="0">1/(2*L3^2)</f>
        <v>6874315000.000001</v>
      </c>
      <c r="O3" s="2">
        <f>N3*I3^2/E3/6895</f>
        <v>90.000000000000014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5.75" customHeight="1">
      <c r="A4" s="9"/>
      <c r="B4" s="9"/>
      <c r="C4" s="59"/>
      <c r="D4" s="10"/>
      <c r="E4" s="10"/>
      <c r="F4" s="9"/>
      <c r="G4" s="9"/>
      <c r="H4" s="9"/>
      <c r="I4" s="60"/>
      <c r="J4" s="61"/>
      <c r="K4" s="62"/>
      <c r="L4" s="50"/>
      <c r="M4" s="60"/>
      <c r="N4" s="6" t="e">
        <f t="shared" si="0"/>
        <v>#DIV/0!</v>
      </c>
      <c r="O4" s="11"/>
      <c r="P4" s="11"/>
      <c r="Q4" s="1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5.75" customHeight="1">
      <c r="A5" s="9"/>
      <c r="B5" s="9"/>
      <c r="C5" s="59"/>
      <c r="D5" s="10"/>
      <c r="E5" s="10"/>
      <c r="F5" s="9"/>
      <c r="G5" s="9"/>
      <c r="H5" s="9"/>
      <c r="I5" s="60"/>
      <c r="J5" s="61"/>
      <c r="K5" s="62"/>
      <c r="L5" s="50"/>
      <c r="M5" s="60"/>
      <c r="N5" s="6" t="e">
        <f t="shared" si="0"/>
        <v>#DIV/0!</v>
      </c>
      <c r="O5" s="11"/>
      <c r="P5" s="11"/>
      <c r="Q5" s="11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5.75" customHeight="1">
      <c r="A6" s="9"/>
      <c r="B6" s="9"/>
      <c r="C6" s="59"/>
      <c r="D6" s="10"/>
      <c r="E6" s="10"/>
      <c r="F6" s="9"/>
      <c r="G6" s="9"/>
      <c r="H6" s="9"/>
      <c r="I6" s="60"/>
      <c r="J6" s="61"/>
      <c r="K6" s="62"/>
      <c r="L6" s="50"/>
      <c r="M6" s="60"/>
      <c r="N6" s="6" t="e">
        <f t="shared" si="0"/>
        <v>#DIV/0!</v>
      </c>
      <c r="O6" s="11"/>
      <c r="P6" s="11"/>
      <c r="Q6" s="11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.75" customHeight="1">
      <c r="A7" s="9"/>
      <c r="B7" s="9"/>
      <c r="C7" s="59"/>
      <c r="D7" s="10"/>
      <c r="E7" s="10"/>
      <c r="F7" s="9"/>
      <c r="G7" s="9"/>
      <c r="H7" s="9"/>
      <c r="I7" s="60"/>
      <c r="J7" s="61"/>
      <c r="K7" s="62"/>
      <c r="L7" s="50"/>
      <c r="M7" s="60"/>
      <c r="N7" s="6" t="e">
        <f t="shared" si="0"/>
        <v>#DIV/0!</v>
      </c>
      <c r="O7" s="11"/>
      <c r="P7" s="11"/>
      <c r="Q7" s="1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 customHeight="1">
      <c r="A8" s="9"/>
      <c r="B8" s="9"/>
      <c r="C8" s="59"/>
      <c r="D8" s="10"/>
      <c r="E8" s="10"/>
      <c r="F8" s="9"/>
      <c r="G8" s="9"/>
      <c r="H8" s="9"/>
      <c r="I8" s="60"/>
      <c r="J8" s="61"/>
      <c r="K8" s="62"/>
      <c r="L8" s="50"/>
      <c r="M8" s="60"/>
      <c r="N8" s="6" t="e">
        <f t="shared" si="0"/>
        <v>#DIV/0!</v>
      </c>
      <c r="O8" s="11"/>
      <c r="P8" s="11"/>
      <c r="Q8" s="1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 customHeight="1">
      <c r="A9" s="9"/>
      <c r="B9" s="9"/>
      <c r="C9" s="59"/>
      <c r="D9" s="10"/>
      <c r="E9" s="10"/>
      <c r="F9" s="9"/>
      <c r="G9" s="9"/>
      <c r="H9" s="9"/>
      <c r="I9" s="60"/>
      <c r="J9" s="61"/>
      <c r="K9" s="62"/>
      <c r="L9" s="50"/>
      <c r="M9" s="60"/>
      <c r="N9" s="6" t="e">
        <f t="shared" si="0"/>
        <v>#DIV/0!</v>
      </c>
      <c r="O9" s="11"/>
      <c r="P9" s="11"/>
      <c r="Q9" s="1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 customHeight="1">
      <c r="A10" s="9"/>
      <c r="B10" s="9"/>
      <c r="C10" s="59"/>
      <c r="D10" s="10"/>
      <c r="E10" s="10"/>
      <c r="F10" s="9"/>
      <c r="G10" s="9"/>
      <c r="H10" s="9"/>
      <c r="I10" s="60"/>
      <c r="J10" s="61"/>
      <c r="K10" s="62"/>
      <c r="L10" s="50"/>
      <c r="M10" s="60"/>
      <c r="N10" s="6" t="e">
        <f t="shared" si="0"/>
        <v>#DIV/0!</v>
      </c>
      <c r="O10" s="11"/>
      <c r="P10" s="11"/>
      <c r="Q10" s="1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 customHeight="1">
      <c r="A11" s="9"/>
      <c r="B11" s="9"/>
      <c r="C11" s="59"/>
      <c r="D11" s="10"/>
      <c r="E11" s="10"/>
      <c r="F11" s="9"/>
      <c r="G11" s="9"/>
      <c r="H11" s="9"/>
      <c r="I11" s="60"/>
      <c r="J11" s="61"/>
      <c r="K11" s="62"/>
      <c r="L11" s="50"/>
      <c r="M11" s="60"/>
      <c r="N11" s="6" t="e">
        <f t="shared" si="0"/>
        <v>#DIV/0!</v>
      </c>
      <c r="O11" s="11"/>
      <c r="P11" s="11"/>
      <c r="Q11" s="1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 customHeight="1">
      <c r="A12" s="2"/>
      <c r="B12" s="2" t="s">
        <v>199</v>
      </c>
      <c r="C12" s="58">
        <v>44876</v>
      </c>
      <c r="D12" s="2">
        <v>1.6509999999999999E-3</v>
      </c>
      <c r="E12" s="2">
        <v>997</v>
      </c>
      <c r="F12" s="2">
        <v>2526</v>
      </c>
      <c r="G12" s="2">
        <v>10.199999999999999</v>
      </c>
      <c r="H12" s="2">
        <v>56</v>
      </c>
      <c r="I12" s="60">
        <f t="shared" ref="I12:I22" si="1">(F12*0.001)/G12</f>
        <v>0.24764705882352944</v>
      </c>
      <c r="J12" s="61">
        <f t="shared" ref="J12:J22" si="2">E12*D12*(I12/(K12*E12))/(0.001002)</f>
        <v>23826.010012201175</v>
      </c>
      <c r="K12" s="62">
        <f t="shared" ref="K12:K22" si="3">D12^2/4*3.1415*8</f>
        <v>1.7126207682999997E-5</v>
      </c>
      <c r="L12" s="50">
        <f t="shared" ref="L12:L22" si="4">I12/(SQRT(2*E12*(H12*6895)))</f>
        <v>8.9250251524211582E-6</v>
      </c>
      <c r="M12" s="60">
        <f t="shared" ref="M12:M22" si="5">I12/(K12*SQRT(2*E12*(H12*6895)))</f>
        <v>0.52113260084311674</v>
      </c>
      <c r="N12" s="6">
        <f t="shared" si="0"/>
        <v>6276985232.5364866</v>
      </c>
      <c r="O12" s="11"/>
      <c r="P12" s="11"/>
      <c r="Q12" s="1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.75" customHeight="1">
      <c r="A13" s="2"/>
      <c r="B13" s="2" t="s">
        <v>199</v>
      </c>
      <c r="C13" s="58">
        <v>44876</v>
      </c>
      <c r="D13" s="2">
        <v>1.6509999999999999E-3</v>
      </c>
      <c r="E13" s="2">
        <v>997</v>
      </c>
      <c r="F13" s="2">
        <v>3390</v>
      </c>
      <c r="G13" s="2">
        <v>11.6</v>
      </c>
      <c r="H13" s="2">
        <v>77</v>
      </c>
      <c r="I13" s="60">
        <f t="shared" si="1"/>
        <v>0.29224137931034483</v>
      </c>
      <c r="J13" s="61">
        <f t="shared" si="2"/>
        <v>28116.409144957684</v>
      </c>
      <c r="K13" s="62">
        <f t="shared" si="3"/>
        <v>1.7126207682999997E-5</v>
      </c>
      <c r="L13" s="50">
        <f t="shared" si="4"/>
        <v>8.9818672944213503E-6</v>
      </c>
      <c r="M13" s="60">
        <f t="shared" si="5"/>
        <v>0.52445161594863932</v>
      </c>
      <c r="N13" s="6">
        <f t="shared" si="0"/>
        <v>6197788274.7974701</v>
      </c>
      <c r="O13" s="11"/>
      <c r="P13" s="11"/>
      <c r="Q13" s="1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 customHeight="1">
      <c r="A14" s="2"/>
      <c r="B14" s="2" t="s">
        <v>199</v>
      </c>
      <c r="C14" s="58">
        <v>44876</v>
      </c>
      <c r="D14" s="2">
        <v>1.6509999999999999E-3</v>
      </c>
      <c r="E14" s="2">
        <v>997</v>
      </c>
      <c r="F14" s="2">
        <v>4200</v>
      </c>
      <c r="G14" s="2">
        <v>12</v>
      </c>
      <c r="H14" s="2">
        <v>100</v>
      </c>
      <c r="I14" s="60">
        <f t="shared" si="1"/>
        <v>0.35000000000000003</v>
      </c>
      <c r="J14" s="61">
        <f t="shared" si="2"/>
        <v>33673.339565937531</v>
      </c>
      <c r="K14" s="62">
        <f t="shared" si="3"/>
        <v>1.7126207682999997E-5</v>
      </c>
      <c r="L14" s="50">
        <f t="shared" si="4"/>
        <v>9.4392683333854667E-6</v>
      </c>
      <c r="M14" s="60">
        <f t="shared" si="5"/>
        <v>0.55115928220087951</v>
      </c>
      <c r="N14" s="6">
        <f t="shared" si="0"/>
        <v>5611685714.2857132</v>
      </c>
      <c r="O14" s="11"/>
      <c r="P14" s="11"/>
      <c r="Q14" s="1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>
      <c r="A15" s="2"/>
      <c r="B15" s="2" t="s">
        <v>199</v>
      </c>
      <c r="C15" s="58">
        <v>44884</v>
      </c>
      <c r="D15" s="2">
        <v>1.6509999999999999E-3</v>
      </c>
      <c r="E15" s="2">
        <v>997</v>
      </c>
      <c r="F15" s="2">
        <v>1370</v>
      </c>
      <c r="G15" s="2">
        <v>4.2</v>
      </c>
      <c r="H15" s="2">
        <v>89</v>
      </c>
      <c r="I15" s="60">
        <f t="shared" si="1"/>
        <v>0.3261904761904762</v>
      </c>
      <c r="J15" s="61">
        <f t="shared" si="2"/>
        <v>31382.636194105035</v>
      </c>
      <c r="K15" s="62">
        <f t="shared" si="3"/>
        <v>1.7126207682999997E-5</v>
      </c>
      <c r="L15" s="50">
        <f t="shared" si="4"/>
        <v>9.3249510601453555E-6</v>
      </c>
      <c r="M15" s="60">
        <f t="shared" si="5"/>
        <v>0.54448429172102064</v>
      </c>
      <c r="N15" s="6">
        <f t="shared" si="0"/>
        <v>5750119653.3645897</v>
      </c>
      <c r="O15" s="11"/>
      <c r="P15" s="11"/>
      <c r="Q15" s="1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 customHeight="1">
      <c r="A16" s="2"/>
      <c r="B16" s="2" t="s">
        <v>199</v>
      </c>
      <c r="C16" s="58">
        <v>44884</v>
      </c>
      <c r="D16" s="2">
        <v>1.6509999999999999E-3</v>
      </c>
      <c r="E16" s="2">
        <v>997</v>
      </c>
      <c r="F16" s="2">
        <v>1770</v>
      </c>
      <c r="G16" s="2">
        <v>5.16</v>
      </c>
      <c r="H16" s="2">
        <v>90</v>
      </c>
      <c r="I16" s="60">
        <f t="shared" si="1"/>
        <v>0.34302325581395349</v>
      </c>
      <c r="J16" s="61">
        <f t="shared" si="2"/>
        <v>33002.110205819168</v>
      </c>
      <c r="K16" s="62">
        <f t="shared" si="3"/>
        <v>1.7126207682999997E-5</v>
      </c>
      <c r="L16" s="50">
        <f t="shared" si="4"/>
        <v>9.7515263309024375E-6</v>
      </c>
      <c r="M16" s="60">
        <f t="shared" si="5"/>
        <v>0.56939204004761101</v>
      </c>
      <c r="N16" s="6">
        <f t="shared" si="0"/>
        <v>5258051176.7882805</v>
      </c>
      <c r="O16" s="11"/>
      <c r="P16" s="11"/>
      <c r="Q16" s="1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>
      <c r="A17" s="2"/>
      <c r="B17" s="2" t="s">
        <v>199</v>
      </c>
      <c r="C17" s="2" t="s">
        <v>200</v>
      </c>
      <c r="D17" s="2">
        <v>1.6509999999999999E-3</v>
      </c>
      <c r="E17" s="2">
        <v>997</v>
      </c>
      <c r="F17" s="2">
        <v>2090</v>
      </c>
      <c r="G17" s="2">
        <v>6.18</v>
      </c>
      <c r="H17" s="2">
        <v>100.4</v>
      </c>
      <c r="I17" s="60">
        <f t="shared" si="1"/>
        <v>0.33818770226537215</v>
      </c>
      <c r="J17" s="61">
        <f t="shared" si="2"/>
        <v>32536.883815445875</v>
      </c>
      <c r="K17" s="62">
        <f t="shared" si="3"/>
        <v>1.7126207682999997E-5</v>
      </c>
      <c r="L17" s="50">
        <f t="shared" si="4"/>
        <v>9.1025116275458005E-6</v>
      </c>
      <c r="M17" s="60">
        <f t="shared" si="5"/>
        <v>0.53149604372608616</v>
      </c>
      <c r="N17" s="6">
        <f t="shared" si="0"/>
        <v>6034586537.8270655</v>
      </c>
      <c r="O17" s="11"/>
      <c r="P17" s="11"/>
      <c r="Q17" s="1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>
      <c r="A18" s="2"/>
      <c r="B18" s="2" t="s">
        <v>199</v>
      </c>
      <c r="C18" s="58">
        <v>44884</v>
      </c>
      <c r="D18" s="2">
        <v>1.6509999999999999E-3</v>
      </c>
      <c r="E18" s="2">
        <v>997</v>
      </c>
      <c r="F18" s="2">
        <v>1600</v>
      </c>
      <c r="G18" s="2">
        <v>5.2</v>
      </c>
      <c r="H18" s="2">
        <v>84.3</v>
      </c>
      <c r="I18" s="60">
        <f t="shared" si="1"/>
        <v>0.30769230769230771</v>
      </c>
      <c r="J18" s="61">
        <f t="shared" si="2"/>
        <v>29602.935882142876</v>
      </c>
      <c r="K18" s="62">
        <f t="shared" si="3"/>
        <v>1.7126207682999997E-5</v>
      </c>
      <c r="L18" s="50">
        <f t="shared" si="4"/>
        <v>9.0380167000254996E-6</v>
      </c>
      <c r="M18" s="60">
        <f t="shared" si="5"/>
        <v>0.52773018214633205</v>
      </c>
      <c r="N18" s="6">
        <f t="shared" si="0"/>
        <v>6121018969.406251</v>
      </c>
      <c r="O18" s="11"/>
      <c r="P18" s="11"/>
      <c r="Q18" s="1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>
      <c r="A19" s="2"/>
      <c r="B19" s="2" t="s">
        <v>199</v>
      </c>
      <c r="C19" s="58">
        <v>44884</v>
      </c>
      <c r="D19" s="2">
        <v>1.6509999999999999E-3</v>
      </c>
      <c r="E19" s="2">
        <v>997</v>
      </c>
      <c r="F19" s="2">
        <v>1330</v>
      </c>
      <c r="G19" s="2">
        <v>5</v>
      </c>
      <c r="H19" s="2">
        <v>64</v>
      </c>
      <c r="I19" s="60">
        <f t="shared" si="1"/>
        <v>0.26600000000000001</v>
      </c>
      <c r="J19" s="61">
        <f t="shared" si="2"/>
        <v>25591.738070112518</v>
      </c>
      <c r="K19" s="62">
        <f t="shared" si="3"/>
        <v>1.7126207682999997E-5</v>
      </c>
      <c r="L19" s="50">
        <f t="shared" si="4"/>
        <v>8.9673049167161936E-6</v>
      </c>
      <c r="M19" s="60">
        <f t="shared" si="5"/>
        <v>0.52360131809083554</v>
      </c>
      <c r="N19" s="6">
        <f t="shared" si="0"/>
        <v>6217934309.4578533</v>
      </c>
      <c r="O19" s="11"/>
      <c r="P19" s="11"/>
      <c r="Q19" s="1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 customHeight="1">
      <c r="A20" s="2"/>
      <c r="B20" s="2"/>
      <c r="C20" s="58">
        <v>44884</v>
      </c>
      <c r="D20" s="2">
        <v>1.6509999999999999E-3</v>
      </c>
      <c r="E20" s="2">
        <v>997</v>
      </c>
      <c r="F20" s="2">
        <v>1090</v>
      </c>
      <c r="G20" s="2">
        <v>3.85</v>
      </c>
      <c r="H20" s="2">
        <v>66</v>
      </c>
      <c r="I20" s="60">
        <f t="shared" si="1"/>
        <v>0.28311688311688316</v>
      </c>
      <c r="J20" s="61">
        <f t="shared" si="2"/>
        <v>27238.545548698999</v>
      </c>
      <c r="K20" s="62">
        <f t="shared" si="3"/>
        <v>1.7126207682999997E-5</v>
      </c>
      <c r="L20" s="50">
        <f t="shared" si="4"/>
        <v>9.3986199485889133E-6</v>
      </c>
      <c r="M20" s="60">
        <f t="shared" si="5"/>
        <v>0.54878582127193709</v>
      </c>
      <c r="N20" s="6">
        <f t="shared" si="0"/>
        <v>5660330990.4679718</v>
      </c>
      <c r="O20" s="11"/>
      <c r="P20" s="11"/>
      <c r="Q20" s="1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>
      <c r="A21" s="2"/>
      <c r="B21" s="2"/>
      <c r="C21" s="2" t="s">
        <v>201</v>
      </c>
      <c r="D21" s="2">
        <v>1.6509999999999999E-3</v>
      </c>
      <c r="E21" s="2">
        <v>997</v>
      </c>
      <c r="F21" s="2">
        <v>1170</v>
      </c>
      <c r="G21" s="2">
        <v>4.7</v>
      </c>
      <c r="H21" s="2">
        <v>54.9</v>
      </c>
      <c r="I21" s="60">
        <f t="shared" si="1"/>
        <v>0.24893617021276593</v>
      </c>
      <c r="J21" s="61">
        <f t="shared" si="2"/>
        <v>23950.034828052827</v>
      </c>
      <c r="K21" s="62">
        <f t="shared" si="3"/>
        <v>1.7126207682999997E-5</v>
      </c>
      <c r="L21" s="50">
        <f t="shared" si="4"/>
        <v>9.0609163146727792E-6</v>
      </c>
      <c r="M21" s="60">
        <f t="shared" si="5"/>
        <v>0.52906729162620891</v>
      </c>
      <c r="N21" s="6">
        <f t="shared" si="0"/>
        <v>6090118816.1406984</v>
      </c>
      <c r="O21" s="11"/>
      <c r="P21" s="11"/>
      <c r="Q21" s="1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75" customHeight="1">
      <c r="A22" s="2"/>
      <c r="B22" s="2"/>
      <c r="C22" s="58">
        <v>44884</v>
      </c>
      <c r="D22" s="2">
        <v>1.6509999999999999E-3</v>
      </c>
      <c r="E22" s="2">
        <v>997</v>
      </c>
      <c r="F22" s="2">
        <v>1470</v>
      </c>
      <c r="G22" s="2">
        <v>5.62</v>
      </c>
      <c r="H22" s="2">
        <v>54.9</v>
      </c>
      <c r="I22" s="60">
        <f t="shared" si="1"/>
        <v>0.26156583629893237</v>
      </c>
      <c r="J22" s="61">
        <f t="shared" si="2"/>
        <v>25165.12921297822</v>
      </c>
      <c r="K22" s="62">
        <f t="shared" si="3"/>
        <v>1.7126207682999997E-5</v>
      </c>
      <c r="L22" s="50">
        <f t="shared" si="4"/>
        <v>9.5206178815089939E-6</v>
      </c>
      <c r="M22" s="60">
        <f t="shared" si="5"/>
        <v>0.55590928579941568</v>
      </c>
      <c r="N22" s="6">
        <f t="shared" si="0"/>
        <v>5516196583.0262394</v>
      </c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 customHeight="1">
      <c r="A23" s="2"/>
      <c r="B23" s="2"/>
      <c r="C23" s="2"/>
      <c r="D23" s="2"/>
      <c r="E23" s="2"/>
      <c r="F23" s="2"/>
      <c r="G23" s="2"/>
      <c r="H23" s="2"/>
      <c r="I23" s="60"/>
      <c r="J23" s="61"/>
      <c r="K23" s="62"/>
      <c r="L23" s="63"/>
      <c r="M23" s="60"/>
      <c r="N23" s="6" t="e">
        <f t="shared" si="0"/>
        <v>#DIV/0!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>
      <c r="A24" s="2"/>
      <c r="B24" s="2"/>
      <c r="C24" s="2"/>
      <c r="D24" s="10"/>
      <c r="E24" s="10"/>
      <c r="F24" s="9"/>
      <c r="G24" s="9"/>
      <c r="H24" s="9"/>
      <c r="I24" s="60"/>
      <c r="J24" s="61"/>
      <c r="K24" s="62"/>
      <c r="L24" s="63"/>
      <c r="M24" s="60"/>
      <c r="N24" s="6" t="e">
        <f t="shared" si="0"/>
        <v>#DIV/0!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>
      <c r="A25" s="2"/>
      <c r="B25" s="2"/>
      <c r="C25" s="2"/>
      <c r="D25" s="10"/>
      <c r="E25" s="10"/>
      <c r="F25" s="9"/>
      <c r="G25" s="9"/>
      <c r="H25" s="9"/>
      <c r="I25" s="60"/>
      <c r="J25" s="61"/>
      <c r="K25" s="62"/>
      <c r="L25" s="63"/>
      <c r="M25" s="60"/>
      <c r="N25" s="6" t="e">
        <f t="shared" si="0"/>
        <v>#DIV/0!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 customHeight="1">
      <c r="A26" s="2"/>
      <c r="B26" s="2" t="s">
        <v>199</v>
      </c>
      <c r="C26" s="58">
        <v>44966</v>
      </c>
      <c r="D26" s="10">
        <v>1.6004000000000001E-3</v>
      </c>
      <c r="E26" s="10">
        <v>997</v>
      </c>
      <c r="F26" s="9"/>
      <c r="G26" s="9"/>
      <c r="H26" s="9"/>
      <c r="I26" s="60" t="e">
        <f t="shared" ref="I26:I43" si="6">(F26*0.001)/G26</f>
        <v>#DIV/0!</v>
      </c>
      <c r="J26" s="61" t="e">
        <f t="shared" ref="J26:J43" si="7">E26*D26*(I26/(K26*E26))/(0.001002)</f>
        <v>#DIV/0!</v>
      </c>
      <c r="K26" s="62"/>
      <c r="L26" s="63"/>
      <c r="M26" s="60"/>
      <c r="N26" s="6" t="e">
        <f t="shared" si="0"/>
        <v>#DIV/0!</v>
      </c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.75" customHeight="1">
      <c r="A27" s="2" t="s">
        <v>202</v>
      </c>
      <c r="B27" s="2" t="s">
        <v>203</v>
      </c>
      <c r="C27" s="58">
        <v>44968</v>
      </c>
      <c r="D27" s="2">
        <v>1.5883E-3</v>
      </c>
      <c r="E27" s="10">
        <v>997</v>
      </c>
      <c r="F27" s="9">
        <v>2181</v>
      </c>
      <c r="G27" s="9">
        <v>5.75</v>
      </c>
      <c r="H27" s="9">
        <v>134</v>
      </c>
      <c r="I27" s="60">
        <f t="shared" si="6"/>
        <v>0.37930434782608696</v>
      </c>
      <c r="J27" s="61">
        <f t="shared" si="7"/>
        <v>37933.289346843943</v>
      </c>
      <c r="K27" s="62">
        <f t="shared" ref="K27:K43" si="8">D27^2/4*3.1415*8</f>
        <v>1.5850104559870001E-5</v>
      </c>
      <c r="L27" s="63">
        <f t="shared" ref="L27:L43" si="9">10^6*I27/(SQRT(2*E27*(H27*6895)))</f>
        <v>8.837017386713784</v>
      </c>
      <c r="M27" s="60">
        <f t="shared" ref="M27:M43" si="10">I27/(K27*SQRT(2*E27*(H27*6895)))</f>
        <v>0.55753685115035367</v>
      </c>
      <c r="N27" s="6">
        <f t="shared" si="0"/>
        <v>6.4026326565755553E-3</v>
      </c>
      <c r="O27" s="2"/>
      <c r="P27" s="2"/>
      <c r="Q27" s="2">
        <v>0.67500000000000004</v>
      </c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6.5">
      <c r="A28" s="2" t="s">
        <v>202</v>
      </c>
      <c r="B28" s="2" t="s">
        <v>203</v>
      </c>
      <c r="C28" s="58">
        <v>44968</v>
      </c>
      <c r="D28" s="2">
        <v>1.5883E-3</v>
      </c>
      <c r="E28" s="10">
        <v>997</v>
      </c>
      <c r="F28" s="9">
        <v>3218</v>
      </c>
      <c r="G28" s="9">
        <v>7.48</v>
      </c>
      <c r="H28" s="9">
        <v>119</v>
      </c>
      <c r="I28" s="60">
        <f t="shared" si="6"/>
        <v>0.43021390374331547</v>
      </c>
      <c r="J28" s="61">
        <f t="shared" si="7"/>
        <v>43024.62807310871</v>
      </c>
      <c r="K28" s="62">
        <f t="shared" si="8"/>
        <v>1.5850104559870001E-5</v>
      </c>
      <c r="L28" s="63">
        <f t="shared" si="9"/>
        <v>10.636071519224641</v>
      </c>
      <c r="M28" s="60">
        <f t="shared" si="10"/>
        <v>0.67104109496876885</v>
      </c>
      <c r="N28" s="6">
        <f t="shared" si="0"/>
        <v>4.4198497539230273E-3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6.5">
      <c r="A29" s="2" t="s">
        <v>202</v>
      </c>
      <c r="B29" s="2" t="s">
        <v>203</v>
      </c>
      <c r="C29" s="58">
        <v>44968</v>
      </c>
      <c r="D29" s="2">
        <v>1.5883E-3</v>
      </c>
      <c r="E29" s="2">
        <v>997</v>
      </c>
      <c r="F29" s="2">
        <v>3083</v>
      </c>
      <c r="G29" s="2">
        <v>7.3</v>
      </c>
      <c r="H29" s="2">
        <v>134</v>
      </c>
      <c r="I29" s="60">
        <f t="shared" si="6"/>
        <v>0.42232876712328771</v>
      </c>
      <c r="J29" s="61">
        <f t="shared" si="7"/>
        <v>42236.055069236769</v>
      </c>
      <c r="K29" s="62">
        <f t="shared" si="8"/>
        <v>1.5850104559870001E-5</v>
      </c>
      <c r="L29" s="63">
        <f t="shared" si="9"/>
        <v>9.839398571010026</v>
      </c>
      <c r="M29" s="60">
        <f t="shared" si="10"/>
        <v>0.62077814905536033</v>
      </c>
      <c r="N29" s="6">
        <f t="shared" si="0"/>
        <v>5.1645548949493247E-3</v>
      </c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ht="16.5">
      <c r="A30" s="2" t="s">
        <v>202</v>
      </c>
      <c r="B30" s="2" t="s">
        <v>203</v>
      </c>
      <c r="C30" s="58">
        <v>44968</v>
      </c>
      <c r="D30" s="2">
        <v>1.5883E-3</v>
      </c>
      <c r="E30" s="2">
        <v>997</v>
      </c>
      <c r="F30" s="2">
        <v>2833</v>
      </c>
      <c r="G30" s="2">
        <v>7.38</v>
      </c>
      <c r="H30" s="2">
        <v>124</v>
      </c>
      <c r="I30" s="60">
        <f t="shared" si="6"/>
        <v>0.38387533875338758</v>
      </c>
      <c r="J30" s="61">
        <f t="shared" si="7"/>
        <v>38390.422839884195</v>
      </c>
      <c r="K30" s="62">
        <f t="shared" si="8"/>
        <v>1.5850104559870001E-5</v>
      </c>
      <c r="L30" s="63">
        <f t="shared" si="9"/>
        <v>9.2971461457998164</v>
      </c>
      <c r="M30" s="60">
        <f t="shared" si="10"/>
        <v>0.58656686526464585</v>
      </c>
      <c r="N30" s="6">
        <f t="shared" si="0"/>
        <v>5.7845647745519528E-3</v>
      </c>
      <c r="O30" s="2"/>
      <c r="P30" s="2"/>
      <c r="Q30" s="2"/>
      <c r="R30" s="2"/>
      <c r="S30" s="2"/>
      <c r="T30" s="2"/>
      <c r="U30" s="62">
        <f>D33^2/4*3.1415*8</f>
        <v>1.5850104559870001E-5</v>
      </c>
      <c r="V30" s="2"/>
      <c r="W30" s="2"/>
      <c r="X30" s="2"/>
      <c r="Y30" s="2"/>
      <c r="Z30" s="2"/>
      <c r="AA30" s="2"/>
      <c r="AB30" s="2"/>
      <c r="AC30" s="2"/>
      <c r="AD30" s="2"/>
    </row>
    <row r="31" spans="1:30" ht="16.5">
      <c r="A31" s="2" t="s">
        <v>202</v>
      </c>
      <c r="B31" s="2" t="s">
        <v>203</v>
      </c>
      <c r="C31" s="58">
        <v>44968</v>
      </c>
      <c r="D31" s="2">
        <v>1.5883E-3</v>
      </c>
      <c r="E31" s="2">
        <v>997</v>
      </c>
      <c r="F31" s="2">
        <v>2971</v>
      </c>
      <c r="G31" s="2">
        <v>7.96</v>
      </c>
      <c r="H31" s="2">
        <v>114</v>
      </c>
      <c r="I31" s="60">
        <f t="shared" si="6"/>
        <v>0.37324120603015076</v>
      </c>
      <c r="J31" s="61">
        <f t="shared" si="7"/>
        <v>37326.929537328542</v>
      </c>
      <c r="K31" s="62">
        <f t="shared" si="8"/>
        <v>1.5850104559870001E-5</v>
      </c>
      <c r="L31" s="63">
        <f t="shared" si="9"/>
        <v>9.4277367262360219</v>
      </c>
      <c r="M31" s="60">
        <f t="shared" si="10"/>
        <v>0.59480596425247467</v>
      </c>
      <c r="N31" s="6">
        <f t="shared" si="0"/>
        <v>5.625422061262461E-3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6.5">
      <c r="A32" s="2" t="s">
        <v>202</v>
      </c>
      <c r="B32" s="2" t="s">
        <v>203</v>
      </c>
      <c r="C32" s="58">
        <v>44968</v>
      </c>
      <c r="D32" s="2">
        <v>1.5883E-3</v>
      </c>
      <c r="E32" s="2">
        <v>997</v>
      </c>
      <c r="F32" s="2">
        <v>2890</v>
      </c>
      <c r="G32" s="2">
        <v>7.8</v>
      </c>
      <c r="H32" s="2">
        <v>114</v>
      </c>
      <c r="I32" s="60">
        <f t="shared" si="6"/>
        <v>0.37051282051282053</v>
      </c>
      <c r="J32" s="61">
        <f t="shared" si="7"/>
        <v>37054.070452343622</v>
      </c>
      <c r="K32" s="62">
        <f t="shared" si="8"/>
        <v>1.5850104559870001E-5</v>
      </c>
      <c r="L32" s="63">
        <f t="shared" si="9"/>
        <v>9.3588201652307319</v>
      </c>
      <c r="M32" s="60">
        <f t="shared" si="10"/>
        <v>0.59045794492269843</v>
      </c>
      <c r="N32" s="6">
        <f t="shared" si="0"/>
        <v>5.7085761669999164E-3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6.5">
      <c r="A33" s="2" t="s">
        <v>202</v>
      </c>
      <c r="B33" s="2" t="s">
        <v>203</v>
      </c>
      <c r="C33" s="58">
        <v>44968</v>
      </c>
      <c r="D33" s="2">
        <v>1.5883E-3</v>
      </c>
      <c r="E33" s="2">
        <v>997</v>
      </c>
      <c r="F33" s="2">
        <v>2939</v>
      </c>
      <c r="G33" s="2">
        <v>7.96</v>
      </c>
      <c r="H33" s="2">
        <v>114</v>
      </c>
      <c r="I33" s="60">
        <f t="shared" si="6"/>
        <v>0.3692211055276382</v>
      </c>
      <c r="J33" s="61">
        <f t="shared" si="7"/>
        <v>36924.889232651825</v>
      </c>
      <c r="K33" s="62">
        <f t="shared" si="8"/>
        <v>1.5850104559870001E-5</v>
      </c>
      <c r="L33" s="63">
        <f t="shared" si="9"/>
        <v>9.3261926080133524</v>
      </c>
      <c r="M33" s="60">
        <f t="shared" si="10"/>
        <v>0.58839943754224944</v>
      </c>
      <c r="N33" s="6">
        <f t="shared" si="0"/>
        <v>5.7485887877897412E-3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6.5">
      <c r="A34" s="2" t="s">
        <v>202</v>
      </c>
      <c r="B34" s="2" t="s">
        <v>203</v>
      </c>
      <c r="C34" s="58">
        <v>44968</v>
      </c>
      <c r="D34" s="2">
        <v>1.5883E-3</v>
      </c>
      <c r="E34" s="2">
        <v>997</v>
      </c>
      <c r="F34" s="2">
        <v>2831</v>
      </c>
      <c r="G34" s="2">
        <v>7.68</v>
      </c>
      <c r="H34" s="2">
        <v>114</v>
      </c>
      <c r="I34" s="64">
        <f t="shared" si="6"/>
        <v>0.3686197916666667</v>
      </c>
      <c r="J34" s="61">
        <f t="shared" si="7"/>
        <v>36864.753321193835</v>
      </c>
      <c r="K34" s="62">
        <f t="shared" si="8"/>
        <v>1.5850104559870001E-5</v>
      </c>
      <c r="L34" s="63">
        <f t="shared" si="9"/>
        <v>9.3110039614237312</v>
      </c>
      <c r="M34" s="60">
        <f t="shared" si="10"/>
        <v>0.58744116963100323</v>
      </c>
      <c r="N34" s="6">
        <f t="shared" si="0"/>
        <v>5.7673589438503236E-3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6.5">
      <c r="A35" s="2" t="s">
        <v>202</v>
      </c>
      <c r="B35" s="2" t="s">
        <v>192</v>
      </c>
      <c r="C35" s="58">
        <v>44968</v>
      </c>
      <c r="D35" s="2">
        <v>1.6004000000000001E-3</v>
      </c>
      <c r="E35" s="2">
        <v>997</v>
      </c>
      <c r="F35" s="2">
        <v>2926</v>
      </c>
      <c r="G35" s="2">
        <v>7.79</v>
      </c>
      <c r="H35" s="2">
        <v>124</v>
      </c>
      <c r="I35" s="60">
        <f t="shared" si="6"/>
        <v>0.37560975609756098</v>
      </c>
      <c r="J35" s="61">
        <f t="shared" si="7"/>
        <v>37279.797115171896</v>
      </c>
      <c r="K35" s="62">
        <f t="shared" si="8"/>
        <v>1.6092523245280005E-5</v>
      </c>
      <c r="L35" s="63">
        <f t="shared" si="9"/>
        <v>9.096960506938613</v>
      </c>
      <c r="M35" s="60">
        <f t="shared" si="10"/>
        <v>0.56529112111780133</v>
      </c>
      <c r="N35" s="6">
        <f t="shared" si="0"/>
        <v>6.0419536003541909E-3</v>
      </c>
      <c r="O35" s="2"/>
      <c r="P35" s="2"/>
      <c r="Q35" s="2" t="s">
        <v>204</v>
      </c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6.5">
      <c r="A36" s="2" t="s">
        <v>202</v>
      </c>
      <c r="B36" s="9" t="s">
        <v>192</v>
      </c>
      <c r="C36" s="58">
        <v>44968</v>
      </c>
      <c r="D36" s="9">
        <v>1.6004000000000001E-3</v>
      </c>
      <c r="E36" s="9">
        <v>997</v>
      </c>
      <c r="F36" s="9">
        <v>2481</v>
      </c>
      <c r="G36" s="9">
        <v>6.46</v>
      </c>
      <c r="H36" s="9">
        <v>135</v>
      </c>
      <c r="I36" s="60">
        <f t="shared" si="6"/>
        <v>0.38405572755417955</v>
      </c>
      <c r="J36" s="61">
        <f t="shared" si="7"/>
        <v>38118.071673358529</v>
      </c>
      <c r="K36" s="62">
        <f t="shared" si="8"/>
        <v>1.6092523245280005E-5</v>
      </c>
      <c r="L36" s="63">
        <f t="shared" si="9"/>
        <v>8.9145135571188998</v>
      </c>
      <c r="M36" s="60">
        <f t="shared" si="10"/>
        <v>0.55395374741705339</v>
      </c>
      <c r="N36" s="6">
        <f t="shared" si="0"/>
        <v>6.2917970400582536E-3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6.5">
      <c r="A37" s="2" t="s">
        <v>202</v>
      </c>
      <c r="B37" s="9" t="s">
        <v>192</v>
      </c>
      <c r="C37" s="58">
        <v>44968</v>
      </c>
      <c r="D37" s="9">
        <v>1.6004000000000001E-3</v>
      </c>
      <c r="E37" s="9">
        <v>997</v>
      </c>
      <c r="F37" s="9">
        <v>3225</v>
      </c>
      <c r="G37" s="9">
        <v>8.16</v>
      </c>
      <c r="H37" s="9">
        <v>130</v>
      </c>
      <c r="I37" s="60">
        <f t="shared" si="6"/>
        <v>0.3952205882352941</v>
      </c>
      <c r="J37" s="61">
        <f t="shared" si="7"/>
        <v>39226.199815011481</v>
      </c>
      <c r="K37" s="62">
        <f t="shared" si="8"/>
        <v>1.6092523245280005E-5</v>
      </c>
      <c r="L37" s="63">
        <f t="shared" si="9"/>
        <v>9.3484190517863617</v>
      </c>
      <c r="M37" s="60">
        <f t="shared" si="10"/>
        <v>0.58091692081465762</v>
      </c>
      <c r="N37" s="6">
        <f t="shared" si="0"/>
        <v>5.721286033514331E-3</v>
      </c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</row>
    <row r="38" spans="1:30" ht="16.5">
      <c r="A38" s="2" t="s">
        <v>202</v>
      </c>
      <c r="B38" s="9" t="s">
        <v>192</v>
      </c>
      <c r="C38" s="58">
        <v>44968</v>
      </c>
      <c r="D38" s="9">
        <v>1.6004000000000001E-3</v>
      </c>
      <c r="E38" s="10">
        <v>997</v>
      </c>
      <c r="F38" s="9">
        <v>3267</v>
      </c>
      <c r="G38" s="10">
        <v>8.31</v>
      </c>
      <c r="H38" s="9">
        <v>130</v>
      </c>
      <c r="I38" s="60">
        <f t="shared" si="6"/>
        <v>0.3931407942238267</v>
      </c>
      <c r="J38" s="61">
        <f t="shared" si="7"/>
        <v>39019.777331222984</v>
      </c>
      <c r="K38" s="62">
        <f t="shared" si="8"/>
        <v>1.6092523245280005E-5</v>
      </c>
      <c r="L38" s="63">
        <f t="shared" si="9"/>
        <v>9.2992242817279305</v>
      </c>
      <c r="M38" s="60">
        <f t="shared" si="10"/>
        <v>0.57785992538214459</v>
      </c>
      <c r="N38" s="6">
        <f t="shared" si="0"/>
        <v>5.7819796624353562E-3</v>
      </c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</row>
    <row r="39" spans="1:30" ht="16.5">
      <c r="A39" s="2" t="s">
        <v>202</v>
      </c>
      <c r="B39" s="9" t="s">
        <v>192</v>
      </c>
      <c r="C39" s="58">
        <v>44968</v>
      </c>
      <c r="D39" s="9">
        <v>1.6004000000000001E-3</v>
      </c>
      <c r="E39" s="10">
        <v>997</v>
      </c>
      <c r="F39" s="9">
        <v>2787</v>
      </c>
      <c r="G39" s="10">
        <v>7.42</v>
      </c>
      <c r="H39" s="9">
        <v>130</v>
      </c>
      <c r="I39" s="60">
        <f t="shared" si="6"/>
        <v>0.3756064690026954</v>
      </c>
      <c r="J39" s="61">
        <f t="shared" si="7"/>
        <v>37279.470866378571</v>
      </c>
      <c r="K39" s="62">
        <f t="shared" si="8"/>
        <v>1.6092523245280005E-5</v>
      </c>
      <c r="L39" s="63">
        <f t="shared" si="9"/>
        <v>8.8844730647193337</v>
      </c>
      <c r="M39" s="60">
        <f t="shared" si="10"/>
        <v>0.55208701142160421</v>
      </c>
      <c r="N39" s="6">
        <f t="shared" si="0"/>
        <v>6.3344170629179575E-3</v>
      </c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</row>
    <row r="40" spans="1:30" ht="16.5">
      <c r="A40" s="2" t="s">
        <v>202</v>
      </c>
      <c r="B40" s="9" t="s">
        <v>192</v>
      </c>
      <c r="C40" s="58">
        <v>44968</v>
      </c>
      <c r="D40" s="9">
        <v>1.6004000000000001E-3</v>
      </c>
      <c r="E40" s="10">
        <v>997</v>
      </c>
      <c r="F40" s="9">
        <v>2327</v>
      </c>
      <c r="G40" s="10">
        <v>7.44</v>
      </c>
      <c r="H40" s="9">
        <v>102</v>
      </c>
      <c r="I40" s="60">
        <f t="shared" si="6"/>
        <v>0.31276881720430105</v>
      </c>
      <c r="J40" s="61">
        <f t="shared" si="7"/>
        <v>31042.745456004792</v>
      </c>
      <c r="K40" s="62">
        <f t="shared" si="8"/>
        <v>1.6092523245280005E-5</v>
      </c>
      <c r="L40" s="63">
        <f t="shared" si="9"/>
        <v>8.3520608469003879</v>
      </c>
      <c r="M40" s="60">
        <f t="shared" si="10"/>
        <v>0.51900256532797473</v>
      </c>
      <c r="N40" s="6">
        <f t="shared" si="0"/>
        <v>7.1677476184762558E-3</v>
      </c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</row>
    <row r="41" spans="1:30" ht="16.5">
      <c r="A41" s="2" t="s">
        <v>202</v>
      </c>
      <c r="B41" s="9" t="s">
        <v>192</v>
      </c>
      <c r="C41" s="58">
        <v>44968</v>
      </c>
      <c r="D41" s="9">
        <v>1.6004000000000001E-3</v>
      </c>
      <c r="E41" s="10">
        <v>997</v>
      </c>
      <c r="F41" s="9">
        <v>2590</v>
      </c>
      <c r="G41" s="9">
        <v>8.06</v>
      </c>
      <c r="H41" s="9">
        <v>102</v>
      </c>
      <c r="I41" s="60">
        <f t="shared" si="6"/>
        <v>0.32133995037220842</v>
      </c>
      <c r="J41" s="61">
        <f t="shared" si="7"/>
        <v>31893.442490252517</v>
      </c>
      <c r="K41" s="62">
        <f t="shared" si="8"/>
        <v>1.6092523245280005E-5</v>
      </c>
      <c r="L41" s="63">
        <f t="shared" si="9"/>
        <v>8.5809411629917705</v>
      </c>
      <c r="M41" s="60">
        <f t="shared" si="10"/>
        <v>0.5332253390100643</v>
      </c>
      <c r="N41" s="6">
        <f t="shared" si="0"/>
        <v>6.7904750217301496E-3</v>
      </c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</row>
    <row r="42" spans="1:30" ht="16.5">
      <c r="A42" s="2" t="s">
        <v>202</v>
      </c>
      <c r="B42" s="9" t="s">
        <v>192</v>
      </c>
      <c r="C42" s="58">
        <v>44968</v>
      </c>
      <c r="D42" s="9">
        <v>1.6004000000000001E-3</v>
      </c>
      <c r="E42" s="10">
        <v>997</v>
      </c>
      <c r="F42" s="9">
        <v>1896</v>
      </c>
      <c r="G42" s="10">
        <v>6.25</v>
      </c>
      <c r="H42" s="9">
        <v>104</v>
      </c>
      <c r="I42" s="60">
        <f t="shared" si="6"/>
        <v>0.30336000000000002</v>
      </c>
      <c r="J42" s="61">
        <f t="shared" si="7"/>
        <v>30108.907101766257</v>
      </c>
      <c r="K42" s="62">
        <f t="shared" si="8"/>
        <v>1.6092523245280005E-5</v>
      </c>
      <c r="L42" s="63">
        <f t="shared" si="9"/>
        <v>8.0225407873090884</v>
      </c>
      <c r="M42" s="60">
        <f t="shared" si="10"/>
        <v>0.49852597165967305</v>
      </c>
      <c r="N42" s="6">
        <f t="shared" si="0"/>
        <v>7.7686603952747532E-3</v>
      </c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</row>
    <row r="43" spans="1:30" ht="16.5">
      <c r="A43" s="9" t="s">
        <v>202</v>
      </c>
      <c r="B43" s="9" t="s">
        <v>192</v>
      </c>
      <c r="C43" s="58">
        <v>44968</v>
      </c>
      <c r="D43" s="9">
        <v>1.6004000000000001E-3</v>
      </c>
      <c r="E43" s="10">
        <v>997</v>
      </c>
      <c r="F43" s="9">
        <v>2200</v>
      </c>
      <c r="G43" s="9">
        <v>6.87</v>
      </c>
      <c r="H43" s="9">
        <v>110</v>
      </c>
      <c r="I43" s="60">
        <f t="shared" si="6"/>
        <v>0.32023289665211063</v>
      </c>
      <c r="J43" s="61">
        <f t="shared" si="7"/>
        <v>31783.565849907416</v>
      </c>
      <c r="K43" s="62">
        <f t="shared" si="8"/>
        <v>1.6092523245280005E-5</v>
      </c>
      <c r="L43" s="63">
        <f t="shared" si="9"/>
        <v>8.234550341698478</v>
      </c>
      <c r="M43" s="60">
        <f t="shared" si="10"/>
        <v>0.51170038509117599</v>
      </c>
      <c r="N43" s="6">
        <f t="shared" si="0"/>
        <v>7.3737808550795479E-3</v>
      </c>
      <c r="O43" s="9"/>
      <c r="P43" s="9"/>
      <c r="Q43" s="9" t="e">
        <f>AVERAGE(#REF!)</f>
        <v>#REF!</v>
      </c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</row>
    <row r="44" spans="1:30" ht="16.5">
      <c r="A44" s="9"/>
      <c r="B44" s="9"/>
      <c r="C44" s="58"/>
      <c r="D44" s="2"/>
      <c r="E44" s="9"/>
      <c r="F44" s="2"/>
      <c r="G44" s="2"/>
      <c r="H44" s="2"/>
      <c r="I44" s="60"/>
      <c r="J44" s="61"/>
      <c r="K44" s="62"/>
      <c r="L44" s="63"/>
      <c r="M44" s="60"/>
      <c r="N44" s="6" t="e">
        <f t="shared" si="0"/>
        <v>#DIV/0!</v>
      </c>
      <c r="O44" s="9"/>
      <c r="P44" s="9"/>
      <c r="Q44" s="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6.5">
      <c r="A45" s="9"/>
      <c r="B45" s="9"/>
      <c r="C45" s="58"/>
      <c r="D45" s="2"/>
      <c r="E45" s="9"/>
      <c r="F45" s="2"/>
      <c r="G45" s="2"/>
      <c r="H45" s="2"/>
      <c r="I45" s="60"/>
      <c r="J45" s="61"/>
      <c r="K45" s="62"/>
      <c r="L45" s="63"/>
      <c r="M45" s="60"/>
      <c r="N45" s="6" t="e">
        <f t="shared" si="0"/>
        <v>#DIV/0!</v>
      </c>
      <c r="O45" s="9"/>
      <c r="P45" s="9"/>
      <c r="Q45" s="9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6.5">
      <c r="A46" s="9"/>
      <c r="B46" s="9"/>
      <c r="C46" s="58"/>
      <c r="D46" s="2"/>
      <c r="E46" s="9"/>
      <c r="F46" s="2"/>
      <c r="G46" s="2"/>
      <c r="H46" s="2"/>
      <c r="I46" s="60"/>
      <c r="J46" s="61"/>
      <c r="K46" s="62"/>
      <c r="L46" s="63"/>
      <c r="M46" s="60"/>
      <c r="N46" s="6" t="e">
        <f t="shared" si="0"/>
        <v>#DIV/0!</v>
      </c>
      <c r="O46" s="9"/>
      <c r="P46" s="9"/>
      <c r="Q46" s="9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6.5">
      <c r="A47" s="2"/>
      <c r="B47" s="2"/>
      <c r="C47" s="58"/>
      <c r="D47" s="2"/>
      <c r="E47" s="9"/>
      <c r="F47" s="2"/>
      <c r="G47" s="2"/>
      <c r="H47" s="2"/>
      <c r="I47" s="60"/>
      <c r="J47" s="61"/>
      <c r="K47" s="62"/>
      <c r="L47" s="63"/>
      <c r="M47" s="60"/>
      <c r="N47" s="6" t="e">
        <f t="shared" si="0"/>
        <v>#DIV/0!</v>
      </c>
      <c r="O47" s="9"/>
      <c r="P47" s="9"/>
      <c r="Q47" s="9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6.5">
      <c r="A48" s="9" t="s">
        <v>205</v>
      </c>
      <c r="B48" s="2" t="s">
        <v>199</v>
      </c>
      <c r="C48" s="58">
        <v>44980</v>
      </c>
      <c r="D48" s="9">
        <v>1.6004000000000001E-3</v>
      </c>
      <c r="E48" s="9">
        <v>997</v>
      </c>
      <c r="F48" s="2">
        <v>1660</v>
      </c>
      <c r="G48" s="2">
        <v>9.1999999999999993</v>
      </c>
      <c r="H48" s="2">
        <v>20</v>
      </c>
      <c r="I48" s="60">
        <f t="shared" ref="I48:I62" si="11">(F48*0.001)/G48</f>
        <v>0.18043478260869569</v>
      </c>
      <c r="J48" s="61">
        <f t="shared" ref="J48:J62" si="12">E48*D48*(I48/(K48*E48))/(0.001002)</f>
        <v>17908.406208770466</v>
      </c>
      <c r="K48" s="62">
        <f t="shared" ref="K48:K62" si="13">D48^2/4*3.1415*8</f>
        <v>1.6092523245280005E-5</v>
      </c>
      <c r="L48" s="63">
        <f t="shared" ref="L48:L62" si="14">10^6*I48/(SQRT(2*E48*(H48*6895)))</f>
        <v>10.881168876141725</v>
      </c>
      <c r="M48" s="60">
        <f t="shared" ref="M48:M62" si="15">I48/(K48*SQRT(2*E48*(H48*6895)))</f>
        <v>0.67616300503609406</v>
      </c>
      <c r="N48" s="6">
        <f t="shared" si="0"/>
        <v>4.2229788184061515E-3</v>
      </c>
      <c r="O48" s="9"/>
      <c r="P48" s="9"/>
      <c r="Q48" s="9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6.5">
      <c r="A49" s="9" t="s">
        <v>205</v>
      </c>
      <c r="B49" s="2" t="s">
        <v>199</v>
      </c>
      <c r="C49" s="58">
        <v>44980</v>
      </c>
      <c r="D49" s="9">
        <v>1.6004000000000001E-3</v>
      </c>
      <c r="E49" s="9">
        <v>997</v>
      </c>
      <c r="F49" s="2">
        <v>2629</v>
      </c>
      <c r="G49" s="2">
        <v>9.5299999999999994</v>
      </c>
      <c r="H49" s="2">
        <v>50</v>
      </c>
      <c r="I49" s="60">
        <f t="shared" si="11"/>
        <v>0.27586568730325289</v>
      </c>
      <c r="J49" s="61">
        <f t="shared" si="12"/>
        <v>27380.057857260486</v>
      </c>
      <c r="K49" s="62">
        <f t="shared" si="13"/>
        <v>1.6092523245280005E-5</v>
      </c>
      <c r="L49" s="63">
        <f t="shared" si="14"/>
        <v>10.521628681474862</v>
      </c>
      <c r="M49" s="60">
        <f t="shared" si="15"/>
        <v>0.65382094038987293</v>
      </c>
      <c r="N49" s="6">
        <f t="shared" si="0"/>
        <v>4.5165212948958151E-3</v>
      </c>
      <c r="O49" s="9"/>
      <c r="P49" s="9"/>
      <c r="Q49" s="65">
        <f>AVERAGE(M48:M51)</f>
        <v>0.66498820321575947</v>
      </c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6.5">
      <c r="A50" s="9" t="s">
        <v>205</v>
      </c>
      <c r="B50" s="2" t="s">
        <v>199</v>
      </c>
      <c r="C50" s="58">
        <v>44980</v>
      </c>
      <c r="D50" s="9">
        <v>1.6004000000000001E-3</v>
      </c>
      <c r="E50" s="9">
        <v>997</v>
      </c>
      <c r="F50" s="2">
        <v>3870</v>
      </c>
      <c r="G50" s="2">
        <v>14.95</v>
      </c>
      <c r="H50" s="2">
        <v>44</v>
      </c>
      <c r="I50" s="60">
        <f t="shared" si="11"/>
        <v>0.25886287625418064</v>
      </c>
      <c r="J50" s="61">
        <f t="shared" si="12"/>
        <v>25692.504922313885</v>
      </c>
      <c r="K50" s="62">
        <f t="shared" si="13"/>
        <v>1.6092523245280005E-5</v>
      </c>
      <c r="L50" s="63">
        <f t="shared" si="14"/>
        <v>10.524796851221803</v>
      </c>
      <c r="M50" s="60">
        <f t="shared" si="15"/>
        <v>0.65401781254588298</v>
      </c>
      <c r="N50" s="6">
        <f t="shared" si="0"/>
        <v>4.5138025816190246E-3</v>
      </c>
      <c r="O50" s="9"/>
      <c r="P50" s="9"/>
      <c r="Q50" s="9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6.5">
      <c r="A51" s="9" t="s">
        <v>205</v>
      </c>
      <c r="B51" s="2" t="s">
        <v>199</v>
      </c>
      <c r="C51" s="58">
        <v>44980</v>
      </c>
      <c r="D51" s="9">
        <v>1.6004000000000001E-3</v>
      </c>
      <c r="E51" s="9">
        <v>997</v>
      </c>
      <c r="F51" s="2">
        <v>3480</v>
      </c>
      <c r="G51" s="2">
        <v>14.38</v>
      </c>
      <c r="H51" s="2">
        <v>36</v>
      </c>
      <c r="I51" s="60">
        <f t="shared" si="11"/>
        <v>0.24200278164116829</v>
      </c>
      <c r="J51" s="61">
        <f t="shared" si="12"/>
        <v>24019.116794577269</v>
      </c>
      <c r="K51" s="62">
        <f t="shared" si="13"/>
        <v>1.6092523245280005E-5</v>
      </c>
      <c r="L51" s="63">
        <f t="shared" si="14"/>
        <v>10.877758063507988</v>
      </c>
      <c r="M51" s="60">
        <f t="shared" si="15"/>
        <v>0.67595105489118823</v>
      </c>
      <c r="N51" s="6">
        <f t="shared" si="0"/>
        <v>4.2256275347384064E-3</v>
      </c>
      <c r="O51" s="9"/>
      <c r="P51" s="9"/>
      <c r="Q51" s="9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6.5">
      <c r="A52" s="9" t="s">
        <v>205</v>
      </c>
      <c r="B52" s="2" t="s">
        <v>199</v>
      </c>
      <c r="C52" s="58">
        <v>44995</v>
      </c>
      <c r="D52" s="9">
        <v>1.6004000000000001E-3</v>
      </c>
      <c r="E52" s="9">
        <v>997</v>
      </c>
      <c r="F52" s="2">
        <v>1790</v>
      </c>
      <c r="G52" s="2">
        <v>10.28</v>
      </c>
      <c r="H52" s="2">
        <v>17</v>
      </c>
      <c r="I52" s="60">
        <f t="shared" si="11"/>
        <v>0.17412451361867706</v>
      </c>
      <c r="J52" s="61">
        <f t="shared" si="12"/>
        <v>17282.103127257982</v>
      </c>
      <c r="K52" s="62">
        <f t="shared" si="13"/>
        <v>1.6092523245280005E-5</v>
      </c>
      <c r="L52" s="63">
        <f t="shared" si="14"/>
        <v>11.389528440163213</v>
      </c>
      <c r="M52" s="60">
        <f t="shared" si="15"/>
        <v>0.7077528033712055</v>
      </c>
      <c r="N52" s="6">
        <f t="shared" si="0"/>
        <v>3.8544153974694908E-3</v>
      </c>
      <c r="O52" s="9"/>
      <c r="P52" s="9"/>
      <c r="Q52" s="9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6.5">
      <c r="A53" s="9" t="s">
        <v>205</v>
      </c>
      <c r="B53" s="2" t="s">
        <v>199</v>
      </c>
      <c r="C53" s="58">
        <v>44995</v>
      </c>
      <c r="D53" s="9">
        <v>1.6004000000000001E-3</v>
      </c>
      <c r="E53" s="9">
        <v>997</v>
      </c>
      <c r="F53" s="2">
        <v>2025</v>
      </c>
      <c r="G53" s="2">
        <v>10.71</v>
      </c>
      <c r="H53" s="2">
        <v>19</v>
      </c>
      <c r="I53" s="60">
        <f t="shared" si="11"/>
        <v>0.18907563025210081</v>
      </c>
      <c r="J53" s="61">
        <f t="shared" si="12"/>
        <v>18766.022502862637</v>
      </c>
      <c r="K53" s="62">
        <f t="shared" si="13"/>
        <v>1.6092523245280005E-5</v>
      </c>
      <c r="L53" s="63">
        <f t="shared" si="14"/>
        <v>11.698469416052237</v>
      </c>
      <c r="M53" s="60">
        <f t="shared" si="15"/>
        <v>0.72695059921590854</v>
      </c>
      <c r="N53" s="6">
        <f t="shared" si="0"/>
        <v>3.653523594241976E-3</v>
      </c>
      <c r="O53" s="9"/>
      <c r="P53" s="9"/>
      <c r="Q53" s="9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6.5">
      <c r="A54" s="9" t="s">
        <v>205</v>
      </c>
      <c r="B54" s="2" t="s">
        <v>199</v>
      </c>
      <c r="C54" s="58">
        <v>44995</v>
      </c>
      <c r="D54" s="9">
        <v>1.6004000000000001E-3</v>
      </c>
      <c r="E54" s="9">
        <v>997</v>
      </c>
      <c r="F54" s="2">
        <v>2800</v>
      </c>
      <c r="G54" s="2">
        <v>11.18</v>
      </c>
      <c r="H54" s="2">
        <v>35</v>
      </c>
      <c r="I54" s="60">
        <f t="shared" si="11"/>
        <v>0.25044722719141327</v>
      </c>
      <c r="J54" s="61">
        <f t="shared" si="12"/>
        <v>24857.239904408001</v>
      </c>
      <c r="K54" s="62">
        <f t="shared" si="13"/>
        <v>1.6092523245280005E-5</v>
      </c>
      <c r="L54" s="63">
        <f t="shared" si="14"/>
        <v>11.4170129423755</v>
      </c>
      <c r="M54" s="60">
        <f t="shared" si="15"/>
        <v>0.70946070845192977</v>
      </c>
      <c r="N54" s="6">
        <f t="shared" si="0"/>
        <v>3.8358800455624998E-3</v>
      </c>
      <c r="O54" s="9"/>
      <c r="P54" s="9"/>
      <c r="Q54" s="9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6.5">
      <c r="A55" s="9" t="s">
        <v>205</v>
      </c>
      <c r="B55" s="2" t="s">
        <v>199</v>
      </c>
      <c r="C55" s="58">
        <v>44995</v>
      </c>
      <c r="D55" s="9">
        <v>1.6004000000000001E-3</v>
      </c>
      <c r="E55" s="9">
        <v>997</v>
      </c>
      <c r="F55" s="2">
        <v>3260</v>
      </c>
      <c r="G55" s="2">
        <v>12.16</v>
      </c>
      <c r="H55" s="2">
        <v>42</v>
      </c>
      <c r="I55" s="60">
        <f t="shared" si="11"/>
        <v>0.26809210526315791</v>
      </c>
      <c r="J55" s="61">
        <f t="shared" si="12"/>
        <v>26608.518895323581</v>
      </c>
      <c r="K55" s="62">
        <f t="shared" si="13"/>
        <v>1.6092523245280005E-5</v>
      </c>
      <c r="L55" s="63">
        <f t="shared" si="14"/>
        <v>11.15654361749495</v>
      </c>
      <c r="M55" s="60">
        <f t="shared" si="15"/>
        <v>0.69327497294541462</v>
      </c>
      <c r="N55" s="6">
        <f t="shared" si="0"/>
        <v>4.0170817406270463E-3</v>
      </c>
      <c r="O55" s="9"/>
      <c r="P55" s="9"/>
      <c r="Q55" s="9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6.5">
      <c r="A56" s="9" t="s">
        <v>205</v>
      </c>
      <c r="B56" s="2" t="s">
        <v>199</v>
      </c>
      <c r="C56" s="58">
        <v>44995</v>
      </c>
      <c r="D56" s="9">
        <v>1.6004000000000001E-3</v>
      </c>
      <c r="E56" s="9">
        <v>997</v>
      </c>
      <c r="F56" s="2">
        <v>5340</v>
      </c>
      <c r="G56" s="2">
        <v>21.61</v>
      </c>
      <c r="H56" s="2">
        <v>36</v>
      </c>
      <c r="I56" s="60">
        <f t="shared" si="11"/>
        <v>0.24710782045349375</v>
      </c>
      <c r="J56" s="61">
        <f t="shared" si="12"/>
        <v>24525.799084105285</v>
      </c>
      <c r="K56" s="62">
        <f t="shared" si="13"/>
        <v>1.6092523245280005E-5</v>
      </c>
      <c r="L56" s="63">
        <f t="shared" si="14"/>
        <v>11.107223926374118</v>
      </c>
      <c r="M56" s="60">
        <f t="shared" si="15"/>
        <v>0.69021021483575662</v>
      </c>
      <c r="N56" s="6">
        <f t="shared" si="0"/>
        <v>4.0528352454380764E-3</v>
      </c>
      <c r="O56" s="9"/>
      <c r="P56" s="9"/>
      <c r="Q56" s="9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6.5">
      <c r="A57" s="9" t="s">
        <v>205</v>
      </c>
      <c r="B57" s="2" t="s">
        <v>199</v>
      </c>
      <c r="C57" s="58">
        <v>44995</v>
      </c>
      <c r="D57" s="9">
        <v>1.6004000000000001E-3</v>
      </c>
      <c r="E57" s="9">
        <v>997</v>
      </c>
      <c r="F57" s="2">
        <v>5760</v>
      </c>
      <c r="G57" s="2">
        <v>18.16</v>
      </c>
      <c r="H57" s="2">
        <v>63</v>
      </c>
      <c r="I57" s="60">
        <f t="shared" si="11"/>
        <v>0.31718061674008807</v>
      </c>
      <c r="J57" s="61">
        <f t="shared" si="12"/>
        <v>31480.622771321992</v>
      </c>
      <c r="K57" s="62">
        <f t="shared" si="13"/>
        <v>1.6092523245280005E-5</v>
      </c>
      <c r="L57" s="63">
        <f t="shared" si="14"/>
        <v>10.777217614763673</v>
      </c>
      <c r="M57" s="60">
        <f t="shared" si="15"/>
        <v>0.66970340514652793</v>
      </c>
      <c r="N57" s="6">
        <f t="shared" si="0"/>
        <v>4.3048368809809031E-3</v>
      </c>
      <c r="O57" s="9"/>
      <c r="P57" s="9"/>
      <c r="Q57" s="9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6.5">
      <c r="A58" s="9" t="s">
        <v>205</v>
      </c>
      <c r="B58" s="2" t="s">
        <v>199</v>
      </c>
      <c r="C58" s="58">
        <v>44995</v>
      </c>
      <c r="D58" s="9">
        <v>1.6004000000000001E-3</v>
      </c>
      <c r="E58" s="9">
        <v>997</v>
      </c>
      <c r="F58" s="2">
        <v>5980</v>
      </c>
      <c r="G58" s="2">
        <v>18.96</v>
      </c>
      <c r="H58" s="2">
        <v>63</v>
      </c>
      <c r="I58" s="60">
        <f t="shared" si="11"/>
        <v>0.31540084388185657</v>
      </c>
      <c r="J58" s="61">
        <f t="shared" si="12"/>
        <v>31303.977809393135</v>
      </c>
      <c r="K58" s="62">
        <f t="shared" si="13"/>
        <v>1.6092523245280005E-5</v>
      </c>
      <c r="L58" s="63">
        <f t="shared" si="14"/>
        <v>10.716744186106055</v>
      </c>
      <c r="M58" s="60">
        <f t="shared" si="15"/>
        <v>0.66594554643562909</v>
      </c>
      <c r="N58" s="6">
        <f t="shared" si="0"/>
        <v>4.3535574146696329E-3</v>
      </c>
      <c r="O58" s="9"/>
      <c r="P58" s="9"/>
      <c r="Q58" s="9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6.5">
      <c r="A59" s="9" t="s">
        <v>205</v>
      </c>
      <c r="B59" s="2" t="s">
        <v>199</v>
      </c>
      <c r="C59" s="58">
        <v>44995</v>
      </c>
      <c r="D59" s="9">
        <v>1.6004000000000001E-3</v>
      </c>
      <c r="E59" s="9">
        <v>997</v>
      </c>
      <c r="F59" s="2">
        <v>5800</v>
      </c>
      <c r="G59" s="2">
        <v>16.43</v>
      </c>
      <c r="H59" s="2">
        <v>89</v>
      </c>
      <c r="I59" s="60">
        <f t="shared" si="11"/>
        <v>0.35301278149726112</v>
      </c>
      <c r="J59" s="61">
        <f t="shared" si="12"/>
        <v>35037.015571720542</v>
      </c>
      <c r="K59" s="62">
        <f t="shared" si="13"/>
        <v>1.6092523245280005E-5</v>
      </c>
      <c r="L59" s="63">
        <f t="shared" si="14"/>
        <v>10.091732136120097</v>
      </c>
      <c r="M59" s="60">
        <f t="shared" si="15"/>
        <v>0.62710688574459794</v>
      </c>
      <c r="N59" s="6">
        <f t="shared" si="0"/>
        <v>4.9095148185693063E-3</v>
      </c>
      <c r="O59" s="9"/>
      <c r="P59" s="9"/>
      <c r="Q59" s="9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6.5">
      <c r="A60" s="9" t="s">
        <v>205</v>
      </c>
      <c r="B60" s="2" t="s">
        <v>199</v>
      </c>
      <c r="C60" s="58">
        <v>44995</v>
      </c>
      <c r="D60" s="9">
        <v>1.6004000000000001E-3</v>
      </c>
      <c r="E60" s="9">
        <v>997</v>
      </c>
      <c r="F60" s="2">
        <v>5385</v>
      </c>
      <c r="G60" s="2">
        <v>15.67</v>
      </c>
      <c r="H60" s="2">
        <v>79</v>
      </c>
      <c r="I60" s="60">
        <f t="shared" si="11"/>
        <v>0.34365028717294194</v>
      </c>
      <c r="J60" s="61">
        <f t="shared" si="12"/>
        <v>34107.774828538386</v>
      </c>
      <c r="K60" s="62">
        <f t="shared" si="13"/>
        <v>1.6092523245280005E-5</v>
      </c>
      <c r="L60" s="63">
        <f t="shared" si="14"/>
        <v>10.427338046621001</v>
      </c>
      <c r="M60" s="60">
        <f t="shared" si="15"/>
        <v>0.64796165819921236</v>
      </c>
      <c r="N60" s="6">
        <f t="shared" si="0"/>
        <v>4.5985731345203531E-3</v>
      </c>
      <c r="O60" s="9"/>
      <c r="P60" s="9"/>
      <c r="Q60" s="9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6.5">
      <c r="A61" s="9" t="s">
        <v>205</v>
      </c>
      <c r="B61" s="2" t="s">
        <v>199</v>
      </c>
      <c r="C61" s="58">
        <v>44995</v>
      </c>
      <c r="D61" s="9">
        <v>1.6004000000000001E-3</v>
      </c>
      <c r="E61" s="9">
        <v>997</v>
      </c>
      <c r="F61" s="2">
        <v>5420</v>
      </c>
      <c r="G61" s="2">
        <v>15.48</v>
      </c>
      <c r="H61" s="2">
        <v>81</v>
      </c>
      <c r="I61" s="60">
        <f t="shared" si="11"/>
        <v>0.35012919896640826</v>
      </c>
      <c r="J61" s="61">
        <f t="shared" si="12"/>
        <v>34750.815945725939</v>
      </c>
      <c r="K61" s="62">
        <f t="shared" si="13"/>
        <v>1.6092523245280005E-5</v>
      </c>
      <c r="L61" s="63">
        <f t="shared" si="14"/>
        <v>10.491947493324561</v>
      </c>
      <c r="M61" s="60">
        <f t="shared" si="15"/>
        <v>0.65197653179726722</v>
      </c>
      <c r="N61" s="6">
        <f t="shared" si="0"/>
        <v>4.5421114604667695E-3</v>
      </c>
      <c r="O61" s="9"/>
      <c r="P61" s="9"/>
      <c r="Q61" s="9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6.5">
      <c r="A62" s="9" t="s">
        <v>205</v>
      </c>
      <c r="B62" s="2" t="s">
        <v>199</v>
      </c>
      <c r="C62" s="58">
        <v>44995</v>
      </c>
      <c r="D62" s="9">
        <v>1.6004000000000001E-3</v>
      </c>
      <c r="E62" s="9">
        <v>997</v>
      </c>
      <c r="F62" s="2">
        <v>5425</v>
      </c>
      <c r="G62" s="2">
        <v>15.04</v>
      </c>
      <c r="H62" s="2">
        <v>87</v>
      </c>
      <c r="I62" s="60">
        <f t="shared" si="11"/>
        <v>0.36070478723404253</v>
      </c>
      <c r="J62" s="61">
        <f t="shared" si="12"/>
        <v>35800.457970701973</v>
      </c>
      <c r="K62" s="62">
        <f t="shared" si="13"/>
        <v>1.6092523245280005E-5</v>
      </c>
      <c r="L62" s="63">
        <f t="shared" si="14"/>
        <v>10.429477888880339</v>
      </c>
      <c r="M62" s="60">
        <f t="shared" si="15"/>
        <v>0.64809462940743867</v>
      </c>
      <c r="N62" s="6">
        <f t="shared" si="0"/>
        <v>4.5966863264252115E-3</v>
      </c>
      <c r="O62" s="9"/>
      <c r="P62" s="9"/>
      <c r="Q62" s="9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2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6" t="e">
        <f t="shared" si="0"/>
        <v>#DIV/0!</v>
      </c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2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6" t="e">
        <f t="shared" si="0"/>
        <v>#DIV/0!</v>
      </c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2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6" t="e">
        <f t="shared" si="0"/>
        <v>#DIV/0!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2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6" t="e">
        <f t="shared" si="0"/>
        <v>#DIV/0!</v>
      </c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2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6" t="e">
        <f t="shared" si="0"/>
        <v>#DIV/0!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6.5">
      <c r="A68" s="2"/>
      <c r="B68" s="2" t="s">
        <v>217</v>
      </c>
      <c r="C68" s="70">
        <v>44960</v>
      </c>
      <c r="D68" s="9">
        <v>1.6256E-3</v>
      </c>
      <c r="E68" s="2">
        <v>997</v>
      </c>
      <c r="F68" s="2">
        <f>2070-775</f>
        <v>1295</v>
      </c>
      <c r="G68" s="2">
        <v>2.76</v>
      </c>
      <c r="H68" s="2">
        <f t="shared" ref="H68:H69" si="16">(R68-S68)/(LN(R68/S68))</f>
        <v>75.466300587617368</v>
      </c>
      <c r="I68" s="60">
        <f t="shared" ref="I68:I77" si="17">(F68*0.001)/G68</f>
        <v>0.46920289855072467</v>
      </c>
      <c r="J68" s="2"/>
      <c r="K68" s="62">
        <f t="shared" ref="K68:K77" si="18">D68^2/4*3.1415*8</f>
        <v>1.6603300986880002E-5</v>
      </c>
      <c r="L68" s="63">
        <f t="shared" ref="L68:L71" si="19">I68/(SQRT(2*E68*(H68*6895)))</f>
        <v>1.456647418676556E-5</v>
      </c>
      <c r="M68" s="60">
        <f t="shared" ref="M68:M77" si="20">I68/(K68*SQRT(2*E68*(H68*6895)))</f>
        <v>0.87732398504827735</v>
      </c>
      <c r="N68" s="6">
        <f t="shared" si="0"/>
        <v>2356465670.2741637</v>
      </c>
      <c r="O68" s="2"/>
      <c r="P68" s="2"/>
      <c r="Q68" s="2"/>
      <c r="R68" s="2">
        <v>87</v>
      </c>
      <c r="S68" s="2">
        <v>65</v>
      </c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6.5">
      <c r="A69" s="2"/>
      <c r="B69" s="2"/>
      <c r="C69" s="70">
        <v>44960</v>
      </c>
      <c r="D69" s="9">
        <v>1.6256E-3</v>
      </c>
      <c r="E69" s="2">
        <v>997</v>
      </c>
      <c r="F69" s="2">
        <f>1875-780</f>
        <v>1095</v>
      </c>
      <c r="G69" s="2">
        <v>3.16</v>
      </c>
      <c r="H69" s="2">
        <f t="shared" si="16"/>
        <v>48.443932911032917</v>
      </c>
      <c r="I69" s="60">
        <f t="shared" si="17"/>
        <v>0.34651898734177211</v>
      </c>
      <c r="J69" s="2"/>
      <c r="K69" s="62">
        <f t="shared" si="18"/>
        <v>1.6603300986880002E-5</v>
      </c>
      <c r="L69" s="63">
        <f t="shared" si="19"/>
        <v>1.3426957903442658E-5</v>
      </c>
      <c r="M69" s="60">
        <f t="shared" si="20"/>
        <v>0.80869207358540907</v>
      </c>
      <c r="N69" s="6">
        <f t="shared" si="0"/>
        <v>2773414295.1029668</v>
      </c>
      <c r="O69" s="2"/>
      <c r="P69" s="2"/>
      <c r="Q69" s="2"/>
      <c r="R69" s="2">
        <v>58</v>
      </c>
      <c r="S69" s="2">
        <v>40</v>
      </c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6.5">
      <c r="A70" s="2"/>
      <c r="B70" s="2"/>
      <c r="C70" s="70">
        <v>44960</v>
      </c>
      <c r="D70" s="9">
        <v>1.6256E-3</v>
      </c>
      <c r="E70" s="2">
        <v>997</v>
      </c>
      <c r="F70" s="2">
        <f>1770-780</f>
        <v>990</v>
      </c>
      <c r="G70" s="2">
        <v>3.16</v>
      </c>
      <c r="H70" s="2">
        <f>(R69-S70)/(LN(R69/S70))</f>
        <v>41.195295201651199</v>
      </c>
      <c r="I70" s="60">
        <f t="shared" si="17"/>
        <v>0.31329113924050633</v>
      </c>
      <c r="J70" s="2"/>
      <c r="K70" s="62">
        <f t="shared" si="18"/>
        <v>1.6603300986880002E-5</v>
      </c>
      <c r="L70" s="63">
        <f t="shared" si="19"/>
        <v>1.3164203585548506E-5</v>
      </c>
      <c r="M70" s="60">
        <f t="shared" si="20"/>
        <v>0.79286664717762545</v>
      </c>
      <c r="N70" s="6">
        <f t="shared" si="0"/>
        <v>2885232557.3582454</v>
      </c>
      <c r="O70" s="2"/>
      <c r="P70" s="2"/>
      <c r="Q70" s="2"/>
      <c r="R70" s="2">
        <v>40</v>
      </c>
      <c r="S70" s="2">
        <v>28</v>
      </c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6.5">
      <c r="A71" s="2"/>
      <c r="B71" s="2"/>
      <c r="C71" s="70">
        <v>44960</v>
      </c>
      <c r="D71" s="9">
        <v>1.6256E-3</v>
      </c>
      <c r="E71" s="2">
        <v>997</v>
      </c>
      <c r="F71" s="2">
        <f>3350-785</f>
        <v>2565</v>
      </c>
      <c r="G71" s="2">
        <v>7</v>
      </c>
      <c r="H71" s="2">
        <f t="shared" ref="H71:H77" si="21">(R71-S71)/(LN(R71/S71))</f>
        <v>56.087531407936055</v>
      </c>
      <c r="I71" s="60">
        <f t="shared" si="17"/>
        <v>0.36642857142857144</v>
      </c>
      <c r="J71" s="2"/>
      <c r="K71" s="62">
        <f t="shared" si="18"/>
        <v>1.6603300986880002E-5</v>
      </c>
      <c r="L71" s="63">
        <f t="shared" si="19"/>
        <v>1.3195518330368843E-5</v>
      </c>
      <c r="M71" s="60">
        <f t="shared" si="20"/>
        <v>0.79475270253764574</v>
      </c>
      <c r="N71" s="6">
        <f t="shared" si="0"/>
        <v>2871554714.2796831</v>
      </c>
      <c r="O71" s="2"/>
      <c r="P71" s="2"/>
      <c r="Q71" s="2"/>
      <c r="R71" s="2">
        <v>76</v>
      </c>
      <c r="S71" s="2">
        <v>40</v>
      </c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6.5">
      <c r="A72" s="9"/>
      <c r="B72" s="9" t="s">
        <v>218</v>
      </c>
      <c r="C72" s="68">
        <v>45339</v>
      </c>
      <c r="D72" s="2">
        <v>1.5621000000000001E-3</v>
      </c>
      <c r="E72" s="9">
        <v>997</v>
      </c>
      <c r="F72" s="2">
        <f>1545-800</f>
        <v>745</v>
      </c>
      <c r="G72" s="2">
        <v>3.32</v>
      </c>
      <c r="H72" s="2">
        <f t="shared" si="21"/>
        <v>75.841841973991421</v>
      </c>
      <c r="I72" s="60">
        <f t="shared" si="17"/>
        <v>0.2243975903614458</v>
      </c>
      <c r="J72" s="61">
        <f t="shared" ref="J72:J77" si="22">E72*D72*(I72/(K72*E72))/(0.001002)</f>
        <v>22817.842358710444</v>
      </c>
      <c r="K72" s="62">
        <f t="shared" si="18"/>
        <v>1.5331502724030003E-5</v>
      </c>
      <c r="L72" s="63">
        <f t="shared" ref="L72:L77" si="23">I72/(SQRT(2*E72*(H72*6895)))</f>
        <v>6.9491876747660603E-6</v>
      </c>
      <c r="M72" s="60">
        <f t="shared" si="20"/>
        <v>0.45326200567894576</v>
      </c>
      <c r="N72" s="6">
        <f t="shared" si="0"/>
        <v>10353851287.690821</v>
      </c>
      <c r="O72" s="2"/>
      <c r="P72" s="2"/>
      <c r="Q72" s="2"/>
      <c r="R72" s="2">
        <v>82</v>
      </c>
      <c r="S72" s="2">
        <v>70</v>
      </c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6.5">
      <c r="A73" s="9"/>
      <c r="B73" s="72" t="s">
        <v>218</v>
      </c>
      <c r="C73" s="68">
        <v>45339</v>
      </c>
      <c r="D73" s="2">
        <v>1.5621000000000001E-3</v>
      </c>
      <c r="E73" s="9">
        <v>997</v>
      </c>
      <c r="F73" s="2">
        <f>2035-785</f>
        <v>1250</v>
      </c>
      <c r="G73" s="2">
        <v>5.25</v>
      </c>
      <c r="H73" s="2">
        <f t="shared" si="21"/>
        <v>75.559360022049646</v>
      </c>
      <c r="I73" s="60">
        <f t="shared" si="17"/>
        <v>0.23809523809523808</v>
      </c>
      <c r="J73" s="61">
        <f t="shared" si="22"/>
        <v>24210.686043757963</v>
      </c>
      <c r="K73" s="62">
        <f t="shared" si="18"/>
        <v>1.5331502724030003E-5</v>
      </c>
      <c r="L73" s="63">
        <f t="shared" si="23"/>
        <v>7.3871490516186645E-6</v>
      </c>
      <c r="M73" s="60">
        <f t="shared" si="20"/>
        <v>0.48182811460746988</v>
      </c>
      <c r="N73" s="6">
        <f t="shared" si="0"/>
        <v>9162548372.7031822</v>
      </c>
      <c r="O73" s="2"/>
      <c r="P73" s="2"/>
      <c r="Q73" s="2"/>
      <c r="R73" s="2">
        <v>86</v>
      </c>
      <c r="S73" s="2">
        <v>66</v>
      </c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6.5">
      <c r="A74" s="9"/>
      <c r="B74" s="72" t="s">
        <v>218</v>
      </c>
      <c r="C74" s="68">
        <v>45339</v>
      </c>
      <c r="D74" s="2">
        <v>1.5621000000000001E-3</v>
      </c>
      <c r="E74" s="9">
        <v>997</v>
      </c>
      <c r="F74" s="2">
        <f>1870-800</f>
        <v>1070</v>
      </c>
      <c r="G74" s="2">
        <v>4.8099999999999996</v>
      </c>
      <c r="H74" s="2">
        <f t="shared" si="21"/>
        <v>59.440268239769239</v>
      </c>
      <c r="I74" s="60">
        <f t="shared" si="17"/>
        <v>0.22245322245322249</v>
      </c>
      <c r="J74" s="61">
        <f t="shared" si="22"/>
        <v>22620.129538596324</v>
      </c>
      <c r="K74" s="62">
        <f t="shared" si="18"/>
        <v>1.5331502724030003E-5</v>
      </c>
      <c r="L74" s="63">
        <f t="shared" si="23"/>
        <v>7.7815947301622893E-6</v>
      </c>
      <c r="M74" s="60">
        <f t="shared" si="20"/>
        <v>0.50755590435148401</v>
      </c>
      <c r="N74" s="6">
        <f t="shared" si="0"/>
        <v>8257199675.4729156</v>
      </c>
      <c r="O74" s="2"/>
      <c r="P74" s="2"/>
      <c r="Q74" s="2"/>
      <c r="R74" s="2">
        <v>70</v>
      </c>
      <c r="S74" s="2">
        <v>50</v>
      </c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6.5">
      <c r="A75" s="9"/>
      <c r="B75" s="72" t="s">
        <v>218</v>
      </c>
      <c r="C75" s="68">
        <v>45339</v>
      </c>
      <c r="D75" s="2">
        <v>1.5621000000000001E-3</v>
      </c>
      <c r="E75" s="9">
        <v>997</v>
      </c>
      <c r="F75" s="2">
        <f>1845-805</f>
        <v>1040</v>
      </c>
      <c r="G75" s="2">
        <v>4.6500000000000004</v>
      </c>
      <c r="H75" s="2">
        <f t="shared" si="21"/>
        <v>58.539498110814144</v>
      </c>
      <c r="I75" s="60">
        <f t="shared" si="17"/>
        <v>0.2236559139784946</v>
      </c>
      <c r="J75" s="61">
        <f t="shared" si="22"/>
        <v>22742.425083684899</v>
      </c>
      <c r="K75" s="62">
        <f t="shared" si="18"/>
        <v>1.5331502724030003E-5</v>
      </c>
      <c r="L75" s="63">
        <f t="shared" si="23"/>
        <v>7.8836289716058119E-6</v>
      </c>
      <c r="M75" s="60">
        <f t="shared" si="20"/>
        <v>0.51421110595045039</v>
      </c>
      <c r="N75" s="6">
        <f t="shared" si="0"/>
        <v>8044844439.1788607</v>
      </c>
      <c r="O75" s="2"/>
      <c r="P75" s="2"/>
      <c r="Q75" s="2"/>
      <c r="R75" s="2">
        <v>68</v>
      </c>
      <c r="S75" s="2">
        <v>50</v>
      </c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6.5">
      <c r="A76" s="9"/>
      <c r="B76" s="72" t="s">
        <v>218</v>
      </c>
      <c r="C76" s="68">
        <v>45339</v>
      </c>
      <c r="D76" s="2">
        <v>1.5621000000000001E-3</v>
      </c>
      <c r="E76" s="9">
        <v>997</v>
      </c>
      <c r="F76" s="2">
        <f>1825-785</f>
        <v>1040</v>
      </c>
      <c r="G76" s="2">
        <v>4.09</v>
      </c>
      <c r="H76" s="2">
        <f t="shared" si="21"/>
        <v>77.380682393957301</v>
      </c>
      <c r="I76" s="60">
        <f t="shared" si="17"/>
        <v>0.25427872860635697</v>
      </c>
      <c r="J76" s="61">
        <f t="shared" si="22"/>
        <v>25856.302356756671</v>
      </c>
      <c r="K76" s="62">
        <f t="shared" si="18"/>
        <v>1.5331502724030003E-5</v>
      </c>
      <c r="L76" s="63">
        <f t="shared" si="23"/>
        <v>7.7958601804391901E-6</v>
      </c>
      <c r="M76" s="60">
        <f t="shared" si="20"/>
        <v>0.50848637089045823</v>
      </c>
      <c r="N76" s="6">
        <f t="shared" si="0"/>
        <v>8227008036.388586</v>
      </c>
      <c r="O76" s="2"/>
      <c r="P76" s="2"/>
      <c r="Q76" s="2"/>
      <c r="R76" s="2">
        <v>90</v>
      </c>
      <c r="S76" s="2">
        <v>66</v>
      </c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6.5">
      <c r="A77" s="9"/>
      <c r="B77" s="72" t="s">
        <v>218</v>
      </c>
      <c r="C77" s="68">
        <v>45339</v>
      </c>
      <c r="D77" s="2">
        <v>1.5621000000000001E-3</v>
      </c>
      <c r="E77" s="9">
        <v>997</v>
      </c>
      <c r="F77" s="2">
        <f>1870-790</f>
        <v>1080</v>
      </c>
      <c r="G77" s="2">
        <v>4.07</v>
      </c>
      <c r="H77" s="2">
        <f t="shared" si="21"/>
        <v>92.824106636844263</v>
      </c>
      <c r="I77" s="60">
        <f t="shared" si="17"/>
        <v>0.26535626535626533</v>
      </c>
      <c r="J77" s="61">
        <f t="shared" si="22"/>
        <v>26982.720367195605</v>
      </c>
      <c r="K77" s="62">
        <f t="shared" si="18"/>
        <v>1.5331502724030003E-5</v>
      </c>
      <c r="L77" s="63">
        <f t="shared" si="23"/>
        <v>7.4279546734063065E-6</v>
      </c>
      <c r="M77" s="60">
        <f t="shared" si="20"/>
        <v>0.48448966856745346</v>
      </c>
      <c r="N77" s="6">
        <f t="shared" si="0"/>
        <v>9062155591.2181835</v>
      </c>
      <c r="O77" s="2"/>
      <c r="P77" s="2"/>
      <c r="Q77" s="2"/>
      <c r="R77" s="2">
        <v>100</v>
      </c>
      <c r="S77" s="2">
        <v>86</v>
      </c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2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73">
        <f>(AVERAGE(L72:L77))</f>
        <v>7.5375625469997207E-6</v>
      </c>
      <c r="M78" s="2"/>
      <c r="N78" s="6">
        <f t="shared" si="0"/>
        <v>8800516193.9357243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2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6" t="e">
        <f t="shared" si="0"/>
        <v>#DIV/0!</v>
      </c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2.3">
      <c r="A80" s="2"/>
      <c r="B80" s="2"/>
      <c r="C80" s="2"/>
      <c r="D80" s="2"/>
      <c r="E80" s="2"/>
      <c r="F80" s="2"/>
      <c r="G80" s="2"/>
      <c r="H80" s="2"/>
      <c r="I80" s="2"/>
      <c r="J80" s="2" t="s">
        <v>221</v>
      </c>
      <c r="K80" s="2" t="s">
        <v>222</v>
      </c>
      <c r="L80" s="2" t="s">
        <v>223</v>
      </c>
      <c r="M80" s="2"/>
      <c r="N80" s="6" t="e">
        <f t="shared" si="0"/>
        <v>#VALUE!</v>
      </c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2.3">
      <c r="A81" s="2"/>
      <c r="B81" s="2"/>
      <c r="C81" s="2"/>
      <c r="D81" s="2"/>
      <c r="E81" s="2"/>
      <c r="F81" s="2"/>
      <c r="G81" s="2"/>
      <c r="H81" s="2"/>
      <c r="I81" s="2"/>
      <c r="J81" s="2">
        <v>0.1</v>
      </c>
      <c r="K81" s="2"/>
      <c r="L81" s="2"/>
      <c r="M81" s="2"/>
      <c r="N81" s="6" t="e">
        <f t="shared" si="0"/>
        <v>#DIV/0!</v>
      </c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2.3">
      <c r="A82" s="2"/>
      <c r="B82" s="2"/>
      <c r="C82" s="2"/>
      <c r="D82" s="2"/>
      <c r="E82" s="2"/>
      <c r="F82" s="2"/>
      <c r="G82" s="2"/>
      <c r="H82" s="2"/>
      <c r="I82" s="2"/>
      <c r="J82" s="2">
        <f>J81+0.05</f>
        <v>0.15000000000000002</v>
      </c>
      <c r="K82" s="2"/>
      <c r="L82" s="2"/>
      <c r="M82" s="2"/>
      <c r="N82" s="6" t="e">
        <f t="shared" si="0"/>
        <v>#DIV/0!</v>
      </c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2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6" t="e">
        <f t="shared" si="0"/>
        <v>#DIV/0!</v>
      </c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2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2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2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2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2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2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2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2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2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2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2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2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2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2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2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2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2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2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6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2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6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2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6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2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6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2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6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2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6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2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2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6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2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2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6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2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6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2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6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2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6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2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6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2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6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2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6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2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6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2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6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2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6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2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6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2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6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2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6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2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6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2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6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2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6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2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6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2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6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2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6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2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6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2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6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2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6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2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6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2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6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2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6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2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6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2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6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2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6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2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6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2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6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2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6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2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6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2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6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2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6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2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6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2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6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2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6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2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6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2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6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2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6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2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6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2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6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2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6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2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6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2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6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2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6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2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6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2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6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2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6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2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6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2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6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2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6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2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6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2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6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2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6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2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6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2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6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2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6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2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6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2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6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2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6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2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6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2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6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2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6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2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6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2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6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2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6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2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6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2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6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2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6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2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6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2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6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2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6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2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6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2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6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2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6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2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6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2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6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2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6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2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6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2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6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2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6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2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6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2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6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2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6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2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6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2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6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2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6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2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6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2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6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2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6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2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6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2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6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2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6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2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6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2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6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2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6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2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6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2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6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2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6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2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6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2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6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2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6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2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6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2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6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2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6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2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6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2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6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2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6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2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6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2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6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2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6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2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6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2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6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2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6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2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6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2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6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2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6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2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6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2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6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2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6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2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6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2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6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2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6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2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6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2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6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2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6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2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6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2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6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2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6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2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6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2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6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2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6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2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6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2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6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2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6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2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6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2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6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2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6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2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6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2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6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2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6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2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6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2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6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2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6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2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6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2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6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2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6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2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6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2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6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2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6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2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6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2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6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2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6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2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6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2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6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2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6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2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6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2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6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2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6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2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6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2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6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2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6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2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6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2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6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2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6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2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6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2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6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2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6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2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6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2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6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2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6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2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6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2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6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2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6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2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6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2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6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2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6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2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6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2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6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2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6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2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6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2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6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2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6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2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6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2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6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2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6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2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6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2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6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2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6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2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6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2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6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2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6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2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6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2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6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2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6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2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6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2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6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2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6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2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6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2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6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2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6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2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6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2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6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2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6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2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6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2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6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2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6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2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6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2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6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2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6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2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6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2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6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2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6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2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6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2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6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2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6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2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6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2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6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2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6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2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6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2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6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2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6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2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6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2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6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2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6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2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6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2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6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2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6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2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6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2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6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2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6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2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6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2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6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2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6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2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6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2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6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2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6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2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6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2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6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2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6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2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6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2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6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2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6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2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6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2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6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2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6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2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6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2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6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2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6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2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6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2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6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2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6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2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6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2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6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2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6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2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6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2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6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2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6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2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6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2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6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2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6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2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6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2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6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2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6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2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6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2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6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2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6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2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6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2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6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2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6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2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6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2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6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2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6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2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6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2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6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2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6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2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6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2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6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2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6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2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6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2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6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2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6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2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6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2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6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2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6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2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6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2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6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2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6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2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6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2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6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2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6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2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6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2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6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2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6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2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6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2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6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2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6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2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6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2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6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2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6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2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6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2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6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2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6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2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6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2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6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2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6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2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6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2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6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2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6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2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6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2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6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2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6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2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6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2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6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2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6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2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6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2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6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2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6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2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6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2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6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2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6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2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6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2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6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2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6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2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6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2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6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2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6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2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6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2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6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2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6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2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6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2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6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2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6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2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6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2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6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2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6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2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6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2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6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2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6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2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6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2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6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2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6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2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6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2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6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2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6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2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6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2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6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2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6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2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6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2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6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2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6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2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6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2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6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2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6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2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6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2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6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2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6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2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6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2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6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2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6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2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6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2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6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2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6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2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6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2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6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2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6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2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6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2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6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2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6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2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6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2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6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2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6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2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6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2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6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2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6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2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6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2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6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2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6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2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6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2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6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2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6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2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6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2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6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2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6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2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6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2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6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2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6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2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6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2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6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2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6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2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6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2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6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2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6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2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6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2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6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2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6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2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6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2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6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2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6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2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6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2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6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2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6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2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6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2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6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2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6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2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6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2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6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2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6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2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6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2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6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2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6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2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6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2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6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2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6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2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6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2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6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2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6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2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6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2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6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2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6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2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6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2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6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2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6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2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6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2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6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2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6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2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6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2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6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2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6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2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6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2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6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2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6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2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6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2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6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2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6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2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6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2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6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2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6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2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6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2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6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2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6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2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6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2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6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2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6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2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6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2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6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2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6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2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6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2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6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2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6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2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6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2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6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2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6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2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6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2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6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2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6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2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6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2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6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2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6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2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6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2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6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2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6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2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6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2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6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2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6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2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6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2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6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2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6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2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6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2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6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2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6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2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6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2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6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2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6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2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6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2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6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2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6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2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6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2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6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2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6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2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6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2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6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2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6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2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6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2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6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2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6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2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6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2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6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2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6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2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6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2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6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2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6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2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6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2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6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2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6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2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6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2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6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2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6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2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6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2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6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2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6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2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6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2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6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2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6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2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6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2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6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2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6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2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6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2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6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2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6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2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6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2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6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2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6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2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6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2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6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2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6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2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6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2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6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2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6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2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6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2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6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2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6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2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6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2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6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2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6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2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6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2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6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2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6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2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6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2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6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2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6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2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6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2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6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2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6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2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6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2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6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2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6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2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6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2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6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2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6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2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6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2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6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2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6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2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6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2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6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2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6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2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6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2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6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2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6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2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6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2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6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2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6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2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6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2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6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2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6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2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6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2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6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2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6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2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6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2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6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2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6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2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6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2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6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2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6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2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6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2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6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2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6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2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6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2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6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2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6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2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6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2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6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2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6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2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6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2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6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2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6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2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6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2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6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2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6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2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6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2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6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2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6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2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6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2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6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2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6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2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6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2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6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2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6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2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6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2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6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2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6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2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6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2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6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2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6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2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6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2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6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2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6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2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6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2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6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2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6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2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6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2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6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2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6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2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6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2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6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2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6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2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6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2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6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2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6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2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6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2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6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2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6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2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6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2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6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2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6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2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6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2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6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2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6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2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6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2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6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2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6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2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6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2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6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2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6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2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6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2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6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2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6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2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6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2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6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2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6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2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6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2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6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2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6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2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6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2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6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2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6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2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6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2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6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2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6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2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6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2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6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2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6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2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6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2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6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2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6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2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6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2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6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2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6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2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6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2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6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2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6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2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6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2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6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2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6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2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6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2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6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2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6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2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6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2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6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2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6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2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6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2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6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2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6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2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6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2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6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2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6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2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6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2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6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2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6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2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6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2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6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2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6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2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6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2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6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2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6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2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6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2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6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2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6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2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6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2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6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2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6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2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6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2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6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2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6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2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6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2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6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2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6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2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6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2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6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2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6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2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6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2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6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2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6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2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6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2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6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2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6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2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6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2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6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2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6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2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6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2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6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2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6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2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6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2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6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2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6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2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6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2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6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2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6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2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6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2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6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2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6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2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6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2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6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2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6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2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6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2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6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2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6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2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6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2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6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2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6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2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6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2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6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2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6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2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6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2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6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2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6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2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6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2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6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2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6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2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6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2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6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2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6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2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6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2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6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2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6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2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6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2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6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2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6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2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6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2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6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2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6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2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6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2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6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  <row r="854" spans="1:30" ht="12.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6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</row>
    <row r="855" spans="1:30" ht="12.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6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</row>
    <row r="856" spans="1:30" ht="12.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6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</row>
    <row r="857" spans="1:30" ht="12.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6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</row>
    <row r="858" spans="1:30" ht="12.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6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</row>
    <row r="859" spans="1:30" ht="12.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6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</row>
    <row r="860" spans="1:30" ht="12.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6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</row>
    <row r="861" spans="1:30" ht="12.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6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</row>
    <row r="862" spans="1:30" ht="12.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6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</row>
    <row r="863" spans="1:30" ht="12.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6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</row>
    <row r="864" spans="1:30" ht="12.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6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</row>
    <row r="865" spans="1:30" ht="12.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6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</row>
    <row r="866" spans="1:30" ht="12.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6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</row>
    <row r="867" spans="1:30" ht="12.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6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</row>
    <row r="868" spans="1:30" ht="12.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6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</row>
    <row r="869" spans="1:30" ht="12.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6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</row>
    <row r="870" spans="1:30" ht="12.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6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</row>
    <row r="871" spans="1:30" ht="12.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6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</row>
    <row r="872" spans="1:30" ht="12.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6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</row>
    <row r="873" spans="1:30" ht="12.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6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</row>
    <row r="874" spans="1:30" ht="12.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6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</row>
    <row r="875" spans="1:30" ht="12.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6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</row>
    <row r="876" spans="1:30" ht="12.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6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</row>
  </sheetData>
  <printOptions horizontalCentered="1" gridLines="1"/>
  <pageMargins left="0.7" right="0.7" top="0.75" bottom="0.75" header="0" footer="0"/>
  <pageSetup pageOrder="overThenDown" orientation="landscape" cellComments="atEnd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D853"/>
  <sheetViews>
    <sheetView workbookViewId="0">
      <pane ySplit="2" topLeftCell="A3" activePane="bottomLeft" state="frozen"/>
      <selection pane="bottomLeft" activeCell="B4" sqref="B4"/>
    </sheetView>
  </sheetViews>
  <sheetFormatPr defaultColWidth="12.609375" defaultRowHeight="15.75" customHeight="1"/>
  <cols>
    <col min="1" max="2" width="15.21875" customWidth="1"/>
    <col min="3" max="3" width="12.109375" customWidth="1"/>
    <col min="4" max="4" width="15.609375" customWidth="1"/>
    <col min="5" max="5" width="12.71875" customWidth="1"/>
    <col min="6" max="6" width="12.21875" customWidth="1"/>
    <col min="7" max="7" width="7.88671875" customWidth="1"/>
    <col min="8" max="8" width="18" customWidth="1"/>
    <col min="9" max="9" width="10.88671875" customWidth="1"/>
    <col min="10" max="10" width="10.21875" customWidth="1"/>
    <col min="11" max="11" width="13.71875" customWidth="1"/>
    <col min="12" max="12" width="18" customWidth="1"/>
    <col min="14" max="14" width="19" customWidth="1"/>
  </cols>
  <sheetData>
    <row r="1" spans="1:30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>
      <c r="A2" s="2" t="s">
        <v>172</v>
      </c>
      <c r="B2" s="2" t="s">
        <v>173</v>
      </c>
      <c r="C2" s="2" t="s">
        <v>174</v>
      </c>
      <c r="D2" s="46" t="s">
        <v>175</v>
      </c>
      <c r="E2" s="46" t="s">
        <v>176</v>
      </c>
      <c r="F2" s="46" t="s">
        <v>177</v>
      </c>
      <c r="G2" s="46" t="s">
        <v>178</v>
      </c>
      <c r="H2" s="46" t="s">
        <v>179</v>
      </c>
      <c r="I2" s="47" t="s">
        <v>180</v>
      </c>
      <c r="J2" s="2" t="s">
        <v>181</v>
      </c>
      <c r="K2" s="2" t="s">
        <v>182</v>
      </c>
      <c r="L2" s="2" t="s">
        <v>183</v>
      </c>
      <c r="M2" s="2" t="s">
        <v>184</v>
      </c>
      <c r="N2" s="6" t="s">
        <v>185</v>
      </c>
      <c r="O2" s="2" t="s">
        <v>186</v>
      </c>
      <c r="P2" s="2"/>
      <c r="Q2" s="2" t="s">
        <v>187</v>
      </c>
      <c r="R2" s="2" t="s">
        <v>188</v>
      </c>
      <c r="S2" s="2" t="s">
        <v>189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.75" customHeight="1">
      <c r="A3" s="48"/>
      <c r="B3" s="48" t="s">
        <v>190</v>
      </c>
      <c r="C3" s="48" t="s">
        <v>191</v>
      </c>
      <c r="D3" s="48">
        <v>1.549E-3</v>
      </c>
      <c r="E3" s="48">
        <v>997</v>
      </c>
      <c r="F3" s="48">
        <v>300</v>
      </c>
      <c r="G3" s="48">
        <v>1</v>
      </c>
      <c r="H3" s="48">
        <v>90</v>
      </c>
      <c r="I3" s="48">
        <f t="shared" ref="I3:I10" si="0">(F3*0.001)/G3</f>
        <v>0.3</v>
      </c>
      <c r="J3" s="49">
        <f t="shared" ref="J3:J10" si="1">E3*D3*(I3/(K3*E3))/(0.001002)</f>
        <v>30763.451234914421</v>
      </c>
      <c r="K3" s="48">
        <f>((D3/2)^2)*3.1415*8</f>
        <v>1.5075436483000001E-5</v>
      </c>
      <c r="L3" s="50">
        <f t="shared" ref="L3:L10" si="2">I3/(SQRT(2*E3*(H3*6895)))</f>
        <v>8.5284535368570472E-6</v>
      </c>
      <c r="M3" s="51">
        <f t="shared" ref="M3:M10" si="3">I3/(K3*SQRT(2*E3*(H3*6895)))</f>
        <v>0.56571851478225932</v>
      </c>
      <c r="N3" s="6">
        <f t="shared" ref="N3:N60" si="4">1/(2*L3^2)</f>
        <v>6874315000.000001</v>
      </c>
      <c r="O3" s="2">
        <f>N3*I3^2/E3/6895</f>
        <v>90.000000000000014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5.75" customHeight="1">
      <c r="A4" s="2"/>
      <c r="B4" s="2" t="s">
        <v>195</v>
      </c>
      <c r="C4" s="52">
        <v>44851</v>
      </c>
      <c r="D4" s="2">
        <v>1.6473E-3</v>
      </c>
      <c r="E4" s="2">
        <v>997</v>
      </c>
      <c r="F4" s="2">
        <v>792</v>
      </c>
      <c r="G4" s="2">
        <v>4.51</v>
      </c>
      <c r="H4" s="2">
        <v>22</v>
      </c>
      <c r="I4" s="11">
        <f t="shared" si="0"/>
        <v>0.17560975609756099</v>
      </c>
      <c r="J4" s="53">
        <f t="shared" si="1"/>
        <v>16952.703589855653</v>
      </c>
      <c r="K4" s="2">
        <v>1.7030000000000001E-5</v>
      </c>
      <c r="L4" s="50">
        <f t="shared" si="2"/>
        <v>1.0097354110079719E-5</v>
      </c>
      <c r="M4" s="11">
        <f t="shared" si="3"/>
        <v>0.59291568467878553</v>
      </c>
      <c r="N4" s="6">
        <f t="shared" si="4"/>
        <v>4904049331.2114182</v>
      </c>
      <c r="O4" s="11"/>
      <c r="P4" s="11"/>
      <c r="Q4" s="1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5.75" customHeight="1">
      <c r="A5" s="2"/>
      <c r="B5" s="2" t="s">
        <v>195</v>
      </c>
      <c r="C5" s="52">
        <v>44851</v>
      </c>
      <c r="D5" s="2">
        <v>1.6473E-3</v>
      </c>
      <c r="E5" s="2">
        <v>997</v>
      </c>
      <c r="F5" s="2">
        <v>1199</v>
      </c>
      <c r="G5" s="2">
        <v>5.64</v>
      </c>
      <c r="H5" s="2">
        <v>35</v>
      </c>
      <c r="I5" s="11">
        <f t="shared" si="0"/>
        <v>0.21258865248226952</v>
      </c>
      <c r="J5" s="53">
        <f t="shared" si="1"/>
        <v>20522.506791117856</v>
      </c>
      <c r="K5" s="2">
        <v>1.7030000000000001E-5</v>
      </c>
      <c r="L5" s="50">
        <f t="shared" si="2"/>
        <v>9.6911729629061529E-6</v>
      </c>
      <c r="M5" s="11">
        <f t="shared" si="3"/>
        <v>0.56906476587822385</v>
      </c>
      <c r="N5" s="6">
        <f t="shared" si="4"/>
        <v>5323745854.9625359</v>
      </c>
      <c r="O5" s="11"/>
      <c r="P5" s="11"/>
      <c r="Q5" s="11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5.75" customHeight="1">
      <c r="A6" s="2"/>
      <c r="B6" s="2" t="s">
        <v>195</v>
      </c>
      <c r="C6" s="52">
        <v>44851</v>
      </c>
      <c r="D6" s="2">
        <v>1.6473E-3</v>
      </c>
      <c r="E6" s="2">
        <v>997</v>
      </c>
      <c r="F6" s="2">
        <v>1741</v>
      </c>
      <c r="G6" s="2">
        <v>5.92</v>
      </c>
      <c r="H6" s="2">
        <v>56</v>
      </c>
      <c r="I6" s="11">
        <f t="shared" si="0"/>
        <v>0.29408783783783787</v>
      </c>
      <c r="J6" s="53">
        <f t="shared" si="1"/>
        <v>28390.130793625332</v>
      </c>
      <c r="K6" s="2">
        <v>1.7030000000000001E-5</v>
      </c>
      <c r="L6" s="50">
        <f t="shared" si="2"/>
        <v>1.0598718039264981E-5</v>
      </c>
      <c r="M6" s="11">
        <f t="shared" si="3"/>
        <v>0.62235572749647572</v>
      </c>
      <c r="N6" s="6">
        <f t="shared" si="4"/>
        <v>4451058754.3176832</v>
      </c>
      <c r="O6" s="11"/>
      <c r="P6" s="11"/>
      <c r="Q6" s="11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.75" customHeight="1">
      <c r="A7" s="2"/>
      <c r="B7" s="2" t="s">
        <v>196</v>
      </c>
      <c r="C7" s="52">
        <v>44851</v>
      </c>
      <c r="D7" s="2">
        <v>1.6473E-3</v>
      </c>
      <c r="E7" s="2">
        <v>997</v>
      </c>
      <c r="F7" s="2">
        <v>1489</v>
      </c>
      <c r="G7" s="2">
        <v>6.17</v>
      </c>
      <c r="H7" s="2">
        <v>44</v>
      </c>
      <c r="I7" s="11">
        <f t="shared" si="0"/>
        <v>0.24132901134521881</v>
      </c>
      <c r="J7" s="53">
        <f t="shared" si="1"/>
        <v>23296.992649403423</v>
      </c>
      <c r="K7" s="2">
        <v>1.7030000000000001E-5</v>
      </c>
      <c r="L7" s="50">
        <f t="shared" si="2"/>
        <v>9.8119083565332575E-6</v>
      </c>
      <c r="M7" s="11">
        <f t="shared" si="3"/>
        <v>0.57615433684869388</v>
      </c>
      <c r="N7" s="6">
        <f t="shared" si="4"/>
        <v>5193534702.5958433</v>
      </c>
      <c r="O7" s="11"/>
      <c r="P7" s="11"/>
      <c r="Q7" s="1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 customHeight="1">
      <c r="A8" s="2"/>
      <c r="B8" s="2" t="s">
        <v>195</v>
      </c>
      <c r="C8" s="52">
        <v>44851</v>
      </c>
      <c r="D8" s="2">
        <v>1.6473E-3</v>
      </c>
      <c r="E8" s="2">
        <v>997</v>
      </c>
      <c r="F8" s="2">
        <v>1478</v>
      </c>
      <c r="G8" s="2">
        <v>5.35</v>
      </c>
      <c r="H8" s="2">
        <v>49</v>
      </c>
      <c r="I8" s="11">
        <f t="shared" si="0"/>
        <v>0.27626168224299069</v>
      </c>
      <c r="J8" s="53">
        <f t="shared" si="1"/>
        <v>26669.260958932315</v>
      </c>
      <c r="K8" s="2">
        <v>1.7030000000000001E-5</v>
      </c>
      <c r="L8" s="50">
        <f t="shared" si="2"/>
        <v>1.0643706730302286E-5</v>
      </c>
      <c r="M8" s="11">
        <f t="shared" si="3"/>
        <v>0.62499745920741534</v>
      </c>
      <c r="N8" s="6">
        <f t="shared" si="4"/>
        <v>4413510913.0062275</v>
      </c>
      <c r="O8" s="11"/>
      <c r="P8" s="11"/>
      <c r="Q8" s="1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 customHeight="1">
      <c r="A9" s="2"/>
      <c r="B9" s="2" t="s">
        <v>195</v>
      </c>
      <c r="C9" s="52">
        <v>44851</v>
      </c>
      <c r="D9" s="2">
        <v>1.6473E-3</v>
      </c>
      <c r="E9" s="2">
        <v>997</v>
      </c>
      <c r="F9" s="2">
        <v>1057</v>
      </c>
      <c r="G9" s="2">
        <v>5.68</v>
      </c>
      <c r="H9" s="2">
        <v>31</v>
      </c>
      <c r="I9" s="11">
        <f t="shared" si="0"/>
        <v>0.18609154929577465</v>
      </c>
      <c r="J9" s="53">
        <f t="shared" si="1"/>
        <v>17964.576376016586</v>
      </c>
      <c r="K9" s="2">
        <v>1.7030000000000001E-5</v>
      </c>
      <c r="L9" s="50">
        <f t="shared" si="2"/>
        <v>9.0139696700475278E-6</v>
      </c>
      <c r="M9" s="11">
        <f t="shared" si="3"/>
        <v>0.52929945214606733</v>
      </c>
      <c r="N9" s="6">
        <f t="shared" si="4"/>
        <v>6153721245.6095285</v>
      </c>
      <c r="O9" s="11"/>
      <c r="P9" s="11"/>
      <c r="Q9" s="1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 customHeight="1">
      <c r="A10" s="2"/>
      <c r="B10" s="2" t="s">
        <v>195</v>
      </c>
      <c r="C10" s="52">
        <v>44851</v>
      </c>
      <c r="D10" s="2">
        <v>1.6473E-3</v>
      </c>
      <c r="E10" s="2">
        <v>997</v>
      </c>
      <c r="F10" s="2">
        <v>1187</v>
      </c>
      <c r="G10" s="2">
        <v>6.48</v>
      </c>
      <c r="H10" s="2">
        <v>32</v>
      </c>
      <c r="I10" s="11">
        <f t="shared" si="0"/>
        <v>0.18317901234567902</v>
      </c>
      <c r="J10" s="53">
        <f t="shared" si="1"/>
        <v>17683.41104268486</v>
      </c>
      <c r="K10" s="2">
        <v>1.7030000000000001E-5</v>
      </c>
      <c r="L10" s="50">
        <f t="shared" si="2"/>
        <v>8.7331518509125587E-6</v>
      </c>
      <c r="M10" s="11">
        <f t="shared" si="3"/>
        <v>0.51280985618981545</v>
      </c>
      <c r="N10" s="6">
        <f t="shared" si="4"/>
        <v>6555834493.4714661</v>
      </c>
      <c r="O10" s="11"/>
      <c r="P10" s="11"/>
      <c r="Q10" s="1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 customHeight="1">
      <c r="A11" s="54"/>
      <c r="B11" s="54" t="s">
        <v>197</v>
      </c>
      <c r="C11" s="54"/>
      <c r="D11" s="54"/>
      <c r="E11" s="54"/>
      <c r="F11" s="54"/>
      <c r="G11" s="54"/>
      <c r="H11" s="54"/>
      <c r="I11" s="55"/>
      <c r="J11" s="56"/>
      <c r="K11" s="54"/>
      <c r="L11" s="57"/>
      <c r="M11" s="55"/>
      <c r="N11" s="6" t="e">
        <f t="shared" si="4"/>
        <v>#DIV/0!</v>
      </c>
      <c r="O11" s="11"/>
      <c r="P11" s="11"/>
      <c r="Q11" s="1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 customHeight="1">
      <c r="A12" s="2"/>
      <c r="B12" s="2" t="s">
        <v>198</v>
      </c>
      <c r="C12" s="58">
        <v>44867</v>
      </c>
      <c r="D12" s="2">
        <v>1.562E-3</v>
      </c>
      <c r="E12" s="2">
        <v>997</v>
      </c>
      <c r="F12" s="2">
        <f>1426-950</f>
        <v>476</v>
      </c>
      <c r="G12" s="2">
        <v>3.85</v>
      </c>
      <c r="H12" s="2">
        <v>7.5</v>
      </c>
      <c r="I12" s="11">
        <f t="shared" ref="I12:I14" si="5">(F12*0.001)/G12</f>
        <v>0.12363636363636364</v>
      </c>
      <c r="J12" s="53">
        <f t="shared" ref="J12:J14" si="6">E12*D12*(I12/(K12*E12))/(0.001002)</f>
        <v>12572.75383337604</v>
      </c>
      <c r="K12" s="8">
        <f t="shared" ref="K12:K14" si="7">D12^2/4*3.1415*8</f>
        <v>1.5329539851999999E-5</v>
      </c>
      <c r="L12" s="50">
        <f t="shared" ref="L12:L14" si="8">I12/(SQRT(2*E12*(H12*6895)))</f>
        <v>1.2175474046499747E-5</v>
      </c>
      <c r="M12" s="11">
        <f t="shared" ref="M12:M14" si="9">I12/(K12*SQRT(2*E12*(H12*6895)))</f>
        <v>0.79424915320672518</v>
      </c>
      <c r="N12" s="6">
        <f t="shared" si="4"/>
        <v>3372859462.8568335</v>
      </c>
      <c r="O12" s="11"/>
      <c r="P12" s="11"/>
      <c r="Q12" s="1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.75" customHeight="1">
      <c r="A13" s="9"/>
      <c r="B13" s="9" t="s">
        <v>198</v>
      </c>
      <c r="C13" s="59">
        <v>44867</v>
      </c>
      <c r="D13" s="10">
        <v>1.562E-3</v>
      </c>
      <c r="E13" s="10">
        <v>997</v>
      </c>
      <c r="F13" s="9">
        <v>1028</v>
      </c>
      <c r="G13" s="9">
        <v>5.15</v>
      </c>
      <c r="H13" s="9">
        <v>17.5</v>
      </c>
      <c r="I13" s="60">
        <f t="shared" si="5"/>
        <v>0.19961165048543689</v>
      </c>
      <c r="J13" s="61">
        <f t="shared" si="6"/>
        <v>20298.78645742665</v>
      </c>
      <c r="K13" s="62">
        <f t="shared" si="7"/>
        <v>1.5329539851999999E-5</v>
      </c>
      <c r="L13" s="50">
        <f t="shared" si="8"/>
        <v>1.2868773262710003E-5</v>
      </c>
      <c r="M13" s="60">
        <f t="shared" si="9"/>
        <v>0.83947550852487285</v>
      </c>
      <c r="N13" s="6">
        <f t="shared" si="4"/>
        <v>3019226580.6269312</v>
      </c>
      <c r="O13" s="11"/>
      <c r="P13" s="11"/>
      <c r="Q13" s="1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 customHeight="1">
      <c r="A14" s="9"/>
      <c r="B14" s="9" t="s">
        <v>198</v>
      </c>
      <c r="C14" s="59">
        <v>44867</v>
      </c>
      <c r="D14" s="10">
        <v>1.562E-3</v>
      </c>
      <c r="E14" s="10">
        <v>997</v>
      </c>
      <c r="F14" s="9">
        <v>1429</v>
      </c>
      <c r="G14" s="9">
        <v>5.95</v>
      </c>
      <c r="H14" s="9">
        <v>37.5</v>
      </c>
      <c r="I14" s="60">
        <f t="shared" si="5"/>
        <v>0.24016806722689077</v>
      </c>
      <c r="J14" s="61">
        <f t="shared" si="6"/>
        <v>24423.024901981953</v>
      </c>
      <c r="K14" s="62">
        <f t="shared" si="7"/>
        <v>1.5329539851999999E-5</v>
      </c>
      <c r="L14" s="50">
        <f t="shared" si="8"/>
        <v>1.0577180531318522E-5</v>
      </c>
      <c r="M14" s="60">
        <f t="shared" si="9"/>
        <v>0.68998682500822428</v>
      </c>
      <c r="N14" s="6">
        <f t="shared" si="4"/>
        <v>4469203913.8936243</v>
      </c>
      <c r="O14" s="11"/>
      <c r="P14" s="11"/>
      <c r="Q14" s="1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>
      <c r="A15" s="9"/>
      <c r="B15" s="9"/>
      <c r="C15" s="59"/>
      <c r="D15" s="10"/>
      <c r="E15" s="10"/>
      <c r="F15" s="9"/>
      <c r="G15" s="9"/>
      <c r="H15" s="9"/>
      <c r="I15" s="60"/>
      <c r="J15" s="61"/>
      <c r="K15" s="62"/>
      <c r="L15" s="50"/>
      <c r="M15" s="60"/>
      <c r="N15" s="6" t="e">
        <f t="shared" si="4"/>
        <v>#DIV/0!</v>
      </c>
      <c r="O15" s="11"/>
      <c r="P15" s="11"/>
      <c r="Q15" s="1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 customHeight="1">
      <c r="A16" s="9"/>
      <c r="B16" s="9"/>
      <c r="C16" s="59"/>
      <c r="D16" s="10"/>
      <c r="E16" s="10"/>
      <c r="F16" s="9"/>
      <c r="G16" s="9"/>
      <c r="H16" s="9"/>
      <c r="I16" s="60"/>
      <c r="J16" s="61"/>
      <c r="K16" s="62"/>
      <c r="L16" s="50"/>
      <c r="M16" s="60"/>
      <c r="N16" s="6" t="e">
        <f t="shared" si="4"/>
        <v>#DIV/0!</v>
      </c>
      <c r="O16" s="11"/>
      <c r="P16" s="11"/>
      <c r="Q16" s="1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>
      <c r="A17" s="9"/>
      <c r="B17" s="9"/>
      <c r="C17" s="59"/>
      <c r="D17" s="10"/>
      <c r="E17" s="10"/>
      <c r="F17" s="9"/>
      <c r="G17" s="9"/>
      <c r="H17" s="9"/>
      <c r="I17" s="60"/>
      <c r="J17" s="61"/>
      <c r="K17" s="62"/>
      <c r="L17" s="50"/>
      <c r="M17" s="60"/>
      <c r="N17" s="6" t="e">
        <f t="shared" si="4"/>
        <v>#DIV/0!</v>
      </c>
      <c r="O17" s="11"/>
      <c r="P17" s="11"/>
      <c r="Q17" s="1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>
      <c r="A18" s="9"/>
      <c r="B18" s="9"/>
      <c r="C18" s="59"/>
      <c r="D18" s="10"/>
      <c r="E18" s="10"/>
      <c r="F18" s="9"/>
      <c r="G18" s="9"/>
      <c r="H18" s="9"/>
      <c r="I18" s="60"/>
      <c r="J18" s="61"/>
      <c r="K18" s="62"/>
      <c r="L18" s="50"/>
      <c r="M18" s="60"/>
      <c r="N18" s="6" t="e">
        <f t="shared" si="4"/>
        <v>#DIV/0!</v>
      </c>
      <c r="O18" s="11"/>
      <c r="P18" s="11"/>
      <c r="Q18" s="1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>
      <c r="A19" s="9"/>
      <c r="B19" s="9"/>
      <c r="C19" s="59"/>
      <c r="D19" s="10"/>
      <c r="E19" s="10"/>
      <c r="F19" s="9"/>
      <c r="G19" s="9"/>
      <c r="H19" s="9"/>
      <c r="I19" s="60"/>
      <c r="J19" s="61"/>
      <c r="K19" s="62"/>
      <c r="L19" s="50"/>
      <c r="M19" s="60"/>
      <c r="N19" s="6" t="e">
        <f t="shared" si="4"/>
        <v>#DIV/0!</v>
      </c>
      <c r="O19" s="11"/>
      <c r="P19" s="11"/>
      <c r="Q19" s="1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 customHeight="1">
      <c r="A20" s="9"/>
      <c r="B20" s="9"/>
      <c r="C20" s="59"/>
      <c r="D20" s="10"/>
      <c r="E20" s="10"/>
      <c r="F20" s="9"/>
      <c r="G20" s="9"/>
      <c r="H20" s="9"/>
      <c r="I20" s="60"/>
      <c r="J20" s="61"/>
      <c r="K20" s="62"/>
      <c r="L20" s="50"/>
      <c r="M20" s="60"/>
      <c r="N20" s="6" t="e">
        <f t="shared" si="4"/>
        <v>#DIV/0!</v>
      </c>
      <c r="O20" s="11"/>
      <c r="P20" s="11"/>
      <c r="Q20" s="1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>
      <c r="A21" s="9"/>
      <c r="B21" s="9"/>
      <c r="C21" s="59"/>
      <c r="D21" s="10"/>
      <c r="E21" s="10"/>
      <c r="F21" s="9"/>
      <c r="G21" s="9"/>
      <c r="H21" s="9"/>
      <c r="I21" s="60"/>
      <c r="J21" s="61"/>
      <c r="K21" s="62"/>
      <c r="L21" s="50"/>
      <c r="M21" s="60"/>
      <c r="N21" s="6" t="e">
        <f t="shared" si="4"/>
        <v>#DIV/0!</v>
      </c>
      <c r="O21" s="11"/>
      <c r="P21" s="11"/>
      <c r="Q21" s="1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75" customHeight="1">
      <c r="A22" s="9"/>
      <c r="B22" s="9"/>
      <c r="C22" s="59"/>
      <c r="D22" s="10"/>
      <c r="E22" s="10"/>
      <c r="F22" s="9"/>
      <c r="G22" s="9"/>
      <c r="H22" s="9"/>
      <c r="I22" s="60"/>
      <c r="J22" s="61"/>
      <c r="K22" s="62"/>
      <c r="L22" s="50"/>
      <c r="M22" s="60"/>
      <c r="N22" s="6" t="e">
        <f t="shared" si="4"/>
        <v>#DIV/0!</v>
      </c>
      <c r="O22" s="11"/>
      <c r="P22" s="11"/>
      <c r="Q22" s="1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 customHeight="1">
      <c r="A23" s="2"/>
      <c r="B23" s="2"/>
      <c r="C23" s="2"/>
      <c r="D23" s="2"/>
      <c r="E23" s="2"/>
      <c r="F23" s="2"/>
      <c r="G23" s="2"/>
      <c r="H23" s="2"/>
      <c r="I23" s="60"/>
      <c r="J23" s="61"/>
      <c r="K23" s="62"/>
      <c r="L23" s="63"/>
      <c r="M23" s="60"/>
      <c r="N23" s="6" t="e">
        <f t="shared" si="4"/>
        <v>#DIV/0!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>
      <c r="A24" s="2"/>
      <c r="B24" s="2"/>
      <c r="C24" s="2"/>
      <c r="D24" s="10"/>
      <c r="E24" s="10"/>
      <c r="F24" s="9"/>
      <c r="G24" s="9"/>
      <c r="H24" s="9"/>
      <c r="I24" s="60"/>
      <c r="J24" s="61"/>
      <c r="K24" s="62"/>
      <c r="L24" s="63"/>
      <c r="M24" s="60"/>
      <c r="N24" s="6" t="e">
        <f t="shared" si="4"/>
        <v>#DIV/0!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>
      <c r="A25" s="2"/>
      <c r="B25" s="2"/>
      <c r="C25" s="2"/>
      <c r="D25" s="10"/>
      <c r="E25" s="10"/>
      <c r="F25" s="9"/>
      <c r="G25" s="9"/>
      <c r="H25" s="9"/>
      <c r="I25" s="60"/>
      <c r="J25" s="61"/>
      <c r="K25" s="62"/>
      <c r="L25" s="63"/>
      <c r="M25" s="60"/>
      <c r="N25" s="6" t="e">
        <f t="shared" si="4"/>
        <v>#DIV/0!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 customHeight="1">
      <c r="A26" s="2" t="s">
        <v>202</v>
      </c>
      <c r="B26" s="2" t="s">
        <v>203</v>
      </c>
      <c r="C26" s="58">
        <v>44968</v>
      </c>
      <c r="D26" s="2">
        <v>1.5883E-3</v>
      </c>
      <c r="E26" s="10">
        <v>997</v>
      </c>
      <c r="F26" s="9">
        <v>2181</v>
      </c>
      <c r="G26" s="9">
        <v>5.75</v>
      </c>
      <c r="H26" s="9">
        <v>134</v>
      </c>
      <c r="I26" s="60">
        <f t="shared" ref="I26:I40" si="10">(F26*0.001)/G26</f>
        <v>0.37930434782608696</v>
      </c>
      <c r="J26" s="61">
        <f t="shared" ref="J26:J40" si="11">E26*D26*(I26/(K26*E26))/(0.001002)</f>
        <v>37933.289346843943</v>
      </c>
      <c r="K26" s="62">
        <f t="shared" ref="K26:K40" si="12">D26^2/4*3.1415*8</f>
        <v>1.5850104559870001E-5</v>
      </c>
      <c r="L26" s="63">
        <f t="shared" ref="L26:L40" si="13">10^6*I26/(SQRT(2*E26*(H26*6895)))</f>
        <v>8.837017386713784</v>
      </c>
      <c r="M26" s="60">
        <f t="shared" ref="M26:M40" si="14">I26/(K26*SQRT(2*E26*(H26*6895)))</f>
        <v>0.55753685115035367</v>
      </c>
      <c r="N26" s="6">
        <f t="shared" si="4"/>
        <v>6.4026326565755553E-3</v>
      </c>
      <c r="O26" s="2"/>
      <c r="P26" s="2"/>
      <c r="Q26" s="2">
        <v>0.67500000000000004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.75" customHeight="1">
      <c r="A27" s="2" t="s">
        <v>202</v>
      </c>
      <c r="B27" s="2" t="s">
        <v>203</v>
      </c>
      <c r="C27" s="58">
        <v>44968</v>
      </c>
      <c r="D27" s="2">
        <v>1.5883E-3</v>
      </c>
      <c r="E27" s="10">
        <v>997</v>
      </c>
      <c r="F27" s="9">
        <v>3218</v>
      </c>
      <c r="G27" s="9">
        <v>7.48</v>
      </c>
      <c r="H27" s="9">
        <v>119</v>
      </c>
      <c r="I27" s="60">
        <f t="shared" si="10"/>
        <v>0.43021390374331547</v>
      </c>
      <c r="J27" s="61">
        <f t="shared" si="11"/>
        <v>43024.62807310871</v>
      </c>
      <c r="K27" s="62">
        <f t="shared" si="12"/>
        <v>1.5850104559870001E-5</v>
      </c>
      <c r="L27" s="63">
        <f t="shared" si="13"/>
        <v>10.636071519224641</v>
      </c>
      <c r="M27" s="60">
        <f t="shared" si="14"/>
        <v>0.67104109496876885</v>
      </c>
      <c r="N27" s="6">
        <f t="shared" si="4"/>
        <v>4.4198497539230273E-3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6.5">
      <c r="A28" s="2" t="s">
        <v>202</v>
      </c>
      <c r="B28" s="2" t="s">
        <v>203</v>
      </c>
      <c r="C28" s="58">
        <v>44968</v>
      </c>
      <c r="D28" s="2">
        <v>1.5883E-3</v>
      </c>
      <c r="E28" s="2">
        <v>997</v>
      </c>
      <c r="F28" s="2">
        <v>3083</v>
      </c>
      <c r="G28" s="2">
        <v>7.3</v>
      </c>
      <c r="H28" s="2">
        <v>134</v>
      </c>
      <c r="I28" s="60">
        <f t="shared" si="10"/>
        <v>0.42232876712328771</v>
      </c>
      <c r="J28" s="61">
        <f t="shared" si="11"/>
        <v>42236.055069236769</v>
      </c>
      <c r="K28" s="62">
        <f t="shared" si="12"/>
        <v>1.5850104559870001E-5</v>
      </c>
      <c r="L28" s="63">
        <f t="shared" si="13"/>
        <v>9.839398571010026</v>
      </c>
      <c r="M28" s="60">
        <f t="shared" si="14"/>
        <v>0.62077814905536033</v>
      </c>
      <c r="N28" s="6">
        <f t="shared" si="4"/>
        <v>5.1645548949493247E-3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6.5">
      <c r="A29" s="2" t="s">
        <v>202</v>
      </c>
      <c r="B29" s="2" t="s">
        <v>203</v>
      </c>
      <c r="C29" s="58">
        <v>44968</v>
      </c>
      <c r="D29" s="2">
        <v>1.5883E-3</v>
      </c>
      <c r="E29" s="2">
        <v>997</v>
      </c>
      <c r="F29" s="2">
        <v>2833</v>
      </c>
      <c r="G29" s="2">
        <v>7.38</v>
      </c>
      <c r="H29" s="2">
        <v>124</v>
      </c>
      <c r="I29" s="60">
        <f t="shared" si="10"/>
        <v>0.38387533875338758</v>
      </c>
      <c r="J29" s="61">
        <f t="shared" si="11"/>
        <v>38390.422839884195</v>
      </c>
      <c r="K29" s="62">
        <f t="shared" si="12"/>
        <v>1.5850104559870001E-5</v>
      </c>
      <c r="L29" s="63">
        <f t="shared" si="13"/>
        <v>9.2971461457998164</v>
      </c>
      <c r="M29" s="60">
        <f t="shared" si="14"/>
        <v>0.58656686526464585</v>
      </c>
      <c r="N29" s="6">
        <f t="shared" si="4"/>
        <v>5.7845647745519528E-3</v>
      </c>
      <c r="O29" s="2"/>
      <c r="P29" s="2"/>
      <c r="Q29" s="2"/>
      <c r="R29" s="2"/>
      <c r="S29" s="2"/>
      <c r="T29" s="2"/>
      <c r="U29" s="62">
        <f>D32^2/4*3.1415*8</f>
        <v>1.5850104559870001E-5</v>
      </c>
      <c r="V29" s="2"/>
      <c r="W29" s="2"/>
      <c r="X29" s="2"/>
      <c r="Y29" s="2"/>
      <c r="Z29" s="2"/>
      <c r="AA29" s="2"/>
      <c r="AB29" s="2"/>
      <c r="AC29" s="2"/>
      <c r="AD29" s="2"/>
    </row>
    <row r="30" spans="1:30" ht="16.5">
      <c r="A30" s="2" t="s">
        <v>202</v>
      </c>
      <c r="B30" s="2" t="s">
        <v>203</v>
      </c>
      <c r="C30" s="58">
        <v>44968</v>
      </c>
      <c r="D30" s="2">
        <v>1.5883E-3</v>
      </c>
      <c r="E30" s="2">
        <v>997</v>
      </c>
      <c r="F30" s="2">
        <v>2971</v>
      </c>
      <c r="G30" s="2">
        <v>7.96</v>
      </c>
      <c r="H30" s="2">
        <v>114</v>
      </c>
      <c r="I30" s="60">
        <f t="shared" si="10"/>
        <v>0.37324120603015076</v>
      </c>
      <c r="J30" s="61">
        <f t="shared" si="11"/>
        <v>37326.929537328542</v>
      </c>
      <c r="K30" s="62">
        <f t="shared" si="12"/>
        <v>1.5850104559870001E-5</v>
      </c>
      <c r="L30" s="63">
        <f t="shared" si="13"/>
        <v>9.4277367262360219</v>
      </c>
      <c r="M30" s="60">
        <f t="shared" si="14"/>
        <v>0.59480596425247467</v>
      </c>
      <c r="N30" s="6">
        <f t="shared" si="4"/>
        <v>5.625422061262461E-3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6.5">
      <c r="A31" s="2" t="s">
        <v>202</v>
      </c>
      <c r="B31" s="2" t="s">
        <v>203</v>
      </c>
      <c r="C31" s="58">
        <v>44968</v>
      </c>
      <c r="D31" s="2">
        <v>1.5883E-3</v>
      </c>
      <c r="E31" s="2">
        <v>997</v>
      </c>
      <c r="F31" s="2">
        <v>2890</v>
      </c>
      <c r="G31" s="2">
        <v>7.8</v>
      </c>
      <c r="H31" s="2">
        <v>114</v>
      </c>
      <c r="I31" s="60">
        <f t="shared" si="10"/>
        <v>0.37051282051282053</v>
      </c>
      <c r="J31" s="61">
        <f t="shared" si="11"/>
        <v>37054.070452343622</v>
      </c>
      <c r="K31" s="62">
        <f t="shared" si="12"/>
        <v>1.5850104559870001E-5</v>
      </c>
      <c r="L31" s="63">
        <f t="shared" si="13"/>
        <v>9.3588201652307319</v>
      </c>
      <c r="M31" s="60">
        <f t="shared" si="14"/>
        <v>0.59045794492269843</v>
      </c>
      <c r="N31" s="6">
        <f t="shared" si="4"/>
        <v>5.7085761669999164E-3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6.5">
      <c r="A32" s="2" t="s">
        <v>202</v>
      </c>
      <c r="B32" s="2" t="s">
        <v>203</v>
      </c>
      <c r="C32" s="58">
        <v>44968</v>
      </c>
      <c r="D32" s="2">
        <v>1.5883E-3</v>
      </c>
      <c r="E32" s="2">
        <v>997</v>
      </c>
      <c r="F32" s="2">
        <v>2939</v>
      </c>
      <c r="G32" s="2">
        <v>7.96</v>
      </c>
      <c r="H32" s="2">
        <v>114</v>
      </c>
      <c r="I32" s="60">
        <f t="shared" si="10"/>
        <v>0.3692211055276382</v>
      </c>
      <c r="J32" s="61">
        <f t="shared" si="11"/>
        <v>36924.889232651825</v>
      </c>
      <c r="K32" s="62">
        <f t="shared" si="12"/>
        <v>1.5850104559870001E-5</v>
      </c>
      <c r="L32" s="63">
        <f t="shared" si="13"/>
        <v>9.3261926080133524</v>
      </c>
      <c r="M32" s="60">
        <f t="shared" si="14"/>
        <v>0.58839943754224944</v>
      </c>
      <c r="N32" s="6">
        <f t="shared" si="4"/>
        <v>5.7485887877897412E-3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6.5">
      <c r="A33" s="2" t="s">
        <v>202</v>
      </c>
      <c r="B33" s="2" t="s">
        <v>203</v>
      </c>
      <c r="C33" s="58">
        <v>44968</v>
      </c>
      <c r="D33" s="2">
        <v>1.5883E-3</v>
      </c>
      <c r="E33" s="2">
        <v>997</v>
      </c>
      <c r="F33" s="2">
        <v>2831</v>
      </c>
      <c r="G33" s="2">
        <v>7.68</v>
      </c>
      <c r="H33" s="2">
        <v>114</v>
      </c>
      <c r="I33" s="64">
        <f t="shared" si="10"/>
        <v>0.3686197916666667</v>
      </c>
      <c r="J33" s="61">
        <f t="shared" si="11"/>
        <v>36864.753321193835</v>
      </c>
      <c r="K33" s="62">
        <f t="shared" si="12"/>
        <v>1.5850104559870001E-5</v>
      </c>
      <c r="L33" s="63">
        <f t="shared" si="13"/>
        <v>9.3110039614237312</v>
      </c>
      <c r="M33" s="60">
        <f t="shared" si="14"/>
        <v>0.58744116963100323</v>
      </c>
      <c r="N33" s="6">
        <f t="shared" si="4"/>
        <v>5.7673589438503236E-3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6.5">
      <c r="A34" s="9" t="s">
        <v>205</v>
      </c>
      <c r="B34" s="9" t="s">
        <v>203</v>
      </c>
      <c r="C34" s="66">
        <v>44975</v>
      </c>
      <c r="D34" s="2">
        <v>1.5883E-3</v>
      </c>
      <c r="E34" s="9">
        <v>997</v>
      </c>
      <c r="F34" s="9">
        <v>1520</v>
      </c>
      <c r="G34" s="9">
        <v>5.75</v>
      </c>
      <c r="H34" s="9">
        <v>40.700000000000003</v>
      </c>
      <c r="I34" s="60">
        <f t="shared" si="10"/>
        <v>0.26434782608695651</v>
      </c>
      <c r="J34" s="61">
        <f t="shared" si="11"/>
        <v>26436.772034480873</v>
      </c>
      <c r="K34" s="62">
        <f t="shared" si="12"/>
        <v>1.5850104559870001E-5</v>
      </c>
      <c r="L34" s="63">
        <f t="shared" si="13"/>
        <v>11.17503331177142</v>
      </c>
      <c r="M34" s="60">
        <f t="shared" si="14"/>
        <v>0.70504476923545778</v>
      </c>
      <c r="N34" s="6">
        <f t="shared" si="4"/>
        <v>4.0037997815448633E-3</v>
      </c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</row>
    <row r="35" spans="1:30" ht="16.5">
      <c r="A35" s="9" t="s">
        <v>205</v>
      </c>
      <c r="B35" s="9" t="s">
        <v>203</v>
      </c>
      <c r="C35" s="66">
        <v>44975</v>
      </c>
      <c r="D35" s="2">
        <v>1.5883E-3</v>
      </c>
      <c r="E35" s="9">
        <v>997</v>
      </c>
      <c r="F35" s="9">
        <v>1205</v>
      </c>
      <c r="G35" s="9">
        <v>4.13</v>
      </c>
      <c r="H35" s="9">
        <v>45.6</v>
      </c>
      <c r="I35" s="60">
        <f t="shared" si="10"/>
        <v>0.29176755447941893</v>
      </c>
      <c r="J35" s="61">
        <f t="shared" si="11"/>
        <v>29178.951228799127</v>
      </c>
      <c r="K35" s="62">
        <f t="shared" si="12"/>
        <v>1.5850104559870001E-5</v>
      </c>
      <c r="L35" s="63">
        <f t="shared" si="13"/>
        <v>11.652654280522521</v>
      </c>
      <c r="M35" s="60">
        <f t="shared" si="14"/>
        <v>0.73517838551205716</v>
      </c>
      <c r="N35" s="6">
        <f t="shared" si="4"/>
        <v>3.6823094372835179E-3</v>
      </c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</row>
    <row r="36" spans="1:30" ht="16.5">
      <c r="A36" s="9" t="s">
        <v>205</v>
      </c>
      <c r="B36" s="9" t="s">
        <v>203</v>
      </c>
      <c r="C36" s="66">
        <v>44975</v>
      </c>
      <c r="D36" s="2">
        <v>1.5883E-3</v>
      </c>
      <c r="E36" s="9">
        <v>997</v>
      </c>
      <c r="F36" s="9">
        <v>1390</v>
      </c>
      <c r="G36" s="9">
        <v>4.9000000000000004</v>
      </c>
      <c r="H36" s="9">
        <v>46.7</v>
      </c>
      <c r="I36" s="60">
        <f t="shared" si="10"/>
        <v>0.28367346938775512</v>
      </c>
      <c r="J36" s="61">
        <f t="shared" si="11"/>
        <v>28369.481805261603</v>
      </c>
      <c r="K36" s="62">
        <f t="shared" si="12"/>
        <v>1.5850104559870001E-5</v>
      </c>
      <c r="L36" s="63">
        <f t="shared" si="13"/>
        <v>11.19516677570474</v>
      </c>
      <c r="M36" s="60">
        <f t="shared" si="14"/>
        <v>0.70631501094631033</v>
      </c>
      <c r="N36" s="6">
        <f t="shared" si="4"/>
        <v>3.9894118094845003E-3</v>
      </c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</row>
    <row r="37" spans="1:30" ht="16.5">
      <c r="A37" s="9" t="s">
        <v>205</v>
      </c>
      <c r="B37" s="9" t="s">
        <v>203</v>
      </c>
      <c r="C37" s="66">
        <v>44975</v>
      </c>
      <c r="D37" s="2">
        <v>1.5883E-3</v>
      </c>
      <c r="E37" s="9">
        <v>997</v>
      </c>
      <c r="F37" s="2">
        <v>1115</v>
      </c>
      <c r="G37" s="2">
        <v>8.07</v>
      </c>
      <c r="H37" s="2">
        <v>21</v>
      </c>
      <c r="I37" s="60">
        <f t="shared" si="10"/>
        <v>0.13816604708798016</v>
      </c>
      <c r="J37" s="61">
        <f t="shared" si="11"/>
        <v>13817.644517223107</v>
      </c>
      <c r="K37" s="62">
        <f t="shared" si="12"/>
        <v>1.5850104559870001E-5</v>
      </c>
      <c r="L37" s="63">
        <f t="shared" si="13"/>
        <v>8.1313372331644853</v>
      </c>
      <c r="M37" s="60">
        <f t="shared" si="14"/>
        <v>0.51301473769149541</v>
      </c>
      <c r="N37" s="6">
        <f t="shared" si="4"/>
        <v>7.5621634183784111E-3</v>
      </c>
      <c r="O37" s="9"/>
      <c r="P37" s="9"/>
      <c r="Q37" s="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6.5">
      <c r="A38" s="9" t="s">
        <v>205</v>
      </c>
      <c r="B38" s="9" t="s">
        <v>203</v>
      </c>
      <c r="C38" s="66">
        <v>44975</v>
      </c>
      <c r="D38" s="2">
        <v>1.5883E-3</v>
      </c>
      <c r="E38" s="9">
        <v>997</v>
      </c>
      <c r="F38" s="2">
        <v>935</v>
      </c>
      <c r="G38" s="2">
        <v>7.28</v>
      </c>
      <c r="H38" s="2">
        <v>26.3</v>
      </c>
      <c r="I38" s="60">
        <f t="shared" si="10"/>
        <v>0.12843406593406595</v>
      </c>
      <c r="J38" s="61">
        <f t="shared" si="11"/>
        <v>12844.373161001466</v>
      </c>
      <c r="K38" s="62">
        <f t="shared" si="12"/>
        <v>1.5850104559870001E-5</v>
      </c>
      <c r="L38" s="63">
        <f t="shared" si="13"/>
        <v>6.754180227034829</v>
      </c>
      <c r="M38" s="60">
        <f t="shared" si="14"/>
        <v>0.42612843350796326</v>
      </c>
      <c r="N38" s="6">
        <f t="shared" si="4"/>
        <v>1.0960357353455685E-2</v>
      </c>
      <c r="O38" s="9"/>
      <c r="P38" s="9"/>
      <c r="Q38" s="9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6.5">
      <c r="A39" s="9" t="s">
        <v>205</v>
      </c>
      <c r="B39" s="9" t="s">
        <v>203</v>
      </c>
      <c r="C39" s="66">
        <v>44975</v>
      </c>
      <c r="D39" s="2">
        <v>1.5883E-3</v>
      </c>
      <c r="E39" s="9">
        <v>997</v>
      </c>
      <c r="F39" s="2">
        <v>967</v>
      </c>
      <c r="G39" s="2">
        <v>5.73</v>
      </c>
      <c r="H39" s="2">
        <v>43.2</v>
      </c>
      <c r="I39" s="60">
        <f t="shared" si="10"/>
        <v>0.16876090750436298</v>
      </c>
      <c r="J39" s="61">
        <f t="shared" si="11"/>
        <v>16877.360809304937</v>
      </c>
      <c r="K39" s="62">
        <f t="shared" si="12"/>
        <v>1.5850104559870001E-5</v>
      </c>
      <c r="L39" s="63">
        <f t="shared" si="13"/>
        <v>6.924688891916138</v>
      </c>
      <c r="M39" s="60">
        <f t="shared" si="14"/>
        <v>0.43688600701400876</v>
      </c>
      <c r="N39" s="6">
        <f t="shared" si="4"/>
        <v>1.0427242443043605E-2</v>
      </c>
      <c r="O39" s="9"/>
      <c r="P39" s="9"/>
      <c r="Q39" s="9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6.5">
      <c r="A40" s="9" t="s">
        <v>205</v>
      </c>
      <c r="B40" s="9" t="s">
        <v>203</v>
      </c>
      <c r="C40" s="66">
        <v>44975</v>
      </c>
      <c r="D40" s="2">
        <v>1.5883E-3</v>
      </c>
      <c r="E40" s="9">
        <v>997</v>
      </c>
      <c r="F40" s="2">
        <v>1100</v>
      </c>
      <c r="G40" s="2">
        <v>5.51</v>
      </c>
      <c r="H40" s="2">
        <v>27.2</v>
      </c>
      <c r="I40" s="60">
        <f t="shared" si="10"/>
        <v>0.19963702359346644</v>
      </c>
      <c r="J40" s="61">
        <f t="shared" si="11"/>
        <v>19965.204785329493</v>
      </c>
      <c r="K40" s="62">
        <f t="shared" si="12"/>
        <v>1.5850104559870001E-5</v>
      </c>
      <c r="L40" s="63">
        <f t="shared" si="13"/>
        <v>10.323499047506552</v>
      </c>
      <c r="M40" s="60">
        <f t="shared" si="14"/>
        <v>0.65132056438567887</v>
      </c>
      <c r="N40" s="6">
        <f t="shared" si="4"/>
        <v>4.6915479591874368E-3</v>
      </c>
      <c r="O40" s="9"/>
      <c r="P40" s="9"/>
      <c r="Q40" s="9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6.5">
      <c r="A41" s="9"/>
      <c r="B41" s="9"/>
      <c r="C41" s="58"/>
      <c r="D41" s="2"/>
      <c r="E41" s="9"/>
      <c r="F41" s="2"/>
      <c r="G41" s="2"/>
      <c r="H41" s="2"/>
      <c r="I41" s="60"/>
      <c r="J41" s="61"/>
      <c r="K41" s="62"/>
      <c r="L41" s="63"/>
      <c r="M41" s="60"/>
      <c r="N41" s="6" t="e">
        <f t="shared" si="4"/>
        <v>#DIV/0!</v>
      </c>
      <c r="O41" s="9"/>
      <c r="P41" s="9"/>
      <c r="Q41" s="9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6.5">
      <c r="A42" s="9"/>
      <c r="B42" s="9"/>
      <c r="C42" s="58"/>
      <c r="D42" s="2"/>
      <c r="E42" s="9"/>
      <c r="F42" s="2"/>
      <c r="G42" s="2"/>
      <c r="H42" s="2"/>
      <c r="I42" s="60"/>
      <c r="J42" s="61"/>
      <c r="K42" s="62"/>
      <c r="L42" s="63"/>
      <c r="M42" s="60"/>
      <c r="N42" s="6" t="e">
        <f t="shared" si="4"/>
        <v>#DIV/0!</v>
      </c>
      <c r="O42" s="9"/>
      <c r="P42" s="9"/>
      <c r="Q42" s="9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6.5">
      <c r="A43" s="9"/>
      <c r="B43" s="9"/>
      <c r="C43" s="58"/>
      <c r="D43" s="2"/>
      <c r="E43" s="9"/>
      <c r="F43" s="2"/>
      <c r="G43" s="2"/>
      <c r="H43" s="2"/>
      <c r="I43" s="60"/>
      <c r="J43" s="61"/>
      <c r="K43" s="62"/>
      <c r="L43" s="63"/>
      <c r="M43" s="60"/>
      <c r="N43" s="6" t="e">
        <f t="shared" si="4"/>
        <v>#DIV/0!</v>
      </c>
      <c r="O43" s="9"/>
      <c r="P43" s="9"/>
      <c r="Q43" s="9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6.5">
      <c r="A44" s="2"/>
      <c r="B44" s="2"/>
      <c r="C44" s="58"/>
      <c r="D44" s="2"/>
      <c r="E44" s="9"/>
      <c r="F44" s="2"/>
      <c r="G44" s="2"/>
      <c r="H44" s="2"/>
      <c r="I44" s="60"/>
      <c r="J44" s="61"/>
      <c r="K44" s="62"/>
      <c r="L44" s="63"/>
      <c r="M44" s="60"/>
      <c r="N44" s="6" t="e">
        <f t="shared" si="4"/>
        <v>#DIV/0!</v>
      </c>
      <c r="O44" s="9"/>
      <c r="P44" s="9"/>
      <c r="Q44" s="9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2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6" t="e">
        <f t="shared" si="4"/>
        <v>#DIV/0!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2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6" t="e">
        <f t="shared" si="4"/>
        <v>#DIV/0!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2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 t="e">
        <f t="shared" ref="L47:M47" si="15">AVERAGE(#REF!,#REF!)</f>
        <v>#REF!</v>
      </c>
      <c r="M47" s="2" t="e">
        <f t="shared" si="15"/>
        <v>#REF!</v>
      </c>
      <c r="N47" s="6" t="e">
        <f t="shared" si="4"/>
        <v>#REF!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2.3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6" t="e">
        <f t="shared" si="4"/>
        <v>#DIV/0!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2.3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 t="e">
        <f>AVERAGEA(#REF!)</f>
        <v>#REF!</v>
      </c>
      <c r="M49" s="2"/>
      <c r="N49" s="6" t="e">
        <f t="shared" si="4"/>
        <v>#REF!</v>
      </c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2.3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6" t="e">
        <f t="shared" si="4"/>
        <v>#DIV/0!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6.5">
      <c r="A51" s="2"/>
      <c r="B51" s="2"/>
      <c r="C51" s="2"/>
      <c r="D51" s="2"/>
      <c r="E51" s="2"/>
      <c r="F51" s="2"/>
      <c r="G51" s="2"/>
      <c r="H51" s="2"/>
      <c r="I51" s="60" t="e">
        <f t="shared" ref="I51:I52" si="16">(F51*0.001)/G51</f>
        <v>#DIV/0!</v>
      </c>
      <c r="J51" s="61" t="e">
        <f t="shared" ref="J51:J52" si="17">E51*D51*(I51/(K51*E51))/(0.001002)</f>
        <v>#DIV/0!</v>
      </c>
      <c r="K51" s="2"/>
      <c r="L51" s="63" t="e">
        <f t="shared" ref="L51:L52" si="18">I51/(SQRT(2*E51*(H51*6895)))</f>
        <v>#DIV/0!</v>
      </c>
      <c r="M51" s="2" t="e">
        <f>AVERAGE(#REF!)</f>
        <v>#REF!</v>
      </c>
      <c r="N51" s="6" t="e">
        <f t="shared" si="4"/>
        <v>#DIV/0!</v>
      </c>
      <c r="O51" s="6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6.5">
      <c r="A52" s="2"/>
      <c r="B52" s="2"/>
      <c r="C52" s="2"/>
      <c r="D52" s="2"/>
      <c r="E52" s="2"/>
      <c r="F52" s="2"/>
      <c r="G52" s="2"/>
      <c r="H52" s="2"/>
      <c r="I52" s="60" t="e">
        <f t="shared" si="16"/>
        <v>#DIV/0!</v>
      </c>
      <c r="J52" s="61" t="e">
        <f t="shared" si="17"/>
        <v>#DIV/0!</v>
      </c>
      <c r="K52" s="2"/>
      <c r="L52" s="63" t="e">
        <f t="shared" si="18"/>
        <v>#DIV/0!</v>
      </c>
      <c r="M52" s="2"/>
      <c r="N52" s="6" t="e">
        <f t="shared" si="4"/>
        <v>#DIV/0!</v>
      </c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2.3">
      <c r="A53" s="2"/>
      <c r="B53" s="2"/>
      <c r="C53" s="2"/>
      <c r="D53" s="9"/>
      <c r="E53" s="2"/>
      <c r="F53" s="2"/>
      <c r="G53" s="2"/>
      <c r="H53" s="2"/>
      <c r="I53" s="2"/>
      <c r="J53" s="2"/>
      <c r="K53" s="62">
        <f>D53^2/4*3.1415*8</f>
        <v>0</v>
      </c>
      <c r="L53" s="2" t="e">
        <f>AVERAGE(#REF!)</f>
        <v>#REF!</v>
      </c>
      <c r="M53" s="60" t="e">
        <f>I53/(K53*SQRT(2*E53*(H53*6895)))</f>
        <v>#DIV/0!</v>
      </c>
      <c r="N53" s="6" t="e">
        <f t="shared" si="4"/>
        <v>#REF!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2.3">
      <c r="A54" s="2"/>
      <c r="B54" s="2"/>
      <c r="C54" s="2"/>
      <c r="D54" s="2"/>
      <c r="E54" s="2"/>
      <c r="F54" s="2"/>
      <c r="G54" s="2"/>
      <c r="H54" s="2"/>
      <c r="I54" s="2"/>
      <c r="J54" s="2"/>
      <c r="K54" s="2" t="s">
        <v>216</v>
      </c>
      <c r="L54" s="2" t="e">
        <f>AVERAGE(L53)</f>
        <v>#REF!</v>
      </c>
      <c r="M54" s="2"/>
      <c r="N54" s="6" t="e">
        <f t="shared" si="4"/>
        <v>#REF!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6.5">
      <c r="A55" s="9"/>
      <c r="B55" s="9" t="s">
        <v>218</v>
      </c>
      <c r="C55" s="68">
        <v>45339</v>
      </c>
      <c r="D55" s="2">
        <v>1.5621000000000001E-3</v>
      </c>
      <c r="E55" s="9">
        <v>997</v>
      </c>
      <c r="F55" s="2">
        <f>1545-800</f>
        <v>745</v>
      </c>
      <c r="G55" s="2">
        <v>3.32</v>
      </c>
      <c r="H55" s="2">
        <f t="shared" ref="H55:H60" si="19">(R55-S55)/(LN(R55/S55))</f>
        <v>75.841841973991421</v>
      </c>
      <c r="I55" s="60">
        <f t="shared" ref="I55:I60" si="20">(F55*0.001)/G55</f>
        <v>0.2243975903614458</v>
      </c>
      <c r="J55" s="61">
        <f t="shared" ref="J55:J60" si="21">E55*D55*(I55/(K55*E55))/(0.001002)</f>
        <v>22817.842358710444</v>
      </c>
      <c r="K55" s="62">
        <f t="shared" ref="K55:K60" si="22">D55^2/4*3.1415*8</f>
        <v>1.5331502724030003E-5</v>
      </c>
      <c r="L55" s="63">
        <f t="shared" ref="L55:L60" si="23">I55/(SQRT(2*E55*(H55*6895)))</f>
        <v>6.9491876747660603E-6</v>
      </c>
      <c r="M55" s="60">
        <f t="shared" ref="M55:M60" si="24">I55/(K55*SQRT(2*E55*(H55*6895)))</f>
        <v>0.45326200567894576</v>
      </c>
      <c r="N55" s="6">
        <f t="shared" si="4"/>
        <v>10353851287.690821</v>
      </c>
      <c r="O55" s="2"/>
      <c r="P55" s="2"/>
      <c r="Q55" s="2"/>
      <c r="R55" s="2">
        <v>82</v>
      </c>
      <c r="S55" s="2">
        <v>70</v>
      </c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6.5">
      <c r="A56" s="9"/>
      <c r="B56" s="72" t="s">
        <v>218</v>
      </c>
      <c r="C56" s="68">
        <v>45339</v>
      </c>
      <c r="D56" s="2">
        <v>1.5621000000000001E-3</v>
      </c>
      <c r="E56" s="9">
        <v>997</v>
      </c>
      <c r="F56" s="2">
        <f>2035-785</f>
        <v>1250</v>
      </c>
      <c r="G56" s="2">
        <v>5.25</v>
      </c>
      <c r="H56" s="2">
        <f t="shared" si="19"/>
        <v>75.559360022049646</v>
      </c>
      <c r="I56" s="60">
        <f t="shared" si="20"/>
        <v>0.23809523809523808</v>
      </c>
      <c r="J56" s="61">
        <f t="shared" si="21"/>
        <v>24210.686043757963</v>
      </c>
      <c r="K56" s="62">
        <f t="shared" si="22"/>
        <v>1.5331502724030003E-5</v>
      </c>
      <c r="L56" s="63">
        <f t="shared" si="23"/>
        <v>7.3871490516186645E-6</v>
      </c>
      <c r="M56" s="60">
        <f t="shared" si="24"/>
        <v>0.48182811460746988</v>
      </c>
      <c r="N56" s="6">
        <f t="shared" si="4"/>
        <v>9162548372.7031822</v>
      </c>
      <c r="O56" s="2"/>
      <c r="P56" s="2"/>
      <c r="Q56" s="2"/>
      <c r="R56" s="2">
        <v>86</v>
      </c>
      <c r="S56" s="2">
        <v>66</v>
      </c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6.5">
      <c r="A57" s="9"/>
      <c r="B57" s="72" t="s">
        <v>218</v>
      </c>
      <c r="C57" s="68">
        <v>45339</v>
      </c>
      <c r="D57" s="2">
        <v>1.5621000000000001E-3</v>
      </c>
      <c r="E57" s="9">
        <v>997</v>
      </c>
      <c r="F57" s="2">
        <f>1870-800</f>
        <v>1070</v>
      </c>
      <c r="G57" s="2">
        <v>4.8099999999999996</v>
      </c>
      <c r="H57" s="2">
        <f t="shared" si="19"/>
        <v>59.440268239769239</v>
      </c>
      <c r="I57" s="60">
        <f t="shared" si="20"/>
        <v>0.22245322245322249</v>
      </c>
      <c r="J57" s="61">
        <f t="shared" si="21"/>
        <v>22620.129538596324</v>
      </c>
      <c r="K57" s="62">
        <f t="shared" si="22"/>
        <v>1.5331502724030003E-5</v>
      </c>
      <c r="L57" s="63">
        <f t="shared" si="23"/>
        <v>7.7815947301622893E-6</v>
      </c>
      <c r="M57" s="60">
        <f t="shared" si="24"/>
        <v>0.50755590435148401</v>
      </c>
      <c r="N57" s="6">
        <f t="shared" si="4"/>
        <v>8257199675.4729156</v>
      </c>
      <c r="O57" s="2"/>
      <c r="P57" s="2"/>
      <c r="Q57" s="2"/>
      <c r="R57" s="2">
        <v>70</v>
      </c>
      <c r="S57" s="2">
        <v>50</v>
      </c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6.5">
      <c r="A58" s="9"/>
      <c r="B58" s="72" t="s">
        <v>218</v>
      </c>
      <c r="C58" s="68">
        <v>45339</v>
      </c>
      <c r="D58" s="2">
        <v>1.5621000000000001E-3</v>
      </c>
      <c r="E58" s="9">
        <v>997</v>
      </c>
      <c r="F58" s="2">
        <f>1845-805</f>
        <v>1040</v>
      </c>
      <c r="G58" s="2">
        <v>4.6500000000000004</v>
      </c>
      <c r="H58" s="2">
        <f t="shared" si="19"/>
        <v>58.539498110814144</v>
      </c>
      <c r="I58" s="60">
        <f t="shared" si="20"/>
        <v>0.2236559139784946</v>
      </c>
      <c r="J58" s="61">
        <f t="shared" si="21"/>
        <v>22742.425083684899</v>
      </c>
      <c r="K58" s="62">
        <f t="shared" si="22"/>
        <v>1.5331502724030003E-5</v>
      </c>
      <c r="L58" s="63">
        <f t="shared" si="23"/>
        <v>7.8836289716058119E-6</v>
      </c>
      <c r="M58" s="60">
        <f t="shared" si="24"/>
        <v>0.51421110595045039</v>
      </c>
      <c r="N58" s="6">
        <f t="shared" si="4"/>
        <v>8044844439.1788607</v>
      </c>
      <c r="O58" s="2"/>
      <c r="P58" s="2"/>
      <c r="Q58" s="2"/>
      <c r="R58" s="2">
        <v>68</v>
      </c>
      <c r="S58" s="2">
        <v>50</v>
      </c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6.5">
      <c r="A59" s="9"/>
      <c r="B59" s="72" t="s">
        <v>218</v>
      </c>
      <c r="C59" s="68">
        <v>45339</v>
      </c>
      <c r="D59" s="2">
        <v>1.5621000000000001E-3</v>
      </c>
      <c r="E59" s="9">
        <v>997</v>
      </c>
      <c r="F59" s="2">
        <f>1825-785</f>
        <v>1040</v>
      </c>
      <c r="G59" s="2">
        <v>4.09</v>
      </c>
      <c r="H59" s="2">
        <f t="shared" si="19"/>
        <v>77.380682393957301</v>
      </c>
      <c r="I59" s="60">
        <f t="shared" si="20"/>
        <v>0.25427872860635697</v>
      </c>
      <c r="J59" s="61">
        <f t="shared" si="21"/>
        <v>25856.302356756671</v>
      </c>
      <c r="K59" s="62">
        <f t="shared" si="22"/>
        <v>1.5331502724030003E-5</v>
      </c>
      <c r="L59" s="63">
        <f t="shared" si="23"/>
        <v>7.7958601804391901E-6</v>
      </c>
      <c r="M59" s="60">
        <f t="shared" si="24"/>
        <v>0.50848637089045823</v>
      </c>
      <c r="N59" s="6">
        <f t="shared" si="4"/>
        <v>8227008036.388586</v>
      </c>
      <c r="O59" s="2"/>
      <c r="P59" s="2"/>
      <c r="Q59" s="2"/>
      <c r="R59" s="2">
        <v>90</v>
      </c>
      <c r="S59" s="2">
        <v>66</v>
      </c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6.5">
      <c r="A60" s="9"/>
      <c r="B60" s="72" t="s">
        <v>218</v>
      </c>
      <c r="C60" s="68">
        <v>45339</v>
      </c>
      <c r="D60" s="2">
        <v>1.5621000000000001E-3</v>
      </c>
      <c r="E60" s="9">
        <v>997</v>
      </c>
      <c r="F60" s="2">
        <f>1870-790</f>
        <v>1080</v>
      </c>
      <c r="G60" s="2">
        <v>4.07</v>
      </c>
      <c r="H60" s="2">
        <f t="shared" si="19"/>
        <v>92.824106636844263</v>
      </c>
      <c r="I60" s="60">
        <f t="shared" si="20"/>
        <v>0.26535626535626533</v>
      </c>
      <c r="J60" s="61">
        <f t="shared" si="21"/>
        <v>26982.720367195605</v>
      </c>
      <c r="K60" s="62">
        <f t="shared" si="22"/>
        <v>1.5331502724030003E-5</v>
      </c>
      <c r="L60" s="63">
        <f t="shared" si="23"/>
        <v>7.4279546734063065E-6</v>
      </c>
      <c r="M60" s="60">
        <f t="shared" si="24"/>
        <v>0.48448966856745346</v>
      </c>
      <c r="N60" s="6">
        <f t="shared" si="4"/>
        <v>9062155591.2181835</v>
      </c>
      <c r="O60" s="2"/>
      <c r="P60" s="2"/>
      <c r="Q60" s="2"/>
      <c r="R60" s="2">
        <v>100</v>
      </c>
      <c r="S60" s="2">
        <v>86</v>
      </c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2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6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2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6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2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6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2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6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2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6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2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2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6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2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6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2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6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2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6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2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2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6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2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6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2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6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2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6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2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6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2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6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2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6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2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6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2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6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2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6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2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6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2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6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2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2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2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2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2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2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2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2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2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2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2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2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2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2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2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2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2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2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6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2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6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2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6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2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6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2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6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2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6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2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2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6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2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2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6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2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6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2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6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2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6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2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6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2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6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2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6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2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6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2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6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2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6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2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6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2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6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2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6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2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6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2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6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2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6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2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6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2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6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2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6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2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6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2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6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2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6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2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6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2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6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2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6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2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6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2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6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2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6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2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6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2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6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2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6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2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6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2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6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2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6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2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6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2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6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2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6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2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6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2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6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2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6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2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6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2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6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2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6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2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6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2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6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2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6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2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6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2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6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2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6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2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6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2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6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2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6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2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6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2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6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2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6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2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6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2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6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2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6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2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6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2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6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2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6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2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6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2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6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2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6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2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6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2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6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2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6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2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6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2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6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2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6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2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6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2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6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2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6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2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6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2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6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2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6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2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6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2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6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2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6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2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6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2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6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2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6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2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6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2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6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2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6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2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6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2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6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2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6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2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6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2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6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2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6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2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6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2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6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2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6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2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6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2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6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2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6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2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6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2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6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2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6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2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6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2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6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2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6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2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6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2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6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2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6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2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6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2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6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2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6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2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6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2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6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2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6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2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6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2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6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2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6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2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6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2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6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2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6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2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6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2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6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2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6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2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6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2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6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2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6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2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6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2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6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2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6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2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6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2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6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2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6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2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6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2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6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2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6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2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6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2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6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2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6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2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6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2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6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2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6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2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6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2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6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2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6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2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6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2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6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2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6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2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6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2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6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2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6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2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6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2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6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2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6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2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6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2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6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2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6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2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6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2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6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2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6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2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6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2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6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2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6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2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6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2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6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2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6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2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6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2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6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2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6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2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6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2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6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2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6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2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6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2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6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2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6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2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6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2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6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2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6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2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6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2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6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2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6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2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6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2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6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2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6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2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6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2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6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2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6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2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6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2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6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2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6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2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6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2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6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2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6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2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6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2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6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2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6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2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6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2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6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2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6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2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6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2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6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2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6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2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6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2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6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2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6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2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6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2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6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2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6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2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6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2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6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2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6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2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6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2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6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2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6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2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6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2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6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2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6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2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6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2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6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2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6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2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6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2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6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2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6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2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6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2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6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2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6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2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6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2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6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2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6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2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6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2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6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2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6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2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6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2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6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2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6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2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6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2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6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2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6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2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6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2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6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2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6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2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6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2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6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2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6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2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6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2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6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2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6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2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6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2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6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2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6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2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6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2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6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2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6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2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6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2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6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2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6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2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6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2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6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2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6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2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6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2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6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2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6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2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6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2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6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2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6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2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6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2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6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2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6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2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6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2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6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2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6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2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6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2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6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2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6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2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6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2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6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2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6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2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6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2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6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2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6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2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6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2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6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2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6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2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6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2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6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2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6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2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6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2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6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2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6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2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6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2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6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2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6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2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6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2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6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2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6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2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6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2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6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2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6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2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6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2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6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2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6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2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6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2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6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2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6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2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6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2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6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2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6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2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6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2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6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2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6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2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6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2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6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2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6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2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6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2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6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2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6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2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6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2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6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2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6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2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6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2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6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2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6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2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6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2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6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2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6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2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6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2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6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2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6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2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6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2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6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2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6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2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6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2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6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2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6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2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6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2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6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2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6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2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6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2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6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2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6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2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6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2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6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2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6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2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6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2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6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2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6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2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6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2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6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2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6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2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6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2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6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2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6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2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6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2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6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2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6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2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6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2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6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2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6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2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6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2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6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2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6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2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6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2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6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2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6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2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6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2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6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2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6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2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6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2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6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2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6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2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6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2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6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2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6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2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6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2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6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2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6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2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6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2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6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2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6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2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6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2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6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2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6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2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6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2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6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2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6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2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6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2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6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2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6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2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6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2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6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2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6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2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6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2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6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2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6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2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6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2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6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2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6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2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6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2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6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2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6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2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6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2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6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2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6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2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6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2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6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2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6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2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6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2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6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2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6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2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6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2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6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2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6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2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6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2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6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2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6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2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6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2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6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2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6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2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6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2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6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2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6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2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6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2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6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2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6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2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6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2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6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2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6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2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6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2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6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2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6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2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6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2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6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2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6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2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6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2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6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2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6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2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6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2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6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2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6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2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6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2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6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2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6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2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6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2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6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2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6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2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6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2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6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2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6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2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6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2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6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2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6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2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6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2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6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2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6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2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6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2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6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2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6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2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6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2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6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2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6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2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6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2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6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2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6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2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6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2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6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2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6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2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6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2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6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2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6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2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6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2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6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2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6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2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6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2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6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2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6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2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6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2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6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2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6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2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6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2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6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2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6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2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6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2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6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2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6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2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6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2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6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2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6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2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6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2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6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2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6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2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6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2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6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2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6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2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6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2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6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2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6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2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6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2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6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2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6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2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6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2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6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2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6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2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6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2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6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2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6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2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6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2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6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2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6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2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6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2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6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2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6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2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6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2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6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2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6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2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6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2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6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2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6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2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6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2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6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2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6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2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6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2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6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2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6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2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6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2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6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2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6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2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6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2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6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2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6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2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6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2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6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2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6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2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6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2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6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2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6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2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6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2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6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2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6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2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6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2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6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2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6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2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6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2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6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2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6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2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6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2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6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2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6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2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6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2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6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2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6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2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6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2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6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2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6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2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6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2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6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2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6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2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6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2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6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2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6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2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6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2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6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2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6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2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6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2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6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2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6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2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6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2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6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2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6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2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6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2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6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2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6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2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6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2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6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2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6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2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6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2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6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2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6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2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6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2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6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2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6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2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6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2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6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2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6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2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6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2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6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2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6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2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6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2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6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2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6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2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6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2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6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2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6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2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6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2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6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2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6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2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6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2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6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2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6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2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6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2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6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2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6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2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6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2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6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2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6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2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6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2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6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2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6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2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6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2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6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2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6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2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6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2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6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2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6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2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6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2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6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2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6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2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6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2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6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2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6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2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6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2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6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2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6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2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6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2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6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2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6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2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6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2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6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2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6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2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6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2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6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2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6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2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6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2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6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2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6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2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6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2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6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2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6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2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6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2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6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2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6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2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6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2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6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2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6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2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6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2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6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2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6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2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6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2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6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2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6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2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6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2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6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2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6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2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6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2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6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2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6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2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6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2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6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2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6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2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6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2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6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2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6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2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6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2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6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2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6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2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6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2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6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2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6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2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6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2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6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2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6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2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6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2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6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2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6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2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6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2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6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2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6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2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6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2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6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2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6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2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6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2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6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2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6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2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6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2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6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2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6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2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6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2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6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2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6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2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6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2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6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2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6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2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6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2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6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2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6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2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6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2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6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2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6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2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6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2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6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2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6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2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6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2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6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2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6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2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6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2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6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2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6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2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6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2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6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2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6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2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6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2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6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2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6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2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6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2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6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2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6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2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6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2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6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2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6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2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6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2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6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2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6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2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6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2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6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2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6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2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6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2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6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2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6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2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6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2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6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2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6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2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6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2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6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2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6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2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6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2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6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2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6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2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6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2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6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2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6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2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6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  <row r="847" spans="1:30" ht="12.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6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</row>
    <row r="848" spans="1:30" ht="12.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6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</row>
    <row r="849" spans="1:30" ht="12.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6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</row>
    <row r="850" spans="1:30" ht="12.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6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</row>
    <row r="851" spans="1:30" ht="12.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6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</row>
    <row r="852" spans="1:30" ht="12.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6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</row>
    <row r="853" spans="1:30" ht="12.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6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</row>
  </sheetData>
  <printOptions horizontalCentered="1" gridLines="1"/>
  <pageMargins left="0.7" right="0.7" top="0.75" bottom="0.75" header="0" footer="0"/>
  <pageSetup pageOrder="overThenDown" orientation="landscape" cellComments="atEnd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D846"/>
  <sheetViews>
    <sheetView workbookViewId="0">
      <pane ySplit="2" topLeftCell="A3" activePane="bottomLeft" state="frozen"/>
      <selection pane="bottomLeft" activeCell="B4" sqref="B4"/>
    </sheetView>
  </sheetViews>
  <sheetFormatPr defaultColWidth="12.609375" defaultRowHeight="15.75" customHeight="1"/>
  <cols>
    <col min="1" max="2" width="15.21875" customWidth="1"/>
    <col min="3" max="3" width="12.109375" customWidth="1"/>
    <col min="4" max="4" width="15.609375" customWidth="1"/>
    <col min="5" max="5" width="12.71875" customWidth="1"/>
    <col min="6" max="6" width="12.21875" customWidth="1"/>
    <col min="7" max="7" width="7.88671875" customWidth="1"/>
    <col min="8" max="8" width="18" customWidth="1"/>
    <col min="9" max="9" width="10.88671875" customWidth="1"/>
    <col min="10" max="10" width="10.21875" customWidth="1"/>
    <col min="11" max="11" width="13.71875" customWidth="1"/>
    <col min="12" max="12" width="18" customWidth="1"/>
    <col min="14" max="14" width="19" customWidth="1"/>
  </cols>
  <sheetData>
    <row r="1" spans="1:30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>
      <c r="A2" s="2" t="s">
        <v>172</v>
      </c>
      <c r="B2" s="2" t="s">
        <v>173</v>
      </c>
      <c r="C2" s="2" t="s">
        <v>174</v>
      </c>
      <c r="D2" s="46" t="s">
        <v>175</v>
      </c>
      <c r="E2" s="46" t="s">
        <v>176</v>
      </c>
      <c r="F2" s="46" t="s">
        <v>177</v>
      </c>
      <c r="G2" s="46" t="s">
        <v>178</v>
      </c>
      <c r="H2" s="46" t="s">
        <v>179</v>
      </c>
      <c r="I2" s="47" t="s">
        <v>180</v>
      </c>
      <c r="J2" s="2" t="s">
        <v>181</v>
      </c>
      <c r="K2" s="2" t="s">
        <v>182</v>
      </c>
      <c r="L2" s="2" t="s">
        <v>183</v>
      </c>
      <c r="M2" s="2" t="s">
        <v>184</v>
      </c>
      <c r="N2" s="6" t="s">
        <v>185</v>
      </c>
      <c r="O2" s="2" t="s">
        <v>186</v>
      </c>
      <c r="P2" s="2"/>
      <c r="Q2" s="2" t="s">
        <v>187</v>
      </c>
      <c r="R2" s="2" t="s">
        <v>188</v>
      </c>
      <c r="S2" s="2" t="s">
        <v>189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.75" customHeight="1">
      <c r="A3" s="48"/>
      <c r="B3" s="48" t="s">
        <v>190</v>
      </c>
      <c r="C3" s="48" t="s">
        <v>191</v>
      </c>
      <c r="D3" s="48">
        <v>1.549E-3</v>
      </c>
      <c r="E3" s="48">
        <v>997</v>
      </c>
      <c r="F3" s="48">
        <v>300</v>
      </c>
      <c r="G3" s="48">
        <v>1</v>
      </c>
      <c r="H3" s="48">
        <v>90</v>
      </c>
      <c r="I3" s="48">
        <f t="shared" ref="I3:I10" si="0">(F3*0.001)/G3</f>
        <v>0.3</v>
      </c>
      <c r="J3" s="49">
        <f t="shared" ref="J3:J10" si="1">E3*D3*(I3/(K3*E3))/(0.001002)</f>
        <v>30763.451234914421</v>
      </c>
      <c r="K3" s="48">
        <f>((D3/2)^2)*3.1415*8</f>
        <v>1.5075436483000001E-5</v>
      </c>
      <c r="L3" s="50">
        <f t="shared" ref="L3:L10" si="2">I3/(SQRT(2*E3*(H3*6895)))</f>
        <v>8.5284535368570472E-6</v>
      </c>
      <c r="M3" s="51">
        <f t="shared" ref="M3:M10" si="3">I3/(K3*SQRT(2*E3*(H3*6895)))</f>
        <v>0.56571851478225932</v>
      </c>
      <c r="N3" s="6">
        <f t="shared" ref="N3:N53" si="4">1/(2*L3^2)</f>
        <v>6874315000.000001</v>
      </c>
      <c r="O3" s="2">
        <f>N3*I3^2/E3/6895</f>
        <v>90.000000000000014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5.75" customHeight="1">
      <c r="A4" s="2"/>
      <c r="B4" s="2" t="s">
        <v>195</v>
      </c>
      <c r="C4" s="52">
        <v>44851</v>
      </c>
      <c r="D4" s="2">
        <v>1.6473E-3</v>
      </c>
      <c r="E4" s="2">
        <v>997</v>
      </c>
      <c r="F4" s="2">
        <v>792</v>
      </c>
      <c r="G4" s="2">
        <v>4.51</v>
      </c>
      <c r="H4" s="2">
        <v>22</v>
      </c>
      <c r="I4" s="11">
        <f t="shared" si="0"/>
        <v>0.17560975609756099</v>
      </c>
      <c r="J4" s="53">
        <f t="shared" si="1"/>
        <v>16952.703589855653</v>
      </c>
      <c r="K4" s="2">
        <v>1.7030000000000001E-5</v>
      </c>
      <c r="L4" s="50">
        <f t="shared" si="2"/>
        <v>1.0097354110079719E-5</v>
      </c>
      <c r="M4" s="11">
        <f t="shared" si="3"/>
        <v>0.59291568467878553</v>
      </c>
      <c r="N4" s="6">
        <f t="shared" si="4"/>
        <v>4904049331.2114182</v>
      </c>
      <c r="O4" s="11"/>
      <c r="P4" s="11"/>
      <c r="Q4" s="1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5.75" customHeight="1">
      <c r="A5" s="2"/>
      <c r="B5" s="2" t="s">
        <v>195</v>
      </c>
      <c r="C5" s="52">
        <v>44851</v>
      </c>
      <c r="D5" s="2">
        <v>1.6473E-3</v>
      </c>
      <c r="E5" s="2">
        <v>997</v>
      </c>
      <c r="F5" s="2">
        <v>1199</v>
      </c>
      <c r="G5" s="2">
        <v>5.64</v>
      </c>
      <c r="H5" s="2">
        <v>35</v>
      </c>
      <c r="I5" s="11">
        <f t="shared" si="0"/>
        <v>0.21258865248226952</v>
      </c>
      <c r="J5" s="53">
        <f t="shared" si="1"/>
        <v>20522.506791117856</v>
      </c>
      <c r="K5" s="2">
        <v>1.7030000000000001E-5</v>
      </c>
      <c r="L5" s="50">
        <f t="shared" si="2"/>
        <v>9.6911729629061529E-6</v>
      </c>
      <c r="M5" s="11">
        <f t="shared" si="3"/>
        <v>0.56906476587822385</v>
      </c>
      <c r="N5" s="6">
        <f t="shared" si="4"/>
        <v>5323745854.9625359</v>
      </c>
      <c r="O5" s="11"/>
      <c r="P5" s="11"/>
      <c r="Q5" s="11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5.75" customHeight="1">
      <c r="A6" s="2"/>
      <c r="B6" s="2" t="s">
        <v>195</v>
      </c>
      <c r="C6" s="52">
        <v>44851</v>
      </c>
      <c r="D6" s="2">
        <v>1.6473E-3</v>
      </c>
      <c r="E6" s="2">
        <v>997</v>
      </c>
      <c r="F6" s="2">
        <v>1741</v>
      </c>
      <c r="G6" s="2">
        <v>5.92</v>
      </c>
      <c r="H6" s="2">
        <v>56</v>
      </c>
      <c r="I6" s="11">
        <f t="shared" si="0"/>
        <v>0.29408783783783787</v>
      </c>
      <c r="J6" s="53">
        <f t="shared" si="1"/>
        <v>28390.130793625332</v>
      </c>
      <c r="K6" s="2">
        <v>1.7030000000000001E-5</v>
      </c>
      <c r="L6" s="50">
        <f t="shared" si="2"/>
        <v>1.0598718039264981E-5</v>
      </c>
      <c r="M6" s="11">
        <f t="shared" si="3"/>
        <v>0.62235572749647572</v>
      </c>
      <c r="N6" s="6">
        <f t="shared" si="4"/>
        <v>4451058754.3176832</v>
      </c>
      <c r="O6" s="11"/>
      <c r="P6" s="11"/>
      <c r="Q6" s="11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.75" customHeight="1">
      <c r="A7" s="2"/>
      <c r="B7" s="2" t="s">
        <v>196</v>
      </c>
      <c r="C7" s="52">
        <v>44851</v>
      </c>
      <c r="D7" s="2">
        <v>1.6473E-3</v>
      </c>
      <c r="E7" s="2">
        <v>997</v>
      </c>
      <c r="F7" s="2">
        <v>1489</v>
      </c>
      <c r="G7" s="2">
        <v>6.17</v>
      </c>
      <c r="H7" s="2">
        <v>44</v>
      </c>
      <c r="I7" s="11">
        <f t="shared" si="0"/>
        <v>0.24132901134521881</v>
      </c>
      <c r="J7" s="53">
        <f t="shared" si="1"/>
        <v>23296.992649403423</v>
      </c>
      <c r="K7" s="2">
        <v>1.7030000000000001E-5</v>
      </c>
      <c r="L7" s="50">
        <f t="shared" si="2"/>
        <v>9.8119083565332575E-6</v>
      </c>
      <c r="M7" s="11">
        <f t="shared" si="3"/>
        <v>0.57615433684869388</v>
      </c>
      <c r="N7" s="6">
        <f t="shared" si="4"/>
        <v>5193534702.5958433</v>
      </c>
      <c r="O7" s="11"/>
      <c r="P7" s="11"/>
      <c r="Q7" s="1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 customHeight="1">
      <c r="A8" s="2"/>
      <c r="B8" s="2" t="s">
        <v>195</v>
      </c>
      <c r="C8" s="52">
        <v>44851</v>
      </c>
      <c r="D8" s="2">
        <v>1.6473E-3</v>
      </c>
      <c r="E8" s="2">
        <v>997</v>
      </c>
      <c r="F8" s="2">
        <v>1478</v>
      </c>
      <c r="G8" s="2">
        <v>5.35</v>
      </c>
      <c r="H8" s="2">
        <v>49</v>
      </c>
      <c r="I8" s="11">
        <f t="shared" si="0"/>
        <v>0.27626168224299069</v>
      </c>
      <c r="J8" s="53">
        <f t="shared" si="1"/>
        <v>26669.260958932315</v>
      </c>
      <c r="K8" s="2">
        <v>1.7030000000000001E-5</v>
      </c>
      <c r="L8" s="50">
        <f t="shared" si="2"/>
        <v>1.0643706730302286E-5</v>
      </c>
      <c r="M8" s="11">
        <f t="shared" si="3"/>
        <v>0.62499745920741534</v>
      </c>
      <c r="N8" s="6">
        <f t="shared" si="4"/>
        <v>4413510913.0062275</v>
      </c>
      <c r="O8" s="11"/>
      <c r="P8" s="11"/>
      <c r="Q8" s="1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 customHeight="1">
      <c r="A9" s="2"/>
      <c r="B9" s="2" t="s">
        <v>195</v>
      </c>
      <c r="C9" s="52">
        <v>44851</v>
      </c>
      <c r="D9" s="2">
        <v>1.6473E-3</v>
      </c>
      <c r="E9" s="2">
        <v>997</v>
      </c>
      <c r="F9" s="2">
        <v>1057</v>
      </c>
      <c r="G9" s="2">
        <v>5.68</v>
      </c>
      <c r="H9" s="2">
        <v>31</v>
      </c>
      <c r="I9" s="11">
        <f t="shared" si="0"/>
        <v>0.18609154929577465</v>
      </c>
      <c r="J9" s="53">
        <f t="shared" si="1"/>
        <v>17964.576376016586</v>
      </c>
      <c r="K9" s="2">
        <v>1.7030000000000001E-5</v>
      </c>
      <c r="L9" s="50">
        <f t="shared" si="2"/>
        <v>9.0139696700475278E-6</v>
      </c>
      <c r="M9" s="11">
        <f t="shared" si="3"/>
        <v>0.52929945214606733</v>
      </c>
      <c r="N9" s="6">
        <f t="shared" si="4"/>
        <v>6153721245.6095285</v>
      </c>
      <c r="O9" s="11"/>
      <c r="P9" s="11"/>
      <c r="Q9" s="1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 customHeight="1">
      <c r="A10" s="2"/>
      <c r="B10" s="2" t="s">
        <v>195</v>
      </c>
      <c r="C10" s="52">
        <v>44851</v>
      </c>
      <c r="D10" s="2">
        <v>1.6473E-3</v>
      </c>
      <c r="E10" s="2">
        <v>997</v>
      </c>
      <c r="F10" s="2">
        <v>1187</v>
      </c>
      <c r="G10" s="2">
        <v>6.48</v>
      </c>
      <c r="H10" s="2">
        <v>32</v>
      </c>
      <c r="I10" s="11">
        <f t="shared" si="0"/>
        <v>0.18317901234567902</v>
      </c>
      <c r="J10" s="53">
        <f t="shared" si="1"/>
        <v>17683.41104268486</v>
      </c>
      <c r="K10" s="2">
        <v>1.7030000000000001E-5</v>
      </c>
      <c r="L10" s="50">
        <f t="shared" si="2"/>
        <v>8.7331518509125587E-6</v>
      </c>
      <c r="M10" s="11">
        <f t="shared" si="3"/>
        <v>0.51280985618981545</v>
      </c>
      <c r="N10" s="6">
        <f t="shared" si="4"/>
        <v>6555834493.4714661</v>
      </c>
      <c r="O10" s="11"/>
      <c r="P10" s="11"/>
      <c r="Q10" s="1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 customHeight="1">
      <c r="A11" s="54"/>
      <c r="B11" s="54" t="s">
        <v>197</v>
      </c>
      <c r="C11" s="54"/>
      <c r="D11" s="54"/>
      <c r="E11" s="54"/>
      <c r="F11" s="54"/>
      <c r="G11" s="54"/>
      <c r="H11" s="54"/>
      <c r="I11" s="55"/>
      <c r="J11" s="56"/>
      <c r="K11" s="54"/>
      <c r="L11" s="57"/>
      <c r="M11" s="55"/>
      <c r="N11" s="6" t="e">
        <f t="shared" si="4"/>
        <v>#DIV/0!</v>
      </c>
      <c r="O11" s="11"/>
      <c r="P11" s="11"/>
      <c r="Q11" s="1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 customHeight="1">
      <c r="A12" s="2"/>
      <c r="B12" s="2" t="s">
        <v>198</v>
      </c>
      <c r="C12" s="58">
        <v>44867</v>
      </c>
      <c r="D12" s="2">
        <v>1.562E-3</v>
      </c>
      <c r="E12" s="2">
        <v>997</v>
      </c>
      <c r="F12" s="2">
        <f>1426-950</f>
        <v>476</v>
      </c>
      <c r="G12" s="2">
        <v>3.85</v>
      </c>
      <c r="H12" s="2">
        <v>7.5</v>
      </c>
      <c r="I12" s="11">
        <f t="shared" ref="I12:I14" si="5">(F12*0.001)/G12</f>
        <v>0.12363636363636364</v>
      </c>
      <c r="J12" s="53">
        <f t="shared" ref="J12:J14" si="6">E12*D12*(I12/(K12*E12))/(0.001002)</f>
        <v>12572.75383337604</v>
      </c>
      <c r="K12" s="8">
        <f t="shared" ref="K12:K14" si="7">D12^2/4*3.1415*8</f>
        <v>1.5329539851999999E-5</v>
      </c>
      <c r="L12" s="50">
        <f t="shared" ref="L12:L14" si="8">I12/(SQRT(2*E12*(H12*6895)))</f>
        <v>1.2175474046499747E-5</v>
      </c>
      <c r="M12" s="11">
        <f t="shared" ref="M12:M14" si="9">I12/(K12*SQRT(2*E12*(H12*6895)))</f>
        <v>0.79424915320672518</v>
      </c>
      <c r="N12" s="6">
        <f t="shared" si="4"/>
        <v>3372859462.8568335</v>
      </c>
      <c r="O12" s="11"/>
      <c r="P12" s="11"/>
      <c r="Q12" s="1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.75" customHeight="1">
      <c r="A13" s="9"/>
      <c r="B13" s="9" t="s">
        <v>198</v>
      </c>
      <c r="C13" s="59">
        <v>44867</v>
      </c>
      <c r="D13" s="10">
        <v>1.562E-3</v>
      </c>
      <c r="E13" s="10">
        <v>997</v>
      </c>
      <c r="F13" s="9">
        <v>1028</v>
      </c>
      <c r="G13" s="9">
        <v>5.15</v>
      </c>
      <c r="H13" s="9">
        <v>17.5</v>
      </c>
      <c r="I13" s="60">
        <f t="shared" si="5"/>
        <v>0.19961165048543689</v>
      </c>
      <c r="J13" s="61">
        <f t="shared" si="6"/>
        <v>20298.78645742665</v>
      </c>
      <c r="K13" s="62">
        <f t="shared" si="7"/>
        <v>1.5329539851999999E-5</v>
      </c>
      <c r="L13" s="50">
        <f t="shared" si="8"/>
        <v>1.2868773262710003E-5</v>
      </c>
      <c r="M13" s="60">
        <f t="shared" si="9"/>
        <v>0.83947550852487285</v>
      </c>
      <c r="N13" s="6">
        <f t="shared" si="4"/>
        <v>3019226580.6269312</v>
      </c>
      <c r="O13" s="11"/>
      <c r="P13" s="11"/>
      <c r="Q13" s="1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 customHeight="1">
      <c r="A14" s="9"/>
      <c r="B14" s="9" t="s">
        <v>198</v>
      </c>
      <c r="C14" s="59">
        <v>44867</v>
      </c>
      <c r="D14" s="10">
        <v>1.562E-3</v>
      </c>
      <c r="E14" s="10">
        <v>997</v>
      </c>
      <c r="F14" s="9">
        <v>1429</v>
      </c>
      <c r="G14" s="9">
        <v>5.95</v>
      </c>
      <c r="H14" s="9">
        <v>37.5</v>
      </c>
      <c r="I14" s="60">
        <f t="shared" si="5"/>
        <v>0.24016806722689077</v>
      </c>
      <c r="J14" s="61">
        <f t="shared" si="6"/>
        <v>24423.024901981953</v>
      </c>
      <c r="K14" s="62">
        <f t="shared" si="7"/>
        <v>1.5329539851999999E-5</v>
      </c>
      <c r="L14" s="50">
        <f t="shared" si="8"/>
        <v>1.0577180531318522E-5</v>
      </c>
      <c r="M14" s="60">
        <f t="shared" si="9"/>
        <v>0.68998682500822428</v>
      </c>
      <c r="N14" s="6">
        <f t="shared" si="4"/>
        <v>4469203913.8936243</v>
      </c>
      <c r="O14" s="11"/>
      <c r="P14" s="11"/>
      <c r="Q14" s="1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>
      <c r="A15" s="9"/>
      <c r="B15" s="9"/>
      <c r="C15" s="59"/>
      <c r="D15" s="10"/>
      <c r="E15" s="10"/>
      <c r="F15" s="9"/>
      <c r="G15" s="9"/>
      <c r="H15" s="9"/>
      <c r="I15" s="60"/>
      <c r="J15" s="61"/>
      <c r="K15" s="62"/>
      <c r="L15" s="50"/>
      <c r="M15" s="60"/>
      <c r="N15" s="6" t="e">
        <f t="shared" si="4"/>
        <v>#DIV/0!</v>
      </c>
      <c r="O15" s="11"/>
      <c r="P15" s="11"/>
      <c r="Q15" s="1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 customHeight="1">
      <c r="A16" s="9"/>
      <c r="B16" s="9"/>
      <c r="C16" s="59"/>
      <c r="D16" s="10"/>
      <c r="E16" s="10"/>
      <c r="F16" s="9"/>
      <c r="G16" s="9"/>
      <c r="H16" s="9"/>
      <c r="I16" s="60"/>
      <c r="J16" s="61"/>
      <c r="K16" s="62"/>
      <c r="L16" s="50"/>
      <c r="M16" s="60"/>
      <c r="N16" s="6" t="e">
        <f t="shared" si="4"/>
        <v>#DIV/0!</v>
      </c>
      <c r="O16" s="11"/>
      <c r="P16" s="11"/>
      <c r="Q16" s="1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>
      <c r="A17" s="9"/>
      <c r="B17" s="9"/>
      <c r="C17" s="59"/>
      <c r="D17" s="10"/>
      <c r="E17" s="10"/>
      <c r="F17" s="9"/>
      <c r="G17" s="9"/>
      <c r="H17" s="9"/>
      <c r="I17" s="60"/>
      <c r="J17" s="61"/>
      <c r="K17" s="62"/>
      <c r="L17" s="50"/>
      <c r="M17" s="60"/>
      <c r="N17" s="6" t="e">
        <f t="shared" si="4"/>
        <v>#DIV/0!</v>
      </c>
      <c r="O17" s="11"/>
      <c r="P17" s="11"/>
      <c r="Q17" s="1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>
      <c r="A18" s="9"/>
      <c r="B18" s="9"/>
      <c r="C18" s="59"/>
      <c r="D18" s="10"/>
      <c r="E18" s="10"/>
      <c r="F18" s="9"/>
      <c r="G18" s="9"/>
      <c r="H18" s="9"/>
      <c r="I18" s="60"/>
      <c r="J18" s="61"/>
      <c r="K18" s="62"/>
      <c r="L18" s="50"/>
      <c r="M18" s="60"/>
      <c r="N18" s="6" t="e">
        <f t="shared" si="4"/>
        <v>#DIV/0!</v>
      </c>
      <c r="O18" s="11"/>
      <c r="P18" s="11"/>
      <c r="Q18" s="1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>
      <c r="A19" s="9"/>
      <c r="B19" s="9"/>
      <c r="C19" s="59"/>
      <c r="D19" s="10"/>
      <c r="E19" s="10"/>
      <c r="F19" s="9"/>
      <c r="G19" s="9"/>
      <c r="H19" s="9"/>
      <c r="I19" s="60"/>
      <c r="J19" s="61"/>
      <c r="K19" s="62"/>
      <c r="L19" s="50"/>
      <c r="M19" s="60"/>
      <c r="N19" s="6" t="e">
        <f t="shared" si="4"/>
        <v>#DIV/0!</v>
      </c>
      <c r="O19" s="11"/>
      <c r="P19" s="11"/>
      <c r="Q19" s="1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 customHeight="1">
      <c r="A20" s="9"/>
      <c r="B20" s="9"/>
      <c r="C20" s="59"/>
      <c r="D20" s="10"/>
      <c r="E20" s="10"/>
      <c r="F20" s="9"/>
      <c r="G20" s="9"/>
      <c r="H20" s="9"/>
      <c r="I20" s="60"/>
      <c r="J20" s="61"/>
      <c r="K20" s="62"/>
      <c r="L20" s="50"/>
      <c r="M20" s="60"/>
      <c r="N20" s="6" t="e">
        <f t="shared" si="4"/>
        <v>#DIV/0!</v>
      </c>
      <c r="O20" s="11"/>
      <c r="P20" s="11"/>
      <c r="Q20" s="1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>
      <c r="A21" s="9"/>
      <c r="B21" s="9"/>
      <c r="C21" s="59"/>
      <c r="D21" s="10"/>
      <c r="E21" s="10"/>
      <c r="F21" s="9"/>
      <c r="G21" s="9"/>
      <c r="H21" s="9"/>
      <c r="I21" s="60"/>
      <c r="J21" s="61"/>
      <c r="K21" s="62"/>
      <c r="L21" s="50"/>
      <c r="M21" s="60"/>
      <c r="N21" s="6" t="e">
        <f t="shared" si="4"/>
        <v>#DIV/0!</v>
      </c>
      <c r="O21" s="11"/>
      <c r="P21" s="11"/>
      <c r="Q21" s="1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75" customHeight="1">
      <c r="A22" s="9"/>
      <c r="B22" s="9"/>
      <c r="C22" s="59"/>
      <c r="D22" s="10"/>
      <c r="E22" s="10"/>
      <c r="F22" s="9"/>
      <c r="G22" s="9"/>
      <c r="H22" s="9"/>
      <c r="I22" s="60"/>
      <c r="J22" s="61"/>
      <c r="K22" s="62"/>
      <c r="L22" s="50"/>
      <c r="M22" s="60"/>
      <c r="N22" s="6" t="e">
        <f t="shared" si="4"/>
        <v>#DIV/0!</v>
      </c>
      <c r="O22" s="11"/>
      <c r="P22" s="11"/>
      <c r="Q22" s="1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 customHeight="1">
      <c r="A23" s="2"/>
      <c r="B23" s="2"/>
      <c r="C23" s="2"/>
      <c r="D23" s="2"/>
      <c r="E23" s="2"/>
      <c r="F23" s="2"/>
      <c r="G23" s="2"/>
      <c r="H23" s="2"/>
      <c r="I23" s="60"/>
      <c r="J23" s="61"/>
      <c r="K23" s="62"/>
      <c r="L23" s="63"/>
      <c r="M23" s="60"/>
      <c r="N23" s="6" t="e">
        <f t="shared" si="4"/>
        <v>#DIV/0!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>
      <c r="A24" s="2"/>
      <c r="B24" s="2"/>
      <c r="C24" s="2"/>
      <c r="D24" s="10"/>
      <c r="E24" s="10"/>
      <c r="F24" s="9"/>
      <c r="G24" s="9"/>
      <c r="H24" s="9"/>
      <c r="I24" s="60"/>
      <c r="J24" s="61"/>
      <c r="K24" s="62"/>
      <c r="L24" s="63"/>
      <c r="M24" s="60"/>
      <c r="N24" s="6" t="e">
        <f t="shared" si="4"/>
        <v>#DIV/0!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>
      <c r="A25" s="2"/>
      <c r="B25" s="2"/>
      <c r="C25" s="2"/>
      <c r="D25" s="10"/>
      <c r="E25" s="10"/>
      <c r="F25" s="9"/>
      <c r="G25" s="9"/>
      <c r="H25" s="9"/>
      <c r="I25" s="60"/>
      <c r="J25" s="61"/>
      <c r="K25" s="62"/>
      <c r="L25" s="63"/>
      <c r="M25" s="60"/>
      <c r="N25" s="6" t="e">
        <f t="shared" si="4"/>
        <v>#DIV/0!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 customHeight="1">
      <c r="A26" s="2" t="s">
        <v>202</v>
      </c>
      <c r="B26" s="2" t="s">
        <v>203</v>
      </c>
      <c r="C26" s="58">
        <v>44968</v>
      </c>
      <c r="D26" s="2">
        <v>1.5883E-3</v>
      </c>
      <c r="E26" s="10">
        <v>997</v>
      </c>
      <c r="F26" s="9">
        <v>2181</v>
      </c>
      <c r="G26" s="9">
        <v>5.75</v>
      </c>
      <c r="H26" s="9">
        <v>134</v>
      </c>
      <c r="I26" s="60">
        <f t="shared" ref="I26:I33" si="10">(F26*0.001)/G26</f>
        <v>0.37930434782608696</v>
      </c>
      <c r="J26" s="61">
        <f t="shared" ref="J26:J33" si="11">E26*D26*(I26/(K26*E26))/(0.001002)</f>
        <v>37933.289346843943</v>
      </c>
      <c r="K26" s="62">
        <f t="shared" ref="K26:K33" si="12">D26^2/4*3.1415*8</f>
        <v>1.5850104559870001E-5</v>
      </c>
      <c r="L26" s="63">
        <f t="shared" ref="L26:L33" si="13">10^6*I26/(SQRT(2*E26*(H26*6895)))</f>
        <v>8.837017386713784</v>
      </c>
      <c r="M26" s="60">
        <f t="shared" ref="M26:M33" si="14">I26/(K26*SQRT(2*E26*(H26*6895)))</f>
        <v>0.55753685115035367</v>
      </c>
      <c r="N26" s="6">
        <f t="shared" si="4"/>
        <v>6.4026326565755553E-3</v>
      </c>
      <c r="O26" s="2"/>
      <c r="P26" s="2"/>
      <c r="Q26" s="2">
        <v>0.67500000000000004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.75" customHeight="1">
      <c r="A27" s="2" t="s">
        <v>202</v>
      </c>
      <c r="B27" s="2" t="s">
        <v>203</v>
      </c>
      <c r="C27" s="58">
        <v>44968</v>
      </c>
      <c r="D27" s="2">
        <v>1.5883E-3</v>
      </c>
      <c r="E27" s="10">
        <v>997</v>
      </c>
      <c r="F27" s="9">
        <v>3218</v>
      </c>
      <c r="G27" s="9">
        <v>7.48</v>
      </c>
      <c r="H27" s="9">
        <v>119</v>
      </c>
      <c r="I27" s="60">
        <f t="shared" si="10"/>
        <v>0.43021390374331547</v>
      </c>
      <c r="J27" s="61">
        <f t="shared" si="11"/>
        <v>43024.62807310871</v>
      </c>
      <c r="K27" s="62">
        <f t="shared" si="12"/>
        <v>1.5850104559870001E-5</v>
      </c>
      <c r="L27" s="63">
        <f t="shared" si="13"/>
        <v>10.636071519224641</v>
      </c>
      <c r="M27" s="60">
        <f t="shared" si="14"/>
        <v>0.67104109496876885</v>
      </c>
      <c r="N27" s="6">
        <f t="shared" si="4"/>
        <v>4.4198497539230273E-3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6.5">
      <c r="A28" s="2" t="s">
        <v>202</v>
      </c>
      <c r="B28" s="2" t="s">
        <v>203</v>
      </c>
      <c r="C28" s="58">
        <v>44968</v>
      </c>
      <c r="D28" s="2">
        <v>1.5883E-3</v>
      </c>
      <c r="E28" s="2">
        <v>997</v>
      </c>
      <c r="F28" s="2">
        <v>3083</v>
      </c>
      <c r="G28" s="2">
        <v>7.3</v>
      </c>
      <c r="H28" s="2">
        <v>134</v>
      </c>
      <c r="I28" s="60">
        <f t="shared" si="10"/>
        <v>0.42232876712328771</v>
      </c>
      <c r="J28" s="61">
        <f t="shared" si="11"/>
        <v>42236.055069236769</v>
      </c>
      <c r="K28" s="62">
        <f t="shared" si="12"/>
        <v>1.5850104559870001E-5</v>
      </c>
      <c r="L28" s="63">
        <f t="shared" si="13"/>
        <v>9.839398571010026</v>
      </c>
      <c r="M28" s="60">
        <f t="shared" si="14"/>
        <v>0.62077814905536033</v>
      </c>
      <c r="N28" s="6">
        <f t="shared" si="4"/>
        <v>5.1645548949493247E-3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6.5">
      <c r="A29" s="2" t="s">
        <v>202</v>
      </c>
      <c r="B29" s="2" t="s">
        <v>203</v>
      </c>
      <c r="C29" s="58">
        <v>44968</v>
      </c>
      <c r="D29" s="2">
        <v>1.5883E-3</v>
      </c>
      <c r="E29" s="2">
        <v>997</v>
      </c>
      <c r="F29" s="2">
        <v>2833</v>
      </c>
      <c r="G29" s="2">
        <v>7.38</v>
      </c>
      <c r="H29" s="2">
        <v>124</v>
      </c>
      <c r="I29" s="60">
        <f t="shared" si="10"/>
        <v>0.38387533875338758</v>
      </c>
      <c r="J29" s="61">
        <f t="shared" si="11"/>
        <v>38390.422839884195</v>
      </c>
      <c r="K29" s="62">
        <f t="shared" si="12"/>
        <v>1.5850104559870001E-5</v>
      </c>
      <c r="L29" s="63">
        <f t="shared" si="13"/>
        <v>9.2971461457998164</v>
      </c>
      <c r="M29" s="60">
        <f t="shared" si="14"/>
        <v>0.58656686526464585</v>
      </c>
      <c r="N29" s="6">
        <f t="shared" si="4"/>
        <v>5.7845647745519528E-3</v>
      </c>
      <c r="O29" s="2"/>
      <c r="P29" s="2"/>
      <c r="Q29" s="2"/>
      <c r="R29" s="2"/>
      <c r="S29" s="2"/>
      <c r="T29" s="2"/>
      <c r="U29" s="62">
        <f>D32^2/4*3.1415*8</f>
        <v>1.5850104559870001E-5</v>
      </c>
      <c r="V29" s="2"/>
      <c r="W29" s="2"/>
      <c r="X29" s="2"/>
      <c r="Y29" s="2"/>
      <c r="Z29" s="2"/>
      <c r="AA29" s="2"/>
      <c r="AB29" s="2"/>
      <c r="AC29" s="2"/>
      <c r="AD29" s="2"/>
    </row>
    <row r="30" spans="1:30" ht="16.5">
      <c r="A30" s="2" t="s">
        <v>202</v>
      </c>
      <c r="B30" s="2" t="s">
        <v>203</v>
      </c>
      <c r="C30" s="58">
        <v>44968</v>
      </c>
      <c r="D30" s="2">
        <v>1.5883E-3</v>
      </c>
      <c r="E30" s="2">
        <v>997</v>
      </c>
      <c r="F30" s="2">
        <v>2971</v>
      </c>
      <c r="G30" s="2">
        <v>7.96</v>
      </c>
      <c r="H30" s="2">
        <v>114</v>
      </c>
      <c r="I30" s="60">
        <f t="shared" si="10"/>
        <v>0.37324120603015076</v>
      </c>
      <c r="J30" s="61">
        <f t="shared" si="11"/>
        <v>37326.929537328542</v>
      </c>
      <c r="K30" s="62">
        <f t="shared" si="12"/>
        <v>1.5850104559870001E-5</v>
      </c>
      <c r="L30" s="63">
        <f t="shared" si="13"/>
        <v>9.4277367262360219</v>
      </c>
      <c r="M30" s="60">
        <f t="shared" si="14"/>
        <v>0.59480596425247467</v>
      </c>
      <c r="N30" s="6">
        <f t="shared" si="4"/>
        <v>5.625422061262461E-3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6.5">
      <c r="A31" s="2" t="s">
        <v>202</v>
      </c>
      <c r="B31" s="2" t="s">
        <v>203</v>
      </c>
      <c r="C31" s="58">
        <v>44968</v>
      </c>
      <c r="D31" s="2">
        <v>1.5883E-3</v>
      </c>
      <c r="E31" s="2">
        <v>997</v>
      </c>
      <c r="F31" s="2">
        <v>2890</v>
      </c>
      <c r="G31" s="2">
        <v>7.8</v>
      </c>
      <c r="H31" s="2">
        <v>114</v>
      </c>
      <c r="I31" s="60">
        <f t="shared" si="10"/>
        <v>0.37051282051282053</v>
      </c>
      <c r="J31" s="61">
        <f t="shared" si="11"/>
        <v>37054.070452343622</v>
      </c>
      <c r="K31" s="62">
        <f t="shared" si="12"/>
        <v>1.5850104559870001E-5</v>
      </c>
      <c r="L31" s="63">
        <f t="shared" si="13"/>
        <v>9.3588201652307319</v>
      </c>
      <c r="M31" s="60">
        <f t="shared" si="14"/>
        <v>0.59045794492269843</v>
      </c>
      <c r="N31" s="6">
        <f t="shared" si="4"/>
        <v>5.7085761669999164E-3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6.5">
      <c r="A32" s="2" t="s">
        <v>202</v>
      </c>
      <c r="B32" s="2" t="s">
        <v>203</v>
      </c>
      <c r="C32" s="58">
        <v>44968</v>
      </c>
      <c r="D32" s="2">
        <v>1.5883E-3</v>
      </c>
      <c r="E32" s="2">
        <v>997</v>
      </c>
      <c r="F32" s="2">
        <v>2939</v>
      </c>
      <c r="G32" s="2">
        <v>7.96</v>
      </c>
      <c r="H32" s="2">
        <v>114</v>
      </c>
      <c r="I32" s="60">
        <f t="shared" si="10"/>
        <v>0.3692211055276382</v>
      </c>
      <c r="J32" s="61">
        <f t="shared" si="11"/>
        <v>36924.889232651825</v>
      </c>
      <c r="K32" s="62">
        <f t="shared" si="12"/>
        <v>1.5850104559870001E-5</v>
      </c>
      <c r="L32" s="63">
        <f t="shared" si="13"/>
        <v>9.3261926080133524</v>
      </c>
      <c r="M32" s="60">
        <f t="shared" si="14"/>
        <v>0.58839943754224944</v>
      </c>
      <c r="N32" s="6">
        <f t="shared" si="4"/>
        <v>5.7485887877897412E-3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6.5">
      <c r="A33" s="2" t="s">
        <v>202</v>
      </c>
      <c r="B33" s="2" t="s">
        <v>203</v>
      </c>
      <c r="C33" s="58">
        <v>44968</v>
      </c>
      <c r="D33" s="2">
        <v>1.5883E-3</v>
      </c>
      <c r="E33" s="2">
        <v>997</v>
      </c>
      <c r="F33" s="2">
        <v>2831</v>
      </c>
      <c r="G33" s="2">
        <v>7.68</v>
      </c>
      <c r="H33" s="2">
        <v>114</v>
      </c>
      <c r="I33" s="64">
        <f t="shared" si="10"/>
        <v>0.3686197916666667</v>
      </c>
      <c r="J33" s="61">
        <f t="shared" si="11"/>
        <v>36864.753321193835</v>
      </c>
      <c r="K33" s="62">
        <f t="shared" si="12"/>
        <v>1.5850104559870001E-5</v>
      </c>
      <c r="L33" s="63">
        <f t="shared" si="13"/>
        <v>9.3110039614237312</v>
      </c>
      <c r="M33" s="60">
        <f t="shared" si="14"/>
        <v>0.58744116963100323</v>
      </c>
      <c r="N33" s="6">
        <f t="shared" si="4"/>
        <v>5.7673589438503236E-3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6.5">
      <c r="A34" s="9"/>
      <c r="B34" s="9"/>
      <c r="C34" s="58"/>
      <c r="D34" s="2"/>
      <c r="E34" s="9"/>
      <c r="F34" s="2"/>
      <c r="G34" s="2"/>
      <c r="H34" s="2"/>
      <c r="I34" s="60"/>
      <c r="J34" s="61"/>
      <c r="K34" s="62"/>
      <c r="L34" s="63"/>
      <c r="M34" s="60"/>
      <c r="N34" s="6" t="e">
        <f t="shared" si="4"/>
        <v>#DIV/0!</v>
      </c>
      <c r="O34" s="9"/>
      <c r="P34" s="9"/>
      <c r="Q34" s="9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6.5">
      <c r="A35" s="9"/>
      <c r="B35" s="9"/>
      <c r="C35" s="58"/>
      <c r="D35" s="2"/>
      <c r="E35" s="9"/>
      <c r="F35" s="2"/>
      <c r="G35" s="2"/>
      <c r="H35" s="2"/>
      <c r="I35" s="60"/>
      <c r="J35" s="61"/>
      <c r="K35" s="62"/>
      <c r="L35" s="63"/>
      <c r="M35" s="60"/>
      <c r="N35" s="6" t="e">
        <f t="shared" si="4"/>
        <v>#DIV/0!</v>
      </c>
      <c r="O35" s="9"/>
      <c r="P35" s="9"/>
      <c r="Q35" s="9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6.5">
      <c r="A36" s="9"/>
      <c r="B36" s="9"/>
      <c r="C36" s="58"/>
      <c r="D36" s="2"/>
      <c r="E36" s="9"/>
      <c r="F36" s="2"/>
      <c r="G36" s="2"/>
      <c r="H36" s="2"/>
      <c r="I36" s="60"/>
      <c r="J36" s="61"/>
      <c r="K36" s="62"/>
      <c r="L36" s="63"/>
      <c r="M36" s="60"/>
      <c r="N36" s="6" t="e">
        <f t="shared" si="4"/>
        <v>#DIV/0!</v>
      </c>
      <c r="O36" s="9"/>
      <c r="P36" s="9"/>
      <c r="Q36" s="9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6.5">
      <c r="A37" s="2"/>
      <c r="B37" s="2"/>
      <c r="C37" s="58"/>
      <c r="D37" s="2"/>
      <c r="E37" s="9"/>
      <c r="F37" s="2"/>
      <c r="G37" s="2"/>
      <c r="H37" s="2"/>
      <c r="I37" s="60"/>
      <c r="J37" s="61"/>
      <c r="K37" s="62"/>
      <c r="L37" s="63"/>
      <c r="M37" s="60"/>
      <c r="N37" s="6" t="e">
        <f t="shared" si="4"/>
        <v>#DIV/0!</v>
      </c>
      <c r="O37" s="9"/>
      <c r="P37" s="9"/>
      <c r="Q37" s="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2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6" t="e">
        <f t="shared" si="4"/>
        <v>#DIV/0!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2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6" t="e">
        <f t="shared" si="4"/>
        <v>#DIV/0!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2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 t="e">
        <f t="shared" ref="L40:M40" si="15">AVERAGE(#REF!,#REF!)</f>
        <v>#REF!</v>
      </c>
      <c r="M40" s="2" t="e">
        <f t="shared" si="15"/>
        <v>#REF!</v>
      </c>
      <c r="N40" s="6" t="e">
        <f t="shared" si="4"/>
        <v>#REF!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2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6" t="e">
        <f t="shared" si="4"/>
        <v>#DIV/0!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2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 t="e">
        <f>AVERAGEA(#REF!)</f>
        <v>#REF!</v>
      </c>
      <c r="M42" s="2"/>
      <c r="N42" s="6" t="e">
        <f t="shared" si="4"/>
        <v>#REF!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2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6" t="e">
        <f t="shared" si="4"/>
        <v>#DIV/0!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6.5">
      <c r="A44" s="2"/>
      <c r="B44" s="2"/>
      <c r="C44" s="2"/>
      <c r="D44" s="2"/>
      <c r="E44" s="2"/>
      <c r="F44" s="2"/>
      <c r="G44" s="2"/>
      <c r="H44" s="2"/>
      <c r="I44" s="60" t="e">
        <f t="shared" ref="I44:I45" si="16">(F44*0.001)/G44</f>
        <v>#DIV/0!</v>
      </c>
      <c r="J44" s="61" t="e">
        <f t="shared" ref="J44:J45" si="17">E44*D44*(I44/(K44*E44))/(0.001002)</f>
        <v>#DIV/0!</v>
      </c>
      <c r="K44" s="2"/>
      <c r="L44" s="63" t="e">
        <f t="shared" ref="L44:L45" si="18">I44/(SQRT(2*E44*(H44*6895)))</f>
        <v>#DIV/0!</v>
      </c>
      <c r="M44" s="2" t="e">
        <f>AVERAGE(#REF!)</f>
        <v>#REF!</v>
      </c>
      <c r="N44" s="6" t="e">
        <f t="shared" si="4"/>
        <v>#DIV/0!</v>
      </c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6.5">
      <c r="A45" s="2"/>
      <c r="B45" s="2"/>
      <c r="C45" s="2"/>
      <c r="D45" s="2"/>
      <c r="E45" s="2"/>
      <c r="F45" s="2"/>
      <c r="G45" s="2"/>
      <c r="H45" s="2"/>
      <c r="I45" s="60" t="e">
        <f t="shared" si="16"/>
        <v>#DIV/0!</v>
      </c>
      <c r="J45" s="61" t="e">
        <f t="shared" si="17"/>
        <v>#DIV/0!</v>
      </c>
      <c r="K45" s="2"/>
      <c r="L45" s="63" t="e">
        <f t="shared" si="18"/>
        <v>#DIV/0!</v>
      </c>
      <c r="M45" s="2"/>
      <c r="N45" s="6" t="e">
        <f t="shared" si="4"/>
        <v>#DIV/0!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2.3">
      <c r="A46" s="2"/>
      <c r="B46" s="2"/>
      <c r="C46" s="2"/>
      <c r="D46" s="9"/>
      <c r="E46" s="2"/>
      <c r="F46" s="2"/>
      <c r="G46" s="2"/>
      <c r="H46" s="2"/>
      <c r="I46" s="2"/>
      <c r="J46" s="2"/>
      <c r="K46" s="62">
        <f>D46^2/4*3.1415*8</f>
        <v>0</v>
      </c>
      <c r="L46" s="2" t="e">
        <f>AVERAGE(#REF!)</f>
        <v>#REF!</v>
      </c>
      <c r="M46" s="60" t="e">
        <f>I46/(K46*SQRT(2*E46*(H46*6895)))</f>
        <v>#DIV/0!</v>
      </c>
      <c r="N46" s="6" t="e">
        <f t="shared" si="4"/>
        <v>#REF!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2.3">
      <c r="A47" s="2"/>
      <c r="B47" s="2"/>
      <c r="C47" s="2"/>
      <c r="D47" s="2"/>
      <c r="E47" s="2"/>
      <c r="F47" s="2"/>
      <c r="G47" s="2"/>
      <c r="H47" s="2"/>
      <c r="I47" s="2"/>
      <c r="J47" s="2"/>
      <c r="K47" s="2" t="s">
        <v>216</v>
      </c>
      <c r="L47" s="2" t="e">
        <f>AVERAGE(L46)</f>
        <v>#REF!</v>
      </c>
      <c r="M47" s="2"/>
      <c r="N47" s="6" t="e">
        <f t="shared" si="4"/>
        <v>#REF!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6.5">
      <c r="A48" s="9"/>
      <c r="B48" s="9" t="s">
        <v>218</v>
      </c>
      <c r="C48" s="68">
        <v>45339</v>
      </c>
      <c r="D48" s="2">
        <v>1.5621000000000001E-3</v>
      </c>
      <c r="E48" s="9">
        <v>997</v>
      </c>
      <c r="F48" s="2">
        <f>1545-800</f>
        <v>745</v>
      </c>
      <c r="G48" s="2">
        <v>3.32</v>
      </c>
      <c r="H48" s="2">
        <f t="shared" ref="H48:H53" si="19">(R48-S48)/(LN(R48/S48))</f>
        <v>75.841841973991421</v>
      </c>
      <c r="I48" s="60">
        <f t="shared" ref="I48:I53" si="20">(F48*0.001)/G48</f>
        <v>0.2243975903614458</v>
      </c>
      <c r="J48" s="61">
        <f t="shared" ref="J48:J53" si="21">E48*D48*(I48/(K48*E48))/(0.001002)</f>
        <v>22817.842358710444</v>
      </c>
      <c r="K48" s="62">
        <f t="shared" ref="K48:K53" si="22">D48^2/4*3.1415*8</f>
        <v>1.5331502724030003E-5</v>
      </c>
      <c r="L48" s="63">
        <f t="shared" ref="L48:L53" si="23">I48/(SQRT(2*E48*(H48*6895)))</f>
        <v>6.9491876747660603E-6</v>
      </c>
      <c r="M48" s="60">
        <f t="shared" ref="M48:M53" si="24">I48/(K48*SQRT(2*E48*(H48*6895)))</f>
        <v>0.45326200567894576</v>
      </c>
      <c r="N48" s="6">
        <f t="shared" si="4"/>
        <v>10353851287.690821</v>
      </c>
      <c r="O48" s="2"/>
      <c r="P48" s="2"/>
      <c r="Q48" s="2"/>
      <c r="R48" s="2">
        <v>82</v>
      </c>
      <c r="S48" s="2">
        <v>70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6.5">
      <c r="A49" s="9"/>
      <c r="B49" s="72" t="s">
        <v>218</v>
      </c>
      <c r="C49" s="68">
        <v>45339</v>
      </c>
      <c r="D49" s="2">
        <v>1.5621000000000001E-3</v>
      </c>
      <c r="E49" s="9">
        <v>997</v>
      </c>
      <c r="F49" s="2">
        <f>2035-785</f>
        <v>1250</v>
      </c>
      <c r="G49" s="2">
        <v>5.25</v>
      </c>
      <c r="H49" s="2">
        <f t="shared" si="19"/>
        <v>75.559360022049646</v>
      </c>
      <c r="I49" s="60">
        <f t="shared" si="20"/>
        <v>0.23809523809523808</v>
      </c>
      <c r="J49" s="61">
        <f t="shared" si="21"/>
        <v>24210.686043757963</v>
      </c>
      <c r="K49" s="62">
        <f t="shared" si="22"/>
        <v>1.5331502724030003E-5</v>
      </c>
      <c r="L49" s="63">
        <f t="shared" si="23"/>
        <v>7.3871490516186645E-6</v>
      </c>
      <c r="M49" s="60">
        <f t="shared" si="24"/>
        <v>0.48182811460746988</v>
      </c>
      <c r="N49" s="6">
        <f t="shared" si="4"/>
        <v>9162548372.7031822</v>
      </c>
      <c r="O49" s="2"/>
      <c r="P49" s="2"/>
      <c r="Q49" s="2"/>
      <c r="R49" s="2">
        <v>86</v>
      </c>
      <c r="S49" s="2">
        <v>66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6.5">
      <c r="A50" s="9"/>
      <c r="B50" s="72" t="s">
        <v>218</v>
      </c>
      <c r="C50" s="68">
        <v>45339</v>
      </c>
      <c r="D50" s="2">
        <v>1.5621000000000001E-3</v>
      </c>
      <c r="E50" s="9">
        <v>997</v>
      </c>
      <c r="F50" s="2">
        <f>1870-800</f>
        <v>1070</v>
      </c>
      <c r="G50" s="2">
        <v>4.8099999999999996</v>
      </c>
      <c r="H50" s="2">
        <f t="shared" si="19"/>
        <v>59.440268239769239</v>
      </c>
      <c r="I50" s="60">
        <f t="shared" si="20"/>
        <v>0.22245322245322249</v>
      </c>
      <c r="J50" s="61">
        <f t="shared" si="21"/>
        <v>22620.129538596324</v>
      </c>
      <c r="K50" s="62">
        <f t="shared" si="22"/>
        <v>1.5331502724030003E-5</v>
      </c>
      <c r="L50" s="63">
        <f t="shared" si="23"/>
        <v>7.7815947301622893E-6</v>
      </c>
      <c r="M50" s="60">
        <f t="shared" si="24"/>
        <v>0.50755590435148401</v>
      </c>
      <c r="N50" s="6">
        <f t="shared" si="4"/>
        <v>8257199675.4729156</v>
      </c>
      <c r="O50" s="2"/>
      <c r="P50" s="2"/>
      <c r="Q50" s="2"/>
      <c r="R50" s="2">
        <v>70</v>
      </c>
      <c r="S50" s="2">
        <v>50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6.5">
      <c r="A51" s="9"/>
      <c r="B51" s="72" t="s">
        <v>218</v>
      </c>
      <c r="C51" s="68">
        <v>45339</v>
      </c>
      <c r="D51" s="2">
        <v>1.5621000000000001E-3</v>
      </c>
      <c r="E51" s="9">
        <v>997</v>
      </c>
      <c r="F51" s="2">
        <f>1845-805</f>
        <v>1040</v>
      </c>
      <c r="G51" s="2">
        <v>4.6500000000000004</v>
      </c>
      <c r="H51" s="2">
        <f t="shared" si="19"/>
        <v>58.539498110814144</v>
      </c>
      <c r="I51" s="60">
        <f t="shared" si="20"/>
        <v>0.2236559139784946</v>
      </c>
      <c r="J51" s="61">
        <f t="shared" si="21"/>
        <v>22742.425083684899</v>
      </c>
      <c r="K51" s="62">
        <f t="shared" si="22"/>
        <v>1.5331502724030003E-5</v>
      </c>
      <c r="L51" s="63">
        <f t="shared" si="23"/>
        <v>7.8836289716058119E-6</v>
      </c>
      <c r="M51" s="60">
        <f t="shared" si="24"/>
        <v>0.51421110595045039</v>
      </c>
      <c r="N51" s="6">
        <f t="shared" si="4"/>
        <v>8044844439.1788607</v>
      </c>
      <c r="O51" s="2"/>
      <c r="P51" s="2"/>
      <c r="Q51" s="2"/>
      <c r="R51" s="2">
        <v>68</v>
      </c>
      <c r="S51" s="2">
        <v>50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6.5">
      <c r="A52" s="9"/>
      <c r="B52" s="72" t="s">
        <v>218</v>
      </c>
      <c r="C52" s="68">
        <v>45339</v>
      </c>
      <c r="D52" s="2">
        <v>1.5621000000000001E-3</v>
      </c>
      <c r="E52" s="9">
        <v>997</v>
      </c>
      <c r="F52" s="2">
        <f>1825-785</f>
        <v>1040</v>
      </c>
      <c r="G52" s="2">
        <v>4.09</v>
      </c>
      <c r="H52" s="2">
        <f t="shared" si="19"/>
        <v>77.380682393957301</v>
      </c>
      <c r="I52" s="60">
        <f t="shared" si="20"/>
        <v>0.25427872860635697</v>
      </c>
      <c r="J52" s="61">
        <f t="shared" si="21"/>
        <v>25856.302356756671</v>
      </c>
      <c r="K52" s="62">
        <f t="shared" si="22"/>
        <v>1.5331502724030003E-5</v>
      </c>
      <c r="L52" s="63">
        <f t="shared" si="23"/>
        <v>7.7958601804391901E-6</v>
      </c>
      <c r="M52" s="60">
        <f t="shared" si="24"/>
        <v>0.50848637089045823</v>
      </c>
      <c r="N52" s="6">
        <f t="shared" si="4"/>
        <v>8227008036.388586</v>
      </c>
      <c r="O52" s="2"/>
      <c r="P52" s="2"/>
      <c r="Q52" s="2"/>
      <c r="R52" s="2">
        <v>90</v>
      </c>
      <c r="S52" s="2">
        <v>66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6.5">
      <c r="A53" s="9"/>
      <c r="B53" s="72" t="s">
        <v>218</v>
      </c>
      <c r="C53" s="68">
        <v>45339</v>
      </c>
      <c r="D53" s="2">
        <v>1.5621000000000001E-3</v>
      </c>
      <c r="E53" s="9">
        <v>997</v>
      </c>
      <c r="F53" s="2">
        <f>1870-790</f>
        <v>1080</v>
      </c>
      <c r="G53" s="2">
        <v>4.07</v>
      </c>
      <c r="H53" s="2">
        <f t="shared" si="19"/>
        <v>92.824106636844263</v>
      </c>
      <c r="I53" s="60">
        <f t="shared" si="20"/>
        <v>0.26535626535626533</v>
      </c>
      <c r="J53" s="61">
        <f t="shared" si="21"/>
        <v>26982.720367195605</v>
      </c>
      <c r="K53" s="62">
        <f t="shared" si="22"/>
        <v>1.5331502724030003E-5</v>
      </c>
      <c r="L53" s="63">
        <f t="shared" si="23"/>
        <v>7.4279546734063065E-6</v>
      </c>
      <c r="M53" s="60">
        <f t="shared" si="24"/>
        <v>0.48448966856745346</v>
      </c>
      <c r="N53" s="6">
        <f t="shared" si="4"/>
        <v>9062155591.2181835</v>
      </c>
      <c r="O53" s="2"/>
      <c r="P53" s="2"/>
      <c r="Q53" s="2"/>
      <c r="R53" s="2">
        <v>100</v>
      </c>
      <c r="S53" s="2">
        <v>86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2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6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2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6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2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6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2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6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2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6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2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6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2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6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2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6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2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6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2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6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2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6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2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6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2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2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6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2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6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2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6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2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6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2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2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6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2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6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2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6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2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6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2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6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2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6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2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6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2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6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2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6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2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6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2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6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2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6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2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2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2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2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2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2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2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2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2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2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2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2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2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2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2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2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2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2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6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2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6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2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6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2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6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2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6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2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6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2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2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6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2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2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6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2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6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2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6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2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6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2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6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2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6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2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6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2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6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2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6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2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6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2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6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2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6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2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6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2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6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2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6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2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6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2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6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2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6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2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6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2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6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2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6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2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6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2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6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2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6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2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6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2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6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2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6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2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6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2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6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2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6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2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6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2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6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2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6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2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6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2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6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2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6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2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6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2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6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2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6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2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6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2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6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2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6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2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6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2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6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2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6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2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6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2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6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2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6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2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6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2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6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2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6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2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6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2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6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2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6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2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6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2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6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2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6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2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6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2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6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2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6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2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6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2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6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2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6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2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6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2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6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2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6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2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6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2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6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2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6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2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6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2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6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2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6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2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6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2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6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2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6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2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6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2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6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2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6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2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6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2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6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2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6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2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6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2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6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2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6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2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6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2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6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2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6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2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6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2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6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2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6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2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6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2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6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2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6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2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6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2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6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2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6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2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6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2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6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2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6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2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6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2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6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2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6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2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6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2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6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2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6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2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6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2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6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2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6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2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6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2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6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2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6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2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6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2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6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2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6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2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6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2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6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2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6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2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6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2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6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2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6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2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6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2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6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2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6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2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6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2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6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2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6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2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6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2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6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2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6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2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6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2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6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2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6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2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6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2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6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2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6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2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6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2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6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2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6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2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6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2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6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2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6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2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6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2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6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2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6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2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6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2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6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2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6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2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6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2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6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2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6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2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6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2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6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2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6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2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6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2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6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2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6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2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6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2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6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2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6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2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6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2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6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2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6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2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6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2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6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2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6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2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6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2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6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2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6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2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6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2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6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2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6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2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6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2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6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2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6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2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6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2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6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2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6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2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6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2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6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2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6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2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6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2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6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2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6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2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6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2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6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2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6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2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6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2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6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2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6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2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6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2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6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2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6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2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6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2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6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2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6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2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6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2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6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2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6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2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6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2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6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2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6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2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6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2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6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2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6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2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6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2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6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2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6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2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6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2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6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2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6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2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6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2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6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2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6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2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6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2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6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2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6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2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6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2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6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2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6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2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6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2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6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2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6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2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6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2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6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2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6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2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6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2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6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2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6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2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6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2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6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2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6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2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6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2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6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2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6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2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6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2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6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2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6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2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6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2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6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2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6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2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6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2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6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2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6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2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6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2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6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2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6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2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6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2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6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2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6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2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6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2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6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2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6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2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6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2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6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2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6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2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6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2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6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2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6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2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6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2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6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2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6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2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6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2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6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2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6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2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6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2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6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2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6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2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6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2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6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2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6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2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6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2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6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2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6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2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6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2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6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2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6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2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6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2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6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2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6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2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6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2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6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2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6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2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6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2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6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2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6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2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6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2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6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2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6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2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6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2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6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2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6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2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6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2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6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2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6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2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6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2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6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2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6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2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6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2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6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2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6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2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6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2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6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2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6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2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6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2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6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2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6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2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6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2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6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2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6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2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6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2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6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2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6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2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6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2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6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2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6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2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6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2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6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2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6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2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6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2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6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2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6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2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6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2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6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2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6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2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6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2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6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2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6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2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6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2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6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2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6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2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6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2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6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2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6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2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6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2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6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2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6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2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6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2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6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2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6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2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6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2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6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2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6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2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6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2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6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2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6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2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6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2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6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2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6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2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6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2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6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2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6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2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6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2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6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2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6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2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6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2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6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2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6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2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6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2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6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2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6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2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6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2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6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2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6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2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6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2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6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2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6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2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6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2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6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2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6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2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6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2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6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2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6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2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6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2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6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2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6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2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6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2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6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2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6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2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6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2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6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2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6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2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6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2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6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2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6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2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6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2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6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2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6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2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6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2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6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2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6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2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6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2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6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2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6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2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6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2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6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2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6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2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6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2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6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2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6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2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6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2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6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2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6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2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6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2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6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2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6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2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6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2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6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2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6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2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6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2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6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2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6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2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6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2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6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2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6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2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6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2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6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2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6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2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6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2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6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2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6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2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6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2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6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2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6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2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6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2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6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2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6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2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6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2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6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2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6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2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6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2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6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2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6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2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6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2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6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2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6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2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6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2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6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2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6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2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6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2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6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2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6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2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6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2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6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2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6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2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6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2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6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2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6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2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6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2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6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2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6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2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6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2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6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2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6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2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6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2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6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2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6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2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6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2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6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2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6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2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6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2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6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2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6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2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6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2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6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2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6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2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6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2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6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2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6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2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6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2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6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2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6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2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6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2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6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2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6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2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6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2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6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2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6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2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6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2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6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2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6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2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6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2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6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2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6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2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6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2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6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2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6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2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6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2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6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2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6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2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6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2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6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2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6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2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6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2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6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2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6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2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6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2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6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2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6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2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6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2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6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2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6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2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6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2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6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2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6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2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6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2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6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2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6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2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6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2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6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2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6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2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6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2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6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2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6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2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6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2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6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2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6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2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6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2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6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2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6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2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6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2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6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2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6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2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6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2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6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2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6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2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6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2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6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2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6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2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6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2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6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2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6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2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6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2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6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2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6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2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6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2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6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2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6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2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6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2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6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2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6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2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6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2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6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2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6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2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6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2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6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2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6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2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6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2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6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2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6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2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6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2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6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2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6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2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6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2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6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2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6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2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6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2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6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2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6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2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6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2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6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2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6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2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6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2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6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2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6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2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6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2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6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2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6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2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6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2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6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2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6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2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6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2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6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2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6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2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6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2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6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2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6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2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6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2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6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2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6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2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6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2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6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2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6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2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6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2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6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2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6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2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6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2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6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2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6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2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6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2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6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2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6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2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6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2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6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2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6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2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6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2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6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2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6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2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6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2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6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2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6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2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6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2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6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2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6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2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6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2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6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2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6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2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6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2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6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2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6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2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6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2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6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2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6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2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6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2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6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2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6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2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6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2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6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2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6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2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6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2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6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2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6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2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6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2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6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2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6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2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6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2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6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2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6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2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6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2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6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2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6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2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6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2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6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2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6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2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6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2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6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2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6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2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6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2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6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2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6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2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6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2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6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2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6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2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6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2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6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2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6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2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6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2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6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2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6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2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6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2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6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2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6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2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6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2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6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2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6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2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6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2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6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2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6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2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6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2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6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2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6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2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6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2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6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2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6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2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6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2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6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2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6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2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6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2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6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2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6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2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6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2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6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2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6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2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6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2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6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2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6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2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6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2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6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2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6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2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6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2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6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2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6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2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6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2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6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2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6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2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6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2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6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2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6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2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6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2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6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2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6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2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6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2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6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2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6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2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6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2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6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2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6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2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6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2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6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2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6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2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6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2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6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2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6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2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6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2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6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2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6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2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6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2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6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2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6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2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6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2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6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2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6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2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6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2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6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2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6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2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6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2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6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2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6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2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6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2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6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2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6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2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6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2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6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2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6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2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6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2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6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2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6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2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6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2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6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2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6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2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6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2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6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2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6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2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6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2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6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2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6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2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6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2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6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</sheetData>
  <printOptions horizontalCentered="1" gridLines="1"/>
  <pageMargins left="0.7" right="0.7" top="0.75" bottom="0.75" header="0" footer="0"/>
  <pageSetup pageOrder="overThenDown" orientation="landscape" cellComments="atEnd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D846"/>
  <sheetViews>
    <sheetView workbookViewId="0">
      <pane ySplit="2" topLeftCell="A3" activePane="bottomLeft" state="frozen"/>
      <selection pane="bottomLeft" activeCell="B4" sqref="B4"/>
    </sheetView>
  </sheetViews>
  <sheetFormatPr defaultColWidth="12.609375" defaultRowHeight="15.75" customHeight="1"/>
  <cols>
    <col min="1" max="2" width="15.21875" customWidth="1"/>
    <col min="3" max="3" width="12.109375" customWidth="1"/>
    <col min="4" max="4" width="15.609375" customWidth="1"/>
    <col min="5" max="5" width="12.71875" customWidth="1"/>
    <col min="6" max="6" width="12.21875" customWidth="1"/>
    <col min="7" max="7" width="7.88671875" customWidth="1"/>
    <col min="8" max="8" width="18" customWidth="1"/>
    <col min="9" max="9" width="10.88671875" customWidth="1"/>
    <col min="10" max="10" width="10.21875" customWidth="1"/>
    <col min="11" max="11" width="13.71875" customWidth="1"/>
    <col min="12" max="12" width="18" customWidth="1"/>
    <col min="14" max="14" width="19" customWidth="1"/>
  </cols>
  <sheetData>
    <row r="1" spans="1:30" ht="15.75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6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ht="15.75" customHeight="1">
      <c r="A2" s="2" t="s">
        <v>172</v>
      </c>
      <c r="B2" s="2" t="s">
        <v>173</v>
      </c>
      <c r="C2" s="2" t="s">
        <v>174</v>
      </c>
      <c r="D2" s="46" t="s">
        <v>175</v>
      </c>
      <c r="E2" s="46" t="s">
        <v>176</v>
      </c>
      <c r="F2" s="46" t="s">
        <v>177</v>
      </c>
      <c r="G2" s="46" t="s">
        <v>178</v>
      </c>
      <c r="H2" s="46" t="s">
        <v>179</v>
      </c>
      <c r="I2" s="47" t="s">
        <v>180</v>
      </c>
      <c r="J2" s="2" t="s">
        <v>181</v>
      </c>
      <c r="K2" s="2" t="s">
        <v>182</v>
      </c>
      <c r="L2" s="2" t="s">
        <v>183</v>
      </c>
      <c r="M2" s="2" t="s">
        <v>184</v>
      </c>
      <c r="N2" s="6" t="s">
        <v>185</v>
      </c>
      <c r="O2" s="2" t="s">
        <v>186</v>
      </c>
      <c r="P2" s="2"/>
      <c r="Q2" s="2" t="s">
        <v>187</v>
      </c>
      <c r="R2" s="2" t="s">
        <v>188</v>
      </c>
      <c r="S2" s="2" t="s">
        <v>189</v>
      </c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ht="15.75" customHeight="1">
      <c r="A3" s="48"/>
      <c r="B3" s="48" t="s">
        <v>190</v>
      </c>
      <c r="C3" s="48" t="s">
        <v>191</v>
      </c>
      <c r="D3" s="48">
        <v>1.549E-3</v>
      </c>
      <c r="E3" s="48">
        <v>997</v>
      </c>
      <c r="F3" s="48">
        <v>300</v>
      </c>
      <c r="G3" s="48">
        <v>1</v>
      </c>
      <c r="H3" s="48">
        <v>90</v>
      </c>
      <c r="I3" s="48">
        <f t="shared" ref="I3:I10" si="0">(F3*0.001)/G3</f>
        <v>0.3</v>
      </c>
      <c r="J3" s="49">
        <f t="shared" ref="J3:J10" si="1">E3*D3*(I3/(K3*E3))/(0.001002)</f>
        <v>30763.451234914421</v>
      </c>
      <c r="K3" s="48">
        <f>((D3/2)^2)*3.1415*8</f>
        <v>1.5075436483000001E-5</v>
      </c>
      <c r="L3" s="50">
        <f t="shared" ref="L3:L10" si="2">I3/(SQRT(2*E3*(H3*6895)))</f>
        <v>8.5284535368570472E-6</v>
      </c>
      <c r="M3" s="51">
        <f t="shared" ref="M3:M10" si="3">I3/(K3*SQRT(2*E3*(H3*6895)))</f>
        <v>0.56571851478225932</v>
      </c>
      <c r="N3" s="6">
        <f t="shared" ref="N3:N53" si="4">1/(2*L3^2)</f>
        <v>6874315000.000001</v>
      </c>
      <c r="O3" s="2">
        <f>N3*I3^2/E3/6895</f>
        <v>90.000000000000014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ht="15.75" customHeight="1">
      <c r="A4" s="2"/>
      <c r="B4" s="2" t="s">
        <v>195</v>
      </c>
      <c r="C4" s="52">
        <v>44851</v>
      </c>
      <c r="D4" s="2">
        <v>1.6473E-3</v>
      </c>
      <c r="E4" s="2">
        <v>997</v>
      </c>
      <c r="F4" s="2">
        <v>792</v>
      </c>
      <c r="G4" s="2">
        <v>4.51</v>
      </c>
      <c r="H4" s="2">
        <v>22</v>
      </c>
      <c r="I4" s="11">
        <f t="shared" si="0"/>
        <v>0.17560975609756099</v>
      </c>
      <c r="J4" s="53">
        <f t="shared" si="1"/>
        <v>16952.703589855653</v>
      </c>
      <c r="K4" s="2">
        <v>1.7030000000000001E-5</v>
      </c>
      <c r="L4" s="50">
        <f t="shared" si="2"/>
        <v>1.0097354110079719E-5</v>
      </c>
      <c r="M4" s="11">
        <f t="shared" si="3"/>
        <v>0.59291568467878553</v>
      </c>
      <c r="N4" s="6">
        <f t="shared" si="4"/>
        <v>4904049331.2114182</v>
      </c>
      <c r="O4" s="11"/>
      <c r="P4" s="11"/>
      <c r="Q4" s="11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ht="15.75" customHeight="1">
      <c r="A5" s="2"/>
      <c r="B5" s="2" t="s">
        <v>195</v>
      </c>
      <c r="C5" s="52">
        <v>44851</v>
      </c>
      <c r="D5" s="2">
        <v>1.6473E-3</v>
      </c>
      <c r="E5" s="2">
        <v>997</v>
      </c>
      <c r="F5" s="2">
        <v>1199</v>
      </c>
      <c r="G5" s="2">
        <v>5.64</v>
      </c>
      <c r="H5" s="2">
        <v>35</v>
      </c>
      <c r="I5" s="11">
        <f t="shared" si="0"/>
        <v>0.21258865248226952</v>
      </c>
      <c r="J5" s="53">
        <f t="shared" si="1"/>
        <v>20522.506791117856</v>
      </c>
      <c r="K5" s="2">
        <v>1.7030000000000001E-5</v>
      </c>
      <c r="L5" s="50">
        <f t="shared" si="2"/>
        <v>9.6911729629061529E-6</v>
      </c>
      <c r="M5" s="11">
        <f t="shared" si="3"/>
        <v>0.56906476587822385</v>
      </c>
      <c r="N5" s="6">
        <f t="shared" si="4"/>
        <v>5323745854.9625359</v>
      </c>
      <c r="O5" s="11"/>
      <c r="P5" s="11"/>
      <c r="Q5" s="11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ht="15.75" customHeight="1">
      <c r="A6" s="2"/>
      <c r="B6" s="2" t="s">
        <v>195</v>
      </c>
      <c r="C6" s="52">
        <v>44851</v>
      </c>
      <c r="D6" s="2">
        <v>1.6473E-3</v>
      </c>
      <c r="E6" s="2">
        <v>997</v>
      </c>
      <c r="F6" s="2">
        <v>1741</v>
      </c>
      <c r="G6" s="2">
        <v>5.92</v>
      </c>
      <c r="H6" s="2">
        <v>56</v>
      </c>
      <c r="I6" s="11">
        <f t="shared" si="0"/>
        <v>0.29408783783783787</v>
      </c>
      <c r="J6" s="53">
        <f t="shared" si="1"/>
        <v>28390.130793625332</v>
      </c>
      <c r="K6" s="2">
        <v>1.7030000000000001E-5</v>
      </c>
      <c r="L6" s="50">
        <f t="shared" si="2"/>
        <v>1.0598718039264981E-5</v>
      </c>
      <c r="M6" s="11">
        <f t="shared" si="3"/>
        <v>0.62235572749647572</v>
      </c>
      <c r="N6" s="6">
        <f t="shared" si="4"/>
        <v>4451058754.3176832</v>
      </c>
      <c r="O6" s="11"/>
      <c r="P6" s="11"/>
      <c r="Q6" s="11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15.75" customHeight="1">
      <c r="A7" s="2"/>
      <c r="B7" s="2" t="s">
        <v>196</v>
      </c>
      <c r="C7" s="52">
        <v>44851</v>
      </c>
      <c r="D7" s="2">
        <v>1.6473E-3</v>
      </c>
      <c r="E7" s="2">
        <v>997</v>
      </c>
      <c r="F7" s="2">
        <v>1489</v>
      </c>
      <c r="G7" s="2">
        <v>6.17</v>
      </c>
      <c r="H7" s="2">
        <v>44</v>
      </c>
      <c r="I7" s="11">
        <f t="shared" si="0"/>
        <v>0.24132901134521881</v>
      </c>
      <c r="J7" s="53">
        <f t="shared" si="1"/>
        <v>23296.992649403423</v>
      </c>
      <c r="K7" s="2">
        <v>1.7030000000000001E-5</v>
      </c>
      <c r="L7" s="50">
        <f t="shared" si="2"/>
        <v>9.8119083565332575E-6</v>
      </c>
      <c r="M7" s="11">
        <f t="shared" si="3"/>
        <v>0.57615433684869388</v>
      </c>
      <c r="N7" s="6">
        <f t="shared" si="4"/>
        <v>5193534702.5958433</v>
      </c>
      <c r="O7" s="11"/>
      <c r="P7" s="11"/>
      <c r="Q7" s="11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ht="15.75" customHeight="1">
      <c r="A8" s="2"/>
      <c r="B8" s="2" t="s">
        <v>195</v>
      </c>
      <c r="C8" s="52">
        <v>44851</v>
      </c>
      <c r="D8" s="2">
        <v>1.6473E-3</v>
      </c>
      <c r="E8" s="2">
        <v>997</v>
      </c>
      <c r="F8" s="2">
        <v>1478</v>
      </c>
      <c r="G8" s="2">
        <v>5.35</v>
      </c>
      <c r="H8" s="2">
        <v>49</v>
      </c>
      <c r="I8" s="11">
        <f t="shared" si="0"/>
        <v>0.27626168224299069</v>
      </c>
      <c r="J8" s="53">
        <f t="shared" si="1"/>
        <v>26669.260958932315</v>
      </c>
      <c r="K8" s="2">
        <v>1.7030000000000001E-5</v>
      </c>
      <c r="L8" s="50">
        <f t="shared" si="2"/>
        <v>1.0643706730302286E-5</v>
      </c>
      <c r="M8" s="11">
        <f t="shared" si="3"/>
        <v>0.62499745920741534</v>
      </c>
      <c r="N8" s="6">
        <f t="shared" si="4"/>
        <v>4413510913.0062275</v>
      </c>
      <c r="O8" s="11"/>
      <c r="P8" s="11"/>
      <c r="Q8" s="11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5.75" customHeight="1">
      <c r="A9" s="2"/>
      <c r="B9" s="2" t="s">
        <v>195</v>
      </c>
      <c r="C9" s="52">
        <v>44851</v>
      </c>
      <c r="D9" s="2">
        <v>1.6473E-3</v>
      </c>
      <c r="E9" s="2">
        <v>997</v>
      </c>
      <c r="F9" s="2">
        <v>1057</v>
      </c>
      <c r="G9" s="2">
        <v>5.68</v>
      </c>
      <c r="H9" s="2">
        <v>31</v>
      </c>
      <c r="I9" s="11">
        <f t="shared" si="0"/>
        <v>0.18609154929577465</v>
      </c>
      <c r="J9" s="53">
        <f t="shared" si="1"/>
        <v>17964.576376016586</v>
      </c>
      <c r="K9" s="2">
        <v>1.7030000000000001E-5</v>
      </c>
      <c r="L9" s="50">
        <f t="shared" si="2"/>
        <v>9.0139696700475278E-6</v>
      </c>
      <c r="M9" s="11">
        <f t="shared" si="3"/>
        <v>0.52929945214606733</v>
      </c>
      <c r="N9" s="6">
        <f t="shared" si="4"/>
        <v>6153721245.6095285</v>
      </c>
      <c r="O9" s="11"/>
      <c r="P9" s="11"/>
      <c r="Q9" s="11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5.75" customHeight="1">
      <c r="A10" s="2"/>
      <c r="B10" s="2" t="s">
        <v>195</v>
      </c>
      <c r="C10" s="52">
        <v>44851</v>
      </c>
      <c r="D10" s="2">
        <v>1.6473E-3</v>
      </c>
      <c r="E10" s="2">
        <v>997</v>
      </c>
      <c r="F10" s="2">
        <v>1187</v>
      </c>
      <c r="G10" s="2">
        <v>6.48</v>
      </c>
      <c r="H10" s="2">
        <v>32</v>
      </c>
      <c r="I10" s="11">
        <f t="shared" si="0"/>
        <v>0.18317901234567902</v>
      </c>
      <c r="J10" s="53">
        <f t="shared" si="1"/>
        <v>17683.41104268486</v>
      </c>
      <c r="K10" s="2">
        <v>1.7030000000000001E-5</v>
      </c>
      <c r="L10" s="50">
        <f t="shared" si="2"/>
        <v>8.7331518509125587E-6</v>
      </c>
      <c r="M10" s="11">
        <f t="shared" si="3"/>
        <v>0.51280985618981545</v>
      </c>
      <c r="N10" s="6">
        <f t="shared" si="4"/>
        <v>6555834493.4714661</v>
      </c>
      <c r="O10" s="11"/>
      <c r="P10" s="11"/>
      <c r="Q10" s="11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5.75" customHeight="1">
      <c r="A11" s="54"/>
      <c r="B11" s="54" t="s">
        <v>197</v>
      </c>
      <c r="C11" s="54"/>
      <c r="D11" s="54"/>
      <c r="E11" s="54"/>
      <c r="F11" s="54"/>
      <c r="G11" s="54"/>
      <c r="H11" s="54"/>
      <c r="I11" s="55"/>
      <c r="J11" s="56"/>
      <c r="K11" s="54"/>
      <c r="L11" s="57"/>
      <c r="M11" s="55"/>
      <c r="N11" s="6" t="e">
        <f t="shared" si="4"/>
        <v>#DIV/0!</v>
      </c>
      <c r="O11" s="11"/>
      <c r="P11" s="11"/>
      <c r="Q11" s="11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5.75" customHeight="1">
      <c r="A12" s="2"/>
      <c r="B12" s="2" t="s">
        <v>198</v>
      </c>
      <c r="C12" s="58">
        <v>44867</v>
      </c>
      <c r="D12" s="2">
        <v>1.562E-3</v>
      </c>
      <c r="E12" s="2">
        <v>997</v>
      </c>
      <c r="F12" s="2">
        <f>1426-950</f>
        <v>476</v>
      </c>
      <c r="G12" s="2">
        <v>3.85</v>
      </c>
      <c r="H12" s="2">
        <v>7.5</v>
      </c>
      <c r="I12" s="11">
        <f t="shared" ref="I12:I14" si="5">(F12*0.001)/G12</f>
        <v>0.12363636363636364</v>
      </c>
      <c r="J12" s="53">
        <f t="shared" ref="J12:J14" si="6">E12*D12*(I12/(K12*E12))/(0.001002)</f>
        <v>12572.75383337604</v>
      </c>
      <c r="K12" s="8">
        <f t="shared" ref="K12:K14" si="7">D12^2/4*3.1415*8</f>
        <v>1.5329539851999999E-5</v>
      </c>
      <c r="L12" s="50">
        <f t="shared" ref="L12:L14" si="8">I12/(SQRT(2*E12*(H12*6895)))</f>
        <v>1.2175474046499747E-5</v>
      </c>
      <c r="M12" s="11">
        <f t="shared" ref="M12:M14" si="9">I12/(K12*SQRT(2*E12*(H12*6895)))</f>
        <v>0.79424915320672518</v>
      </c>
      <c r="N12" s="6">
        <f t="shared" si="4"/>
        <v>3372859462.8568335</v>
      </c>
      <c r="O12" s="11"/>
      <c r="P12" s="11"/>
      <c r="Q12" s="11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5.75" customHeight="1">
      <c r="A13" s="9"/>
      <c r="B13" s="9" t="s">
        <v>198</v>
      </c>
      <c r="C13" s="59">
        <v>44867</v>
      </c>
      <c r="D13" s="10">
        <v>1.562E-3</v>
      </c>
      <c r="E13" s="10">
        <v>997</v>
      </c>
      <c r="F13" s="9">
        <v>1028</v>
      </c>
      <c r="G13" s="9">
        <v>5.15</v>
      </c>
      <c r="H13" s="9">
        <v>17.5</v>
      </c>
      <c r="I13" s="60">
        <f t="shared" si="5"/>
        <v>0.19961165048543689</v>
      </c>
      <c r="J13" s="61">
        <f t="shared" si="6"/>
        <v>20298.78645742665</v>
      </c>
      <c r="K13" s="62">
        <f t="shared" si="7"/>
        <v>1.5329539851999999E-5</v>
      </c>
      <c r="L13" s="50">
        <f t="shared" si="8"/>
        <v>1.2868773262710003E-5</v>
      </c>
      <c r="M13" s="60">
        <f t="shared" si="9"/>
        <v>0.83947550852487285</v>
      </c>
      <c r="N13" s="6">
        <f t="shared" si="4"/>
        <v>3019226580.6269312</v>
      </c>
      <c r="O13" s="11"/>
      <c r="P13" s="11"/>
      <c r="Q13" s="11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5.75" customHeight="1">
      <c r="A14" s="9"/>
      <c r="B14" s="9" t="s">
        <v>198</v>
      </c>
      <c r="C14" s="59">
        <v>44867</v>
      </c>
      <c r="D14" s="10">
        <v>1.562E-3</v>
      </c>
      <c r="E14" s="10">
        <v>997</v>
      </c>
      <c r="F14" s="9">
        <v>1429</v>
      </c>
      <c r="G14" s="9">
        <v>5.95</v>
      </c>
      <c r="H14" s="9">
        <v>37.5</v>
      </c>
      <c r="I14" s="60">
        <f t="shared" si="5"/>
        <v>0.24016806722689077</v>
      </c>
      <c r="J14" s="61">
        <f t="shared" si="6"/>
        <v>24423.024901981953</v>
      </c>
      <c r="K14" s="62">
        <f t="shared" si="7"/>
        <v>1.5329539851999999E-5</v>
      </c>
      <c r="L14" s="50">
        <f t="shared" si="8"/>
        <v>1.0577180531318522E-5</v>
      </c>
      <c r="M14" s="60">
        <f t="shared" si="9"/>
        <v>0.68998682500822428</v>
      </c>
      <c r="N14" s="6">
        <f t="shared" si="4"/>
        <v>4469203913.8936243</v>
      </c>
      <c r="O14" s="11"/>
      <c r="P14" s="11"/>
      <c r="Q14" s="11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5.75" customHeight="1">
      <c r="A15" s="9"/>
      <c r="B15" s="9"/>
      <c r="C15" s="59"/>
      <c r="D15" s="10"/>
      <c r="E15" s="10"/>
      <c r="F15" s="9"/>
      <c r="G15" s="9"/>
      <c r="H15" s="9"/>
      <c r="I15" s="60"/>
      <c r="J15" s="61"/>
      <c r="K15" s="62"/>
      <c r="L15" s="50"/>
      <c r="M15" s="60"/>
      <c r="N15" s="6" t="e">
        <f t="shared" si="4"/>
        <v>#DIV/0!</v>
      </c>
      <c r="O15" s="11"/>
      <c r="P15" s="11"/>
      <c r="Q15" s="11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.75" customHeight="1">
      <c r="A16" s="9"/>
      <c r="B16" s="9"/>
      <c r="C16" s="59"/>
      <c r="D16" s="10"/>
      <c r="E16" s="10"/>
      <c r="F16" s="9"/>
      <c r="G16" s="9"/>
      <c r="H16" s="9"/>
      <c r="I16" s="60"/>
      <c r="J16" s="61"/>
      <c r="K16" s="62"/>
      <c r="L16" s="50"/>
      <c r="M16" s="60"/>
      <c r="N16" s="6" t="e">
        <f t="shared" si="4"/>
        <v>#DIV/0!</v>
      </c>
      <c r="O16" s="11"/>
      <c r="P16" s="11"/>
      <c r="Q16" s="11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.75" customHeight="1">
      <c r="A17" s="9"/>
      <c r="B17" s="9"/>
      <c r="C17" s="59"/>
      <c r="D17" s="10"/>
      <c r="E17" s="10"/>
      <c r="F17" s="9"/>
      <c r="G17" s="9"/>
      <c r="H17" s="9"/>
      <c r="I17" s="60"/>
      <c r="J17" s="61"/>
      <c r="K17" s="62"/>
      <c r="L17" s="50"/>
      <c r="M17" s="60"/>
      <c r="N17" s="6" t="e">
        <f t="shared" si="4"/>
        <v>#DIV/0!</v>
      </c>
      <c r="O17" s="11"/>
      <c r="P17" s="11"/>
      <c r="Q17" s="11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.75" customHeight="1">
      <c r="A18" s="9"/>
      <c r="B18" s="9"/>
      <c r="C18" s="59"/>
      <c r="D18" s="10"/>
      <c r="E18" s="10"/>
      <c r="F18" s="9"/>
      <c r="G18" s="9"/>
      <c r="H18" s="9"/>
      <c r="I18" s="60"/>
      <c r="J18" s="61"/>
      <c r="K18" s="62"/>
      <c r="L18" s="50"/>
      <c r="M18" s="60"/>
      <c r="N18" s="6" t="e">
        <f t="shared" si="4"/>
        <v>#DIV/0!</v>
      </c>
      <c r="O18" s="11"/>
      <c r="P18" s="11"/>
      <c r="Q18" s="11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.75" customHeight="1">
      <c r="A19" s="9"/>
      <c r="B19" s="9"/>
      <c r="C19" s="59"/>
      <c r="D19" s="10"/>
      <c r="E19" s="10"/>
      <c r="F19" s="9"/>
      <c r="G19" s="9"/>
      <c r="H19" s="9"/>
      <c r="I19" s="60"/>
      <c r="J19" s="61"/>
      <c r="K19" s="62"/>
      <c r="L19" s="50"/>
      <c r="M19" s="60"/>
      <c r="N19" s="6" t="e">
        <f t="shared" si="4"/>
        <v>#DIV/0!</v>
      </c>
      <c r="O19" s="11"/>
      <c r="P19" s="11"/>
      <c r="Q19" s="11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ht="15.75" customHeight="1">
      <c r="A20" s="9"/>
      <c r="B20" s="9"/>
      <c r="C20" s="59"/>
      <c r="D20" s="10"/>
      <c r="E20" s="10"/>
      <c r="F20" s="9"/>
      <c r="G20" s="9"/>
      <c r="H20" s="9"/>
      <c r="I20" s="60"/>
      <c r="J20" s="61"/>
      <c r="K20" s="62"/>
      <c r="L20" s="50"/>
      <c r="M20" s="60"/>
      <c r="N20" s="6" t="e">
        <f t="shared" si="4"/>
        <v>#DIV/0!</v>
      </c>
      <c r="O20" s="11"/>
      <c r="P20" s="11"/>
      <c r="Q20" s="11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ht="15.75" customHeight="1">
      <c r="A21" s="9"/>
      <c r="B21" s="9"/>
      <c r="C21" s="59"/>
      <c r="D21" s="10"/>
      <c r="E21" s="10"/>
      <c r="F21" s="9"/>
      <c r="G21" s="9"/>
      <c r="H21" s="9"/>
      <c r="I21" s="60"/>
      <c r="J21" s="61"/>
      <c r="K21" s="62"/>
      <c r="L21" s="50"/>
      <c r="M21" s="60"/>
      <c r="N21" s="6" t="e">
        <f t="shared" si="4"/>
        <v>#DIV/0!</v>
      </c>
      <c r="O21" s="11"/>
      <c r="P21" s="11"/>
      <c r="Q21" s="11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ht="15.75" customHeight="1">
      <c r="A22" s="9"/>
      <c r="B22" s="9"/>
      <c r="C22" s="59"/>
      <c r="D22" s="10"/>
      <c r="E22" s="10"/>
      <c r="F22" s="9"/>
      <c r="G22" s="9"/>
      <c r="H22" s="9"/>
      <c r="I22" s="60"/>
      <c r="J22" s="61"/>
      <c r="K22" s="62"/>
      <c r="L22" s="50"/>
      <c r="M22" s="60"/>
      <c r="N22" s="6" t="e">
        <f t="shared" si="4"/>
        <v>#DIV/0!</v>
      </c>
      <c r="O22" s="11"/>
      <c r="P22" s="11"/>
      <c r="Q22" s="11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ht="15.75" customHeight="1">
      <c r="A23" s="2"/>
      <c r="B23" s="2"/>
      <c r="C23" s="2"/>
      <c r="D23" s="2"/>
      <c r="E23" s="2"/>
      <c r="F23" s="2"/>
      <c r="G23" s="2"/>
      <c r="H23" s="2"/>
      <c r="I23" s="60"/>
      <c r="J23" s="61"/>
      <c r="K23" s="62"/>
      <c r="L23" s="63"/>
      <c r="M23" s="60"/>
      <c r="N23" s="6" t="e">
        <f t="shared" si="4"/>
        <v>#DIV/0!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.75" customHeight="1">
      <c r="A24" s="2"/>
      <c r="B24" s="2"/>
      <c r="C24" s="2"/>
      <c r="D24" s="10"/>
      <c r="E24" s="10"/>
      <c r="F24" s="9"/>
      <c r="G24" s="9"/>
      <c r="H24" s="9"/>
      <c r="I24" s="60"/>
      <c r="J24" s="61"/>
      <c r="K24" s="62"/>
      <c r="L24" s="63"/>
      <c r="M24" s="60"/>
      <c r="N24" s="6" t="e">
        <f t="shared" si="4"/>
        <v>#DIV/0!</v>
      </c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.75" customHeight="1">
      <c r="A25" s="2"/>
      <c r="B25" s="2"/>
      <c r="C25" s="2"/>
      <c r="D25" s="10"/>
      <c r="E25" s="10"/>
      <c r="F25" s="9"/>
      <c r="G25" s="9"/>
      <c r="H25" s="9"/>
      <c r="I25" s="60"/>
      <c r="J25" s="61"/>
      <c r="K25" s="62"/>
      <c r="L25" s="63"/>
      <c r="M25" s="60"/>
      <c r="N25" s="6" t="e">
        <f t="shared" si="4"/>
        <v>#DIV/0!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ht="15.75" customHeight="1">
      <c r="A26" s="2" t="s">
        <v>202</v>
      </c>
      <c r="B26" s="2" t="s">
        <v>203</v>
      </c>
      <c r="C26" s="58">
        <v>44968</v>
      </c>
      <c r="D26" s="2">
        <v>1.5883E-3</v>
      </c>
      <c r="E26" s="10">
        <v>997</v>
      </c>
      <c r="F26" s="9">
        <v>2181</v>
      </c>
      <c r="G26" s="9">
        <v>5.75</v>
      </c>
      <c r="H26" s="9">
        <v>134</v>
      </c>
      <c r="I26" s="60">
        <f t="shared" ref="I26:I33" si="10">(F26*0.001)/G26</f>
        <v>0.37930434782608696</v>
      </c>
      <c r="J26" s="61">
        <f t="shared" ref="J26:J33" si="11">E26*D26*(I26/(K26*E26))/(0.001002)</f>
        <v>37933.289346843943</v>
      </c>
      <c r="K26" s="62">
        <f t="shared" ref="K26:K33" si="12">D26^2/4*3.1415*8</f>
        <v>1.5850104559870001E-5</v>
      </c>
      <c r="L26" s="63">
        <f t="shared" ref="L26:L33" si="13">10^6*I26/(SQRT(2*E26*(H26*6895)))</f>
        <v>8.837017386713784</v>
      </c>
      <c r="M26" s="60">
        <f t="shared" ref="M26:M33" si="14">I26/(K26*SQRT(2*E26*(H26*6895)))</f>
        <v>0.55753685115035367</v>
      </c>
      <c r="N26" s="6">
        <f t="shared" si="4"/>
        <v>6.4026326565755553E-3</v>
      </c>
      <c r="O26" s="2"/>
      <c r="P26" s="2"/>
      <c r="Q26" s="2">
        <v>0.67500000000000004</v>
      </c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.75" customHeight="1">
      <c r="A27" s="2" t="s">
        <v>202</v>
      </c>
      <c r="B27" s="2" t="s">
        <v>203</v>
      </c>
      <c r="C27" s="58">
        <v>44968</v>
      </c>
      <c r="D27" s="2">
        <v>1.5883E-3</v>
      </c>
      <c r="E27" s="10">
        <v>997</v>
      </c>
      <c r="F27" s="9">
        <v>3218</v>
      </c>
      <c r="G27" s="9">
        <v>7.48</v>
      </c>
      <c r="H27" s="9">
        <v>119</v>
      </c>
      <c r="I27" s="60">
        <f t="shared" si="10"/>
        <v>0.43021390374331547</v>
      </c>
      <c r="J27" s="61">
        <f t="shared" si="11"/>
        <v>43024.62807310871</v>
      </c>
      <c r="K27" s="62">
        <f t="shared" si="12"/>
        <v>1.5850104559870001E-5</v>
      </c>
      <c r="L27" s="63">
        <f t="shared" si="13"/>
        <v>10.636071519224641</v>
      </c>
      <c r="M27" s="60">
        <f t="shared" si="14"/>
        <v>0.67104109496876885</v>
      </c>
      <c r="N27" s="6">
        <f t="shared" si="4"/>
        <v>4.4198497539230273E-3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6.5">
      <c r="A28" s="2" t="s">
        <v>202</v>
      </c>
      <c r="B28" s="2" t="s">
        <v>203</v>
      </c>
      <c r="C28" s="58">
        <v>44968</v>
      </c>
      <c r="D28" s="2">
        <v>1.5883E-3</v>
      </c>
      <c r="E28" s="2">
        <v>997</v>
      </c>
      <c r="F28" s="2">
        <v>3083</v>
      </c>
      <c r="G28" s="2">
        <v>7.3</v>
      </c>
      <c r="H28" s="2">
        <v>134</v>
      </c>
      <c r="I28" s="60">
        <f t="shared" si="10"/>
        <v>0.42232876712328771</v>
      </c>
      <c r="J28" s="61">
        <f t="shared" si="11"/>
        <v>42236.055069236769</v>
      </c>
      <c r="K28" s="62">
        <f t="shared" si="12"/>
        <v>1.5850104559870001E-5</v>
      </c>
      <c r="L28" s="63">
        <f t="shared" si="13"/>
        <v>9.839398571010026</v>
      </c>
      <c r="M28" s="60">
        <f t="shared" si="14"/>
        <v>0.62077814905536033</v>
      </c>
      <c r="N28" s="6">
        <f t="shared" si="4"/>
        <v>5.1645548949493247E-3</v>
      </c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ht="16.5">
      <c r="A29" s="2" t="s">
        <v>202</v>
      </c>
      <c r="B29" s="2" t="s">
        <v>203</v>
      </c>
      <c r="C29" s="58">
        <v>44968</v>
      </c>
      <c r="D29" s="2">
        <v>1.5883E-3</v>
      </c>
      <c r="E29" s="2">
        <v>997</v>
      </c>
      <c r="F29" s="2">
        <v>2833</v>
      </c>
      <c r="G29" s="2">
        <v>7.38</v>
      </c>
      <c r="H29" s="2">
        <v>124</v>
      </c>
      <c r="I29" s="60">
        <f t="shared" si="10"/>
        <v>0.38387533875338758</v>
      </c>
      <c r="J29" s="61">
        <f t="shared" si="11"/>
        <v>38390.422839884195</v>
      </c>
      <c r="K29" s="62">
        <f t="shared" si="12"/>
        <v>1.5850104559870001E-5</v>
      </c>
      <c r="L29" s="63">
        <f t="shared" si="13"/>
        <v>9.2971461457998164</v>
      </c>
      <c r="M29" s="60">
        <f t="shared" si="14"/>
        <v>0.58656686526464585</v>
      </c>
      <c r="N29" s="6">
        <f t="shared" si="4"/>
        <v>5.7845647745519528E-3</v>
      </c>
      <c r="O29" s="2"/>
      <c r="P29" s="2"/>
      <c r="Q29" s="2"/>
      <c r="R29" s="2"/>
      <c r="S29" s="2"/>
      <c r="T29" s="2"/>
      <c r="U29" s="62">
        <f>D32^2/4*3.1415*8</f>
        <v>1.5850104559870001E-5</v>
      </c>
      <c r="V29" s="2"/>
      <c r="W29" s="2"/>
      <c r="X29" s="2"/>
      <c r="Y29" s="2"/>
      <c r="Z29" s="2"/>
      <c r="AA29" s="2"/>
      <c r="AB29" s="2"/>
      <c r="AC29" s="2"/>
      <c r="AD29" s="2"/>
    </row>
    <row r="30" spans="1:30" ht="16.5">
      <c r="A30" s="2" t="s">
        <v>202</v>
      </c>
      <c r="B30" s="2" t="s">
        <v>203</v>
      </c>
      <c r="C30" s="58">
        <v>44968</v>
      </c>
      <c r="D30" s="2">
        <v>1.5883E-3</v>
      </c>
      <c r="E30" s="2">
        <v>997</v>
      </c>
      <c r="F30" s="2">
        <v>2971</v>
      </c>
      <c r="G30" s="2">
        <v>7.96</v>
      </c>
      <c r="H30" s="2">
        <v>114</v>
      </c>
      <c r="I30" s="60">
        <f t="shared" si="10"/>
        <v>0.37324120603015076</v>
      </c>
      <c r="J30" s="61">
        <f t="shared" si="11"/>
        <v>37326.929537328542</v>
      </c>
      <c r="K30" s="62">
        <f t="shared" si="12"/>
        <v>1.5850104559870001E-5</v>
      </c>
      <c r="L30" s="63">
        <f t="shared" si="13"/>
        <v>9.4277367262360219</v>
      </c>
      <c r="M30" s="60">
        <f t="shared" si="14"/>
        <v>0.59480596425247467</v>
      </c>
      <c r="N30" s="6">
        <f t="shared" si="4"/>
        <v>5.625422061262461E-3</v>
      </c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ht="16.5">
      <c r="A31" s="2" t="s">
        <v>202</v>
      </c>
      <c r="B31" s="2" t="s">
        <v>203</v>
      </c>
      <c r="C31" s="58">
        <v>44968</v>
      </c>
      <c r="D31" s="2">
        <v>1.5883E-3</v>
      </c>
      <c r="E31" s="2">
        <v>997</v>
      </c>
      <c r="F31" s="2">
        <v>2890</v>
      </c>
      <c r="G31" s="2">
        <v>7.8</v>
      </c>
      <c r="H31" s="2">
        <v>114</v>
      </c>
      <c r="I31" s="60">
        <f t="shared" si="10"/>
        <v>0.37051282051282053</v>
      </c>
      <c r="J31" s="61">
        <f t="shared" si="11"/>
        <v>37054.070452343622</v>
      </c>
      <c r="K31" s="62">
        <f t="shared" si="12"/>
        <v>1.5850104559870001E-5</v>
      </c>
      <c r="L31" s="63">
        <f t="shared" si="13"/>
        <v>9.3588201652307319</v>
      </c>
      <c r="M31" s="60">
        <f t="shared" si="14"/>
        <v>0.59045794492269843</v>
      </c>
      <c r="N31" s="6">
        <f t="shared" si="4"/>
        <v>5.7085761669999164E-3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ht="16.5">
      <c r="A32" s="2" t="s">
        <v>202</v>
      </c>
      <c r="B32" s="2" t="s">
        <v>203</v>
      </c>
      <c r="C32" s="58">
        <v>44968</v>
      </c>
      <c r="D32" s="2">
        <v>1.5883E-3</v>
      </c>
      <c r="E32" s="2">
        <v>997</v>
      </c>
      <c r="F32" s="2">
        <v>2939</v>
      </c>
      <c r="G32" s="2">
        <v>7.96</v>
      </c>
      <c r="H32" s="2">
        <v>114</v>
      </c>
      <c r="I32" s="60">
        <f t="shared" si="10"/>
        <v>0.3692211055276382</v>
      </c>
      <c r="J32" s="61">
        <f t="shared" si="11"/>
        <v>36924.889232651825</v>
      </c>
      <c r="K32" s="62">
        <f t="shared" si="12"/>
        <v>1.5850104559870001E-5</v>
      </c>
      <c r="L32" s="63">
        <f t="shared" si="13"/>
        <v>9.3261926080133524</v>
      </c>
      <c r="M32" s="60">
        <f t="shared" si="14"/>
        <v>0.58839943754224944</v>
      </c>
      <c r="N32" s="6">
        <f t="shared" si="4"/>
        <v>5.7485887877897412E-3</v>
      </c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ht="16.5">
      <c r="A33" s="2" t="s">
        <v>202</v>
      </c>
      <c r="B33" s="2" t="s">
        <v>203</v>
      </c>
      <c r="C33" s="58">
        <v>44968</v>
      </c>
      <c r="D33" s="2">
        <v>1.5883E-3</v>
      </c>
      <c r="E33" s="2">
        <v>997</v>
      </c>
      <c r="F33" s="2">
        <v>2831</v>
      </c>
      <c r="G33" s="2">
        <v>7.68</v>
      </c>
      <c r="H33" s="2">
        <v>114</v>
      </c>
      <c r="I33" s="64">
        <f t="shared" si="10"/>
        <v>0.3686197916666667</v>
      </c>
      <c r="J33" s="61">
        <f t="shared" si="11"/>
        <v>36864.753321193835</v>
      </c>
      <c r="K33" s="62">
        <f t="shared" si="12"/>
        <v>1.5850104559870001E-5</v>
      </c>
      <c r="L33" s="63">
        <f t="shared" si="13"/>
        <v>9.3110039614237312</v>
      </c>
      <c r="M33" s="60">
        <f t="shared" si="14"/>
        <v>0.58744116963100323</v>
      </c>
      <c r="N33" s="6">
        <f t="shared" si="4"/>
        <v>5.7673589438503236E-3</v>
      </c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ht="16.5">
      <c r="A34" s="9"/>
      <c r="B34" s="9"/>
      <c r="C34" s="58"/>
      <c r="D34" s="2"/>
      <c r="E34" s="9"/>
      <c r="F34" s="2"/>
      <c r="G34" s="2"/>
      <c r="H34" s="2"/>
      <c r="I34" s="60"/>
      <c r="J34" s="61"/>
      <c r="K34" s="62"/>
      <c r="L34" s="63"/>
      <c r="M34" s="60"/>
      <c r="N34" s="6" t="e">
        <f t="shared" si="4"/>
        <v>#DIV/0!</v>
      </c>
      <c r="O34" s="9"/>
      <c r="P34" s="9"/>
      <c r="Q34" s="9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ht="16.5">
      <c r="A35" s="9"/>
      <c r="B35" s="9"/>
      <c r="C35" s="58"/>
      <c r="D35" s="2"/>
      <c r="E35" s="9"/>
      <c r="F35" s="2"/>
      <c r="G35" s="2"/>
      <c r="H35" s="2"/>
      <c r="I35" s="60"/>
      <c r="J35" s="61"/>
      <c r="K35" s="62"/>
      <c r="L35" s="63"/>
      <c r="M35" s="60"/>
      <c r="N35" s="6" t="e">
        <f t="shared" si="4"/>
        <v>#DIV/0!</v>
      </c>
      <c r="O35" s="9"/>
      <c r="P35" s="9"/>
      <c r="Q35" s="9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ht="16.5">
      <c r="A36" s="9"/>
      <c r="B36" s="9"/>
      <c r="C36" s="58"/>
      <c r="D36" s="2"/>
      <c r="E36" s="9"/>
      <c r="F36" s="2"/>
      <c r="G36" s="2"/>
      <c r="H36" s="2"/>
      <c r="I36" s="60"/>
      <c r="J36" s="61"/>
      <c r="K36" s="62"/>
      <c r="L36" s="63"/>
      <c r="M36" s="60"/>
      <c r="N36" s="6" t="e">
        <f t="shared" si="4"/>
        <v>#DIV/0!</v>
      </c>
      <c r="O36" s="9"/>
      <c r="P36" s="9"/>
      <c r="Q36" s="9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ht="16.5">
      <c r="A37" s="2"/>
      <c r="B37" s="2"/>
      <c r="C37" s="58"/>
      <c r="D37" s="2"/>
      <c r="E37" s="9"/>
      <c r="F37" s="2"/>
      <c r="G37" s="2"/>
      <c r="H37" s="2"/>
      <c r="I37" s="60"/>
      <c r="J37" s="61"/>
      <c r="K37" s="62"/>
      <c r="L37" s="63"/>
      <c r="M37" s="60"/>
      <c r="N37" s="6" t="e">
        <f t="shared" si="4"/>
        <v>#DIV/0!</v>
      </c>
      <c r="O37" s="9"/>
      <c r="P37" s="9"/>
      <c r="Q37" s="9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ht="12.3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6" t="e">
        <f t="shared" si="4"/>
        <v>#DIV/0!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ht="12.3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6" t="e">
        <f t="shared" si="4"/>
        <v>#DIV/0!</v>
      </c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ht="12.3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 t="e">
        <f t="shared" ref="L40:M40" si="15">AVERAGE(#REF!,#REF!)</f>
        <v>#REF!</v>
      </c>
      <c r="M40" s="2" t="e">
        <f t="shared" si="15"/>
        <v>#REF!</v>
      </c>
      <c r="N40" s="6" t="e">
        <f t="shared" si="4"/>
        <v>#REF!</v>
      </c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ht="12.3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6" t="e">
        <f t="shared" si="4"/>
        <v>#DIV/0!</v>
      </c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ht="12.3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 t="e">
        <f>AVERAGEA(#REF!)</f>
        <v>#REF!</v>
      </c>
      <c r="M42" s="2"/>
      <c r="N42" s="6" t="e">
        <f t="shared" si="4"/>
        <v>#REF!</v>
      </c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ht="12.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6" t="e">
        <f t="shared" si="4"/>
        <v>#DIV/0!</v>
      </c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ht="16.5">
      <c r="A44" s="2"/>
      <c r="B44" s="2"/>
      <c r="C44" s="2"/>
      <c r="D44" s="2"/>
      <c r="E44" s="2"/>
      <c r="F44" s="2"/>
      <c r="G44" s="2"/>
      <c r="H44" s="2"/>
      <c r="I44" s="60" t="e">
        <f t="shared" ref="I44:I45" si="16">(F44*0.001)/G44</f>
        <v>#DIV/0!</v>
      </c>
      <c r="J44" s="61" t="e">
        <f t="shared" ref="J44:J45" si="17">E44*D44*(I44/(K44*E44))/(0.001002)</f>
        <v>#DIV/0!</v>
      </c>
      <c r="K44" s="2"/>
      <c r="L44" s="63" t="e">
        <f t="shared" ref="L44:L45" si="18">I44/(SQRT(2*E44*(H44*6895)))</f>
        <v>#DIV/0!</v>
      </c>
      <c r="M44" s="2" t="e">
        <f>AVERAGE(#REF!)</f>
        <v>#REF!</v>
      </c>
      <c r="N44" s="6" t="e">
        <f t="shared" si="4"/>
        <v>#DIV/0!</v>
      </c>
      <c r="O44" s="6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  <row r="45" spans="1:30" ht="16.5">
      <c r="A45" s="2"/>
      <c r="B45" s="2"/>
      <c r="C45" s="2"/>
      <c r="D45" s="2"/>
      <c r="E45" s="2"/>
      <c r="F45" s="2"/>
      <c r="G45" s="2"/>
      <c r="H45" s="2"/>
      <c r="I45" s="60" t="e">
        <f t="shared" si="16"/>
        <v>#DIV/0!</v>
      </c>
      <c r="J45" s="61" t="e">
        <f t="shared" si="17"/>
        <v>#DIV/0!</v>
      </c>
      <c r="K45" s="2"/>
      <c r="L45" s="63" t="e">
        <f t="shared" si="18"/>
        <v>#DIV/0!</v>
      </c>
      <c r="M45" s="2"/>
      <c r="N45" s="6" t="e">
        <f t="shared" si="4"/>
        <v>#DIV/0!</v>
      </c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</row>
    <row r="46" spans="1:30" ht="12.3">
      <c r="A46" s="2"/>
      <c r="B46" s="2"/>
      <c r="C46" s="2"/>
      <c r="D46" s="9"/>
      <c r="E46" s="2"/>
      <c r="F46" s="2"/>
      <c r="G46" s="2"/>
      <c r="H46" s="2"/>
      <c r="I46" s="2"/>
      <c r="J46" s="2"/>
      <c r="K46" s="62">
        <f>D46^2/4*3.1415*8</f>
        <v>0</v>
      </c>
      <c r="L46" s="2" t="e">
        <f>AVERAGE(#REF!)</f>
        <v>#REF!</v>
      </c>
      <c r="M46" s="60" t="e">
        <f>I46/(K46*SQRT(2*E46*(H46*6895)))</f>
        <v>#DIV/0!</v>
      </c>
      <c r="N46" s="6" t="e">
        <f t="shared" si="4"/>
        <v>#REF!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</row>
    <row r="47" spans="1:30" ht="12.3">
      <c r="A47" s="2"/>
      <c r="B47" s="2"/>
      <c r="C47" s="2"/>
      <c r="D47" s="2"/>
      <c r="E47" s="2"/>
      <c r="F47" s="2"/>
      <c r="G47" s="2"/>
      <c r="H47" s="2"/>
      <c r="I47" s="2"/>
      <c r="J47" s="2"/>
      <c r="K47" s="2" t="s">
        <v>216</v>
      </c>
      <c r="L47" s="2" t="e">
        <f>AVERAGE(L46)</f>
        <v>#REF!</v>
      </c>
      <c r="M47" s="2"/>
      <c r="N47" s="6" t="e">
        <f t="shared" si="4"/>
        <v>#REF!</v>
      </c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</row>
    <row r="48" spans="1:30" ht="16.5">
      <c r="A48" s="9"/>
      <c r="B48" s="9" t="s">
        <v>218</v>
      </c>
      <c r="C48" s="68">
        <v>45339</v>
      </c>
      <c r="D48" s="2">
        <v>1.5621000000000001E-3</v>
      </c>
      <c r="E48" s="9">
        <v>997</v>
      </c>
      <c r="F48" s="2">
        <f>1545-800</f>
        <v>745</v>
      </c>
      <c r="G48" s="2">
        <v>3.32</v>
      </c>
      <c r="H48" s="2">
        <f t="shared" ref="H48:H53" si="19">(R48-S48)/(LN(R48/S48))</f>
        <v>75.841841973991421</v>
      </c>
      <c r="I48" s="60">
        <f t="shared" ref="I48:I53" si="20">(F48*0.001)/G48</f>
        <v>0.2243975903614458</v>
      </c>
      <c r="J48" s="61">
        <f t="shared" ref="J48:J53" si="21">E48*D48*(I48/(K48*E48))/(0.001002)</f>
        <v>22817.842358710444</v>
      </c>
      <c r="K48" s="62">
        <f t="shared" ref="K48:K53" si="22">D48^2/4*3.1415*8</f>
        <v>1.5331502724030003E-5</v>
      </c>
      <c r="L48" s="63">
        <f t="shared" ref="L48:L53" si="23">I48/(SQRT(2*E48*(H48*6895)))</f>
        <v>6.9491876747660603E-6</v>
      </c>
      <c r="M48" s="60">
        <f t="shared" ref="M48:M53" si="24">I48/(K48*SQRT(2*E48*(H48*6895)))</f>
        <v>0.45326200567894576</v>
      </c>
      <c r="N48" s="6">
        <f t="shared" si="4"/>
        <v>10353851287.690821</v>
      </c>
      <c r="O48" s="2"/>
      <c r="P48" s="2"/>
      <c r="Q48" s="2"/>
      <c r="R48" s="2">
        <v>82</v>
      </c>
      <c r="S48" s="2">
        <v>70</v>
      </c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</row>
    <row r="49" spans="1:30" ht="16.5">
      <c r="A49" s="9"/>
      <c r="B49" s="72" t="s">
        <v>218</v>
      </c>
      <c r="C49" s="68">
        <v>45339</v>
      </c>
      <c r="D49" s="2">
        <v>1.5621000000000001E-3</v>
      </c>
      <c r="E49" s="9">
        <v>997</v>
      </c>
      <c r="F49" s="2">
        <f>2035-785</f>
        <v>1250</v>
      </c>
      <c r="G49" s="2">
        <v>5.25</v>
      </c>
      <c r="H49" s="2">
        <f t="shared" si="19"/>
        <v>75.559360022049646</v>
      </c>
      <c r="I49" s="60">
        <f t="shared" si="20"/>
        <v>0.23809523809523808</v>
      </c>
      <c r="J49" s="61">
        <f t="shared" si="21"/>
        <v>24210.686043757963</v>
      </c>
      <c r="K49" s="62">
        <f t="shared" si="22"/>
        <v>1.5331502724030003E-5</v>
      </c>
      <c r="L49" s="63">
        <f t="shared" si="23"/>
        <v>7.3871490516186645E-6</v>
      </c>
      <c r="M49" s="60">
        <f t="shared" si="24"/>
        <v>0.48182811460746988</v>
      </c>
      <c r="N49" s="6">
        <f t="shared" si="4"/>
        <v>9162548372.7031822</v>
      </c>
      <c r="O49" s="2"/>
      <c r="P49" s="2"/>
      <c r="Q49" s="2"/>
      <c r="R49" s="2">
        <v>86</v>
      </c>
      <c r="S49" s="2">
        <v>66</v>
      </c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</row>
    <row r="50" spans="1:30" ht="16.5">
      <c r="A50" s="9"/>
      <c r="B50" s="72" t="s">
        <v>218</v>
      </c>
      <c r="C50" s="68">
        <v>45339</v>
      </c>
      <c r="D50" s="2">
        <v>1.5621000000000001E-3</v>
      </c>
      <c r="E50" s="9">
        <v>997</v>
      </c>
      <c r="F50" s="2">
        <f>1870-800</f>
        <v>1070</v>
      </c>
      <c r="G50" s="2">
        <v>4.8099999999999996</v>
      </c>
      <c r="H50" s="2">
        <f t="shared" si="19"/>
        <v>59.440268239769239</v>
      </c>
      <c r="I50" s="60">
        <f t="shared" si="20"/>
        <v>0.22245322245322249</v>
      </c>
      <c r="J50" s="61">
        <f t="shared" si="21"/>
        <v>22620.129538596324</v>
      </c>
      <c r="K50" s="62">
        <f t="shared" si="22"/>
        <v>1.5331502724030003E-5</v>
      </c>
      <c r="L50" s="63">
        <f t="shared" si="23"/>
        <v>7.7815947301622893E-6</v>
      </c>
      <c r="M50" s="60">
        <f t="shared" si="24"/>
        <v>0.50755590435148401</v>
      </c>
      <c r="N50" s="6">
        <f t="shared" si="4"/>
        <v>8257199675.4729156</v>
      </c>
      <c r="O50" s="2"/>
      <c r="P50" s="2"/>
      <c r="Q50" s="2"/>
      <c r="R50" s="2">
        <v>70</v>
      </c>
      <c r="S50" s="2">
        <v>50</v>
      </c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</row>
    <row r="51" spans="1:30" ht="16.5">
      <c r="A51" s="9"/>
      <c r="B51" s="72" t="s">
        <v>218</v>
      </c>
      <c r="C51" s="68">
        <v>45339</v>
      </c>
      <c r="D51" s="2">
        <v>1.5621000000000001E-3</v>
      </c>
      <c r="E51" s="9">
        <v>997</v>
      </c>
      <c r="F51" s="2">
        <f>1845-805</f>
        <v>1040</v>
      </c>
      <c r="G51" s="2">
        <v>4.6500000000000004</v>
      </c>
      <c r="H51" s="2">
        <f t="shared" si="19"/>
        <v>58.539498110814144</v>
      </c>
      <c r="I51" s="60">
        <f t="shared" si="20"/>
        <v>0.2236559139784946</v>
      </c>
      <c r="J51" s="61">
        <f t="shared" si="21"/>
        <v>22742.425083684899</v>
      </c>
      <c r="K51" s="62">
        <f t="shared" si="22"/>
        <v>1.5331502724030003E-5</v>
      </c>
      <c r="L51" s="63">
        <f t="shared" si="23"/>
        <v>7.8836289716058119E-6</v>
      </c>
      <c r="M51" s="60">
        <f t="shared" si="24"/>
        <v>0.51421110595045039</v>
      </c>
      <c r="N51" s="6">
        <f t="shared" si="4"/>
        <v>8044844439.1788607</v>
      </c>
      <c r="O51" s="2"/>
      <c r="P51" s="2"/>
      <c r="Q51" s="2"/>
      <c r="R51" s="2">
        <v>68</v>
      </c>
      <c r="S51" s="2">
        <v>50</v>
      </c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</row>
    <row r="52" spans="1:30" ht="16.5">
      <c r="A52" s="9"/>
      <c r="B52" s="72" t="s">
        <v>218</v>
      </c>
      <c r="C52" s="68">
        <v>45339</v>
      </c>
      <c r="D52" s="2">
        <v>1.5621000000000001E-3</v>
      </c>
      <c r="E52" s="9">
        <v>997</v>
      </c>
      <c r="F52" s="2">
        <f>1825-785</f>
        <v>1040</v>
      </c>
      <c r="G52" s="2">
        <v>4.09</v>
      </c>
      <c r="H52" s="2">
        <f t="shared" si="19"/>
        <v>77.380682393957301</v>
      </c>
      <c r="I52" s="60">
        <f t="shared" si="20"/>
        <v>0.25427872860635697</v>
      </c>
      <c r="J52" s="61">
        <f t="shared" si="21"/>
        <v>25856.302356756671</v>
      </c>
      <c r="K52" s="62">
        <f t="shared" si="22"/>
        <v>1.5331502724030003E-5</v>
      </c>
      <c r="L52" s="63">
        <f t="shared" si="23"/>
        <v>7.7958601804391901E-6</v>
      </c>
      <c r="M52" s="60">
        <f t="shared" si="24"/>
        <v>0.50848637089045823</v>
      </c>
      <c r="N52" s="6">
        <f t="shared" si="4"/>
        <v>8227008036.388586</v>
      </c>
      <c r="O52" s="2"/>
      <c r="P52" s="2"/>
      <c r="Q52" s="2"/>
      <c r="R52" s="2">
        <v>90</v>
      </c>
      <c r="S52" s="2">
        <v>66</v>
      </c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</row>
    <row r="53" spans="1:30" ht="16.5">
      <c r="A53" s="9"/>
      <c r="B53" s="72" t="s">
        <v>218</v>
      </c>
      <c r="C53" s="68">
        <v>45339</v>
      </c>
      <c r="D53" s="2">
        <v>1.5621000000000001E-3</v>
      </c>
      <c r="E53" s="9">
        <v>997</v>
      </c>
      <c r="F53" s="2">
        <f>1870-790</f>
        <v>1080</v>
      </c>
      <c r="G53" s="2">
        <v>4.07</v>
      </c>
      <c r="H53" s="2">
        <f t="shared" si="19"/>
        <v>92.824106636844263</v>
      </c>
      <c r="I53" s="60">
        <f t="shared" si="20"/>
        <v>0.26535626535626533</v>
      </c>
      <c r="J53" s="61">
        <f t="shared" si="21"/>
        <v>26982.720367195605</v>
      </c>
      <c r="K53" s="62">
        <f t="shared" si="22"/>
        <v>1.5331502724030003E-5</v>
      </c>
      <c r="L53" s="63">
        <f t="shared" si="23"/>
        <v>7.4279546734063065E-6</v>
      </c>
      <c r="M53" s="60">
        <f t="shared" si="24"/>
        <v>0.48448966856745346</v>
      </c>
      <c r="N53" s="6">
        <f t="shared" si="4"/>
        <v>9062155591.2181835</v>
      </c>
      <c r="O53" s="2"/>
      <c r="P53" s="2"/>
      <c r="Q53" s="2"/>
      <c r="R53" s="2">
        <v>100</v>
      </c>
      <c r="S53" s="2">
        <v>86</v>
      </c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</row>
    <row r="54" spans="1:30" ht="12.3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6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</row>
    <row r="55" spans="1:30" ht="12.3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6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</row>
    <row r="56" spans="1:30" ht="12.3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6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</row>
    <row r="57" spans="1:30" ht="12.3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6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</row>
    <row r="58" spans="1:30" ht="12.3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6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</row>
    <row r="59" spans="1:30" ht="12.3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6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</row>
    <row r="60" spans="1:30" ht="12.3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6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</row>
    <row r="61" spans="1:30" ht="12.3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6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</row>
    <row r="62" spans="1:30" ht="12.3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6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</row>
    <row r="63" spans="1:30" ht="12.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6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</row>
    <row r="64" spans="1:30" ht="12.3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6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</row>
    <row r="65" spans="1:30" ht="12.3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6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</row>
    <row r="66" spans="1:30" ht="12.3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6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</row>
    <row r="67" spans="1:30" ht="12.3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6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</row>
    <row r="68" spans="1:30" ht="12.3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6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</row>
    <row r="69" spans="1:30" ht="12.3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6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</row>
    <row r="70" spans="1:30" ht="12.3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6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</row>
    <row r="71" spans="1:30" ht="12.3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6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</row>
    <row r="72" spans="1:30" ht="12.3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6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</row>
    <row r="73" spans="1:30" ht="12.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6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</row>
    <row r="74" spans="1:30" ht="12.3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6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</row>
    <row r="75" spans="1:30" ht="12.3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6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</row>
    <row r="76" spans="1:30" ht="12.3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6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</row>
    <row r="77" spans="1:30" ht="12.3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6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</row>
    <row r="78" spans="1:30" ht="12.3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6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</row>
    <row r="79" spans="1:30" ht="12.3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6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</row>
    <row r="80" spans="1:30" ht="12.3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6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</row>
    <row r="81" spans="1:30" ht="12.3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6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</row>
    <row r="82" spans="1:30" ht="12.3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6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</row>
    <row r="83" spans="1:30" ht="12.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6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</row>
    <row r="84" spans="1:30" ht="12.3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6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</row>
    <row r="85" spans="1:30" ht="12.3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6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</row>
    <row r="86" spans="1:30" ht="12.3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6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</row>
    <row r="87" spans="1:30" ht="12.3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6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</row>
    <row r="88" spans="1:30" ht="12.3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6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</row>
    <row r="89" spans="1:30" ht="12.3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6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</row>
    <row r="90" spans="1:30" ht="12.3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6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</row>
    <row r="91" spans="1:30" ht="12.3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6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</row>
    <row r="92" spans="1:30" ht="12.3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6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</row>
    <row r="93" spans="1:30" ht="12.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6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</row>
    <row r="94" spans="1:30" ht="12.3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6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</row>
    <row r="95" spans="1:30" ht="12.3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6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</row>
    <row r="96" spans="1:30" ht="12.3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6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</row>
    <row r="97" spans="1:30" ht="12.3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6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</row>
    <row r="98" spans="1:30" ht="12.3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6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</row>
    <row r="99" spans="1:30" ht="12.3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6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</row>
    <row r="100" spans="1:30" ht="12.3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6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</row>
    <row r="101" spans="1:30" ht="12.3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6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</row>
    <row r="102" spans="1:30" ht="12.3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6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</row>
    <row r="103" spans="1:30" ht="12.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6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</row>
    <row r="104" spans="1:30" ht="12.3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6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</row>
    <row r="105" spans="1:30" ht="12.3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6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</row>
    <row r="106" spans="1:30" ht="12.3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6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</row>
    <row r="107" spans="1:30" ht="12.3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6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</row>
    <row r="108" spans="1:30" ht="12.3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6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</row>
    <row r="109" spans="1:30" ht="12.3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</row>
    <row r="110" spans="1:30" ht="12.3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6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</row>
    <row r="111" spans="1:30" ht="12.3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6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</row>
    <row r="112" spans="1:30" ht="12.3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6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</row>
    <row r="113" spans="1:30" ht="12.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6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</row>
    <row r="114" spans="1:30" ht="12.3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6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</row>
    <row r="115" spans="1:30" ht="12.3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6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</row>
    <row r="116" spans="1:30" ht="12.3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6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</row>
    <row r="117" spans="1:30" ht="12.3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6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</row>
    <row r="118" spans="1:30" ht="12.3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6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</row>
    <row r="119" spans="1:30" ht="12.3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6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</row>
    <row r="120" spans="1:30" ht="12.3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6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</row>
    <row r="121" spans="1:30" ht="12.3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6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</row>
    <row r="122" spans="1:30" ht="12.3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6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</row>
    <row r="123" spans="1:30" ht="12.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6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</row>
    <row r="124" spans="1:30" ht="12.3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6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</row>
    <row r="125" spans="1:30" ht="12.3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6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</row>
    <row r="126" spans="1:30" ht="12.3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6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</row>
    <row r="127" spans="1:30" ht="12.3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6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</row>
    <row r="128" spans="1:30" ht="12.3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6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</row>
    <row r="129" spans="1:30" ht="12.3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6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</row>
    <row r="130" spans="1:30" ht="12.3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6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</row>
    <row r="131" spans="1:30" ht="12.3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6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</row>
    <row r="132" spans="1:30" ht="12.3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6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</row>
    <row r="133" spans="1:30" ht="12.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6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</row>
    <row r="134" spans="1:30" ht="12.3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6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</row>
    <row r="135" spans="1:30" ht="12.3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6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</row>
    <row r="136" spans="1:30" ht="12.3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6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</row>
    <row r="137" spans="1:30" ht="12.3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6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</row>
    <row r="138" spans="1:30" ht="12.3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6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</row>
    <row r="139" spans="1:30" ht="12.3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6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</row>
    <row r="140" spans="1:30" ht="12.3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6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</row>
    <row r="141" spans="1:30" ht="12.3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6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</row>
    <row r="142" spans="1:30" ht="12.3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6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</row>
    <row r="143" spans="1:30" ht="12.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6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</row>
    <row r="144" spans="1:30" ht="12.3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6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</row>
    <row r="145" spans="1:30" ht="12.3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6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</row>
    <row r="146" spans="1:30" ht="12.3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6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</row>
    <row r="147" spans="1:30" ht="12.3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6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</row>
    <row r="148" spans="1:30" ht="12.3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6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</row>
    <row r="149" spans="1:30" ht="12.3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6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</row>
    <row r="150" spans="1:30" ht="12.3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6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</row>
    <row r="151" spans="1:30" ht="12.3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6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</row>
    <row r="152" spans="1:30" ht="12.3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6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</row>
    <row r="153" spans="1:30" ht="12.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6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</row>
    <row r="154" spans="1:30" ht="12.3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6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</row>
    <row r="155" spans="1:30" ht="12.3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6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</row>
    <row r="156" spans="1:30" ht="12.3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6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</row>
    <row r="157" spans="1:30" ht="12.3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6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</row>
    <row r="158" spans="1:30" ht="12.3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6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</row>
    <row r="159" spans="1:30" ht="12.3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6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</row>
    <row r="160" spans="1:30" ht="12.3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6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</row>
    <row r="161" spans="1:30" ht="12.3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6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</row>
    <row r="162" spans="1:30" ht="12.3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6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</row>
    <row r="163" spans="1:30" ht="12.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6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</row>
    <row r="164" spans="1:30" ht="12.3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6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</row>
    <row r="165" spans="1:30" ht="12.3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6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</row>
    <row r="166" spans="1:30" ht="12.3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6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</row>
    <row r="167" spans="1:30" ht="12.3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6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</row>
    <row r="168" spans="1:30" ht="12.3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6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</row>
    <row r="169" spans="1:30" ht="12.3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6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</row>
    <row r="170" spans="1:30" ht="12.3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6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</row>
    <row r="171" spans="1:30" ht="12.3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6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</row>
    <row r="172" spans="1:30" ht="12.3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6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</row>
    <row r="173" spans="1:30" ht="12.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6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</row>
    <row r="174" spans="1:30" ht="12.3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6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</row>
    <row r="175" spans="1:30" ht="12.3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6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</row>
    <row r="176" spans="1:30" ht="12.3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6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</row>
    <row r="177" spans="1:30" ht="12.3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6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</row>
    <row r="178" spans="1:30" ht="12.3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6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</row>
    <row r="179" spans="1:30" ht="12.3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6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</row>
    <row r="180" spans="1:30" ht="12.3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6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</row>
    <row r="181" spans="1:30" ht="12.3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6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</row>
    <row r="182" spans="1:30" ht="12.3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6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</row>
    <row r="183" spans="1:30" ht="12.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6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</row>
    <row r="184" spans="1:30" ht="12.3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6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</row>
    <row r="185" spans="1:30" ht="12.3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6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</row>
    <row r="186" spans="1:30" ht="12.3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6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</row>
    <row r="187" spans="1:30" ht="12.3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6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</row>
    <row r="188" spans="1:30" ht="12.3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6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</row>
    <row r="189" spans="1:30" ht="12.3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6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</row>
    <row r="190" spans="1:30" ht="12.3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6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</row>
    <row r="191" spans="1:30" ht="12.3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6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</row>
    <row r="192" spans="1:30" ht="12.3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6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</row>
    <row r="193" spans="1:30" ht="12.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6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</row>
    <row r="194" spans="1:30" ht="12.3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6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</row>
    <row r="195" spans="1:30" ht="12.3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6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</row>
    <row r="196" spans="1:30" ht="12.3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6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</row>
    <row r="197" spans="1:30" ht="12.3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6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</row>
    <row r="198" spans="1:30" ht="12.3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6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</row>
    <row r="199" spans="1:30" ht="12.3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6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</row>
    <row r="200" spans="1:30" ht="12.3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6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</row>
    <row r="201" spans="1:30" ht="12.3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6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</row>
    <row r="202" spans="1:30" ht="12.3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6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</row>
    <row r="203" spans="1:30" ht="12.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6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</row>
    <row r="204" spans="1:30" ht="12.3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6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</row>
    <row r="205" spans="1:30" ht="12.3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6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</row>
    <row r="206" spans="1:30" ht="12.3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6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</row>
    <row r="207" spans="1:30" ht="12.3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6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</row>
    <row r="208" spans="1:30" ht="12.3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6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</row>
    <row r="209" spans="1:30" ht="12.3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6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</row>
    <row r="210" spans="1:30" ht="12.3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6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</row>
    <row r="211" spans="1:30" ht="12.3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6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</row>
    <row r="212" spans="1:30" ht="12.3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6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</row>
    <row r="213" spans="1:30" ht="12.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6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</row>
    <row r="214" spans="1:30" ht="12.3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6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</row>
    <row r="215" spans="1:30" ht="12.3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6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</row>
    <row r="216" spans="1:30" ht="12.3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6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</row>
    <row r="217" spans="1:30" ht="12.3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6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</row>
    <row r="218" spans="1:30" ht="12.3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6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</row>
    <row r="219" spans="1:30" ht="12.3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6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</row>
    <row r="220" spans="1:30" ht="12.3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6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</row>
    <row r="221" spans="1:30" ht="12.3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6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</row>
    <row r="222" spans="1:30" ht="12.3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6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</row>
    <row r="223" spans="1:30" ht="12.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6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</row>
    <row r="224" spans="1:30" ht="12.3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6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</row>
    <row r="225" spans="1:30" ht="12.3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6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</row>
    <row r="226" spans="1:30" ht="12.3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6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</row>
    <row r="227" spans="1:30" ht="12.3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6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</row>
    <row r="228" spans="1:30" ht="12.3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6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</row>
    <row r="229" spans="1:30" ht="12.3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6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</row>
    <row r="230" spans="1:30" ht="12.3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6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</row>
    <row r="231" spans="1:30" ht="12.3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6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</row>
    <row r="232" spans="1:30" ht="12.3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6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</row>
    <row r="233" spans="1:30" ht="12.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6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</row>
    <row r="234" spans="1:30" ht="12.3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6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</row>
    <row r="235" spans="1:30" ht="12.3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6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</row>
    <row r="236" spans="1:30" ht="12.3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6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</row>
    <row r="237" spans="1:30" ht="12.3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6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</row>
    <row r="238" spans="1:30" ht="12.3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6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</row>
    <row r="239" spans="1:30" ht="12.3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6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</row>
    <row r="240" spans="1:30" ht="12.3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6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</row>
    <row r="241" spans="1:30" ht="12.3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6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</row>
    <row r="242" spans="1:30" ht="12.3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6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</row>
    <row r="243" spans="1:30" ht="12.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6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</row>
    <row r="244" spans="1:30" ht="12.3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6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</row>
    <row r="245" spans="1:30" ht="12.3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6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</row>
    <row r="246" spans="1:30" ht="12.3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6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</row>
    <row r="247" spans="1:30" ht="12.3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6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</row>
    <row r="248" spans="1:30" ht="12.3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6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</row>
    <row r="249" spans="1:30" ht="12.3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6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</row>
    <row r="250" spans="1:30" ht="12.3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6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</row>
    <row r="251" spans="1:30" ht="12.3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6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</row>
    <row r="252" spans="1:30" ht="12.3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6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</row>
    <row r="253" spans="1:30" ht="12.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6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</row>
    <row r="254" spans="1:30" ht="12.3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6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</row>
    <row r="255" spans="1:30" ht="12.3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6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</row>
    <row r="256" spans="1:30" ht="12.3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6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</row>
    <row r="257" spans="1:30" ht="12.3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6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</row>
    <row r="258" spans="1:30" ht="12.3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6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</row>
    <row r="259" spans="1:30" ht="12.3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6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</row>
    <row r="260" spans="1:30" ht="12.3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6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</row>
    <row r="261" spans="1:30" ht="12.3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6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</row>
    <row r="262" spans="1:30" ht="12.3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6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</row>
    <row r="263" spans="1:30" ht="12.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6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</row>
    <row r="264" spans="1:30" ht="12.3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6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</row>
    <row r="265" spans="1:30" ht="12.3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6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</row>
    <row r="266" spans="1:30" ht="12.3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6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</row>
    <row r="267" spans="1:30" ht="12.3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6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</row>
    <row r="268" spans="1:30" ht="12.3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6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</row>
    <row r="269" spans="1:30" ht="12.3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6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</row>
    <row r="270" spans="1:30" ht="12.3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6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</row>
    <row r="271" spans="1:30" ht="12.3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6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</row>
    <row r="272" spans="1:30" ht="12.3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6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</row>
    <row r="273" spans="1:30" ht="12.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6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</row>
    <row r="274" spans="1:30" ht="12.3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6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</row>
    <row r="275" spans="1:30" ht="12.3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6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</row>
    <row r="276" spans="1:30" ht="12.3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6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</row>
    <row r="277" spans="1:30" ht="12.3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6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</row>
    <row r="278" spans="1:30" ht="12.3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6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</row>
    <row r="279" spans="1:30" ht="12.3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6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</row>
    <row r="280" spans="1:30" ht="12.3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6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</row>
    <row r="281" spans="1:30" ht="12.3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6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</row>
    <row r="282" spans="1:30" ht="12.3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6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</row>
    <row r="283" spans="1:30" ht="12.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6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</row>
    <row r="284" spans="1:30" ht="12.3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6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</row>
    <row r="285" spans="1:30" ht="12.3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6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</row>
    <row r="286" spans="1:30" ht="12.3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6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</row>
    <row r="287" spans="1:30" ht="12.3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6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</row>
    <row r="288" spans="1:30" ht="12.3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6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</row>
    <row r="289" spans="1:30" ht="12.3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6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</row>
    <row r="290" spans="1:30" ht="12.3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6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</row>
    <row r="291" spans="1:30" ht="12.3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6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</row>
    <row r="292" spans="1:30" ht="12.3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6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</row>
    <row r="293" spans="1:30" ht="12.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6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</row>
    <row r="294" spans="1:30" ht="12.3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6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</row>
    <row r="295" spans="1:30" ht="12.3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6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</row>
    <row r="296" spans="1:30" ht="12.3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6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</row>
    <row r="297" spans="1:30" ht="12.3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6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</row>
    <row r="298" spans="1:30" ht="12.3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6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</row>
    <row r="299" spans="1:30" ht="12.3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6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</row>
    <row r="300" spans="1:30" ht="12.3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6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</row>
    <row r="301" spans="1:30" ht="12.3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6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</row>
    <row r="302" spans="1:30" ht="12.3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6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</row>
    <row r="303" spans="1:30" ht="12.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6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</row>
    <row r="304" spans="1:30" ht="12.3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6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</row>
    <row r="305" spans="1:30" ht="12.3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6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</row>
    <row r="306" spans="1:30" ht="12.3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6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</row>
    <row r="307" spans="1:30" ht="12.3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6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</row>
    <row r="308" spans="1:30" ht="12.3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6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</row>
    <row r="309" spans="1:30" ht="12.3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6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</row>
    <row r="310" spans="1:30" ht="12.3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6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</row>
    <row r="311" spans="1:30" ht="12.3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6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</row>
    <row r="312" spans="1:30" ht="12.3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6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</row>
    <row r="313" spans="1:30" ht="12.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6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</row>
    <row r="314" spans="1:30" ht="12.3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6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</row>
    <row r="315" spans="1:30" ht="12.3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6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</row>
    <row r="316" spans="1:30" ht="12.3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6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</row>
    <row r="317" spans="1:30" ht="12.3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6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</row>
    <row r="318" spans="1:30" ht="12.3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6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</row>
    <row r="319" spans="1:30" ht="12.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6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</row>
    <row r="320" spans="1:30" ht="12.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6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</row>
    <row r="321" spans="1:30" ht="12.3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6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</row>
    <row r="322" spans="1:30" ht="12.3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6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</row>
    <row r="323" spans="1:30" ht="12.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6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</row>
    <row r="324" spans="1:30" ht="12.3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6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</row>
    <row r="325" spans="1:30" ht="12.3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6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</row>
    <row r="326" spans="1:30" ht="12.3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6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</row>
    <row r="327" spans="1:30" ht="12.3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6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</row>
    <row r="328" spans="1:30" ht="12.3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6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</row>
    <row r="329" spans="1:30" ht="12.3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6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</row>
    <row r="330" spans="1:30" ht="12.3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6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</row>
    <row r="331" spans="1:30" ht="12.3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6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</row>
    <row r="332" spans="1:30" ht="12.3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6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</row>
    <row r="333" spans="1:30" ht="12.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6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</row>
    <row r="334" spans="1:30" ht="12.3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6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</row>
    <row r="335" spans="1:30" ht="12.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6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</row>
    <row r="336" spans="1:30" ht="12.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6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</row>
    <row r="337" spans="1:30" ht="12.3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6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</row>
    <row r="338" spans="1:30" ht="12.3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6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</row>
    <row r="339" spans="1:30" ht="12.3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6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</row>
    <row r="340" spans="1:30" ht="12.3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6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</row>
    <row r="341" spans="1:30" ht="12.3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6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</row>
    <row r="342" spans="1:30" ht="12.3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6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</row>
    <row r="343" spans="1:30" ht="12.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6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</row>
    <row r="344" spans="1:30" ht="12.3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6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</row>
    <row r="345" spans="1:30" ht="12.3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6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</row>
    <row r="346" spans="1:30" ht="12.3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6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</row>
    <row r="347" spans="1:30" ht="12.3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6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</row>
    <row r="348" spans="1:30" ht="12.3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6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</row>
    <row r="349" spans="1:30" ht="12.3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6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</row>
    <row r="350" spans="1:30" ht="12.3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6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</row>
    <row r="351" spans="1:30" ht="12.3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6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</row>
    <row r="352" spans="1:30" ht="12.3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6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</row>
    <row r="353" spans="1:30" ht="12.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6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</row>
    <row r="354" spans="1:30" ht="12.3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6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</row>
    <row r="355" spans="1:30" ht="12.3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6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</row>
    <row r="356" spans="1:30" ht="12.3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6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</row>
    <row r="357" spans="1:30" ht="12.3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6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</row>
    <row r="358" spans="1:30" ht="12.3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6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</row>
    <row r="359" spans="1:30" ht="12.3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6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</row>
    <row r="360" spans="1:30" ht="12.3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6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</row>
    <row r="361" spans="1:30" ht="12.3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6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</row>
    <row r="362" spans="1:30" ht="12.3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6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</row>
    <row r="363" spans="1:30" ht="12.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6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</row>
    <row r="364" spans="1:30" ht="12.3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6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</row>
    <row r="365" spans="1:30" ht="12.3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6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</row>
    <row r="366" spans="1:30" ht="12.3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6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</row>
    <row r="367" spans="1:30" ht="12.3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6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</row>
    <row r="368" spans="1:30" ht="12.3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6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</row>
    <row r="369" spans="1:30" ht="12.3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6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</row>
    <row r="370" spans="1:30" ht="12.3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6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</row>
    <row r="371" spans="1:30" ht="12.3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6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</row>
    <row r="372" spans="1:30" ht="12.3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6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</row>
    <row r="373" spans="1:30" ht="12.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6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</row>
    <row r="374" spans="1:30" ht="12.3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6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</row>
    <row r="375" spans="1:30" ht="12.3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6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</row>
    <row r="376" spans="1:30" ht="12.3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6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</row>
    <row r="377" spans="1:30" ht="12.3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6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</row>
    <row r="378" spans="1:30" ht="12.3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6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</row>
    <row r="379" spans="1:30" ht="12.3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6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</row>
    <row r="380" spans="1:30" ht="12.3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6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</row>
    <row r="381" spans="1:30" ht="12.3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6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</row>
    <row r="382" spans="1:30" ht="12.3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6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</row>
    <row r="383" spans="1:30" ht="12.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6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</row>
    <row r="384" spans="1:30" ht="12.3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6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</row>
    <row r="385" spans="1:30" ht="12.3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6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</row>
    <row r="386" spans="1:30" ht="12.3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6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</row>
    <row r="387" spans="1:30" ht="12.3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6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</row>
    <row r="388" spans="1:30" ht="12.3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6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</row>
    <row r="389" spans="1:30" ht="12.3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6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</row>
    <row r="390" spans="1:30" ht="12.3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6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</row>
    <row r="391" spans="1:30" ht="12.3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6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</row>
    <row r="392" spans="1:30" ht="12.3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6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</row>
    <row r="393" spans="1:30" ht="12.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6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</row>
    <row r="394" spans="1:30" ht="12.3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6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</row>
    <row r="395" spans="1:30" ht="12.3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6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</row>
    <row r="396" spans="1:30" ht="12.3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6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</row>
    <row r="397" spans="1:30" ht="12.3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6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</row>
    <row r="398" spans="1:30" ht="12.3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6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</row>
    <row r="399" spans="1:30" ht="12.3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6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</row>
    <row r="400" spans="1:30" ht="12.3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6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</row>
    <row r="401" spans="1:30" ht="12.3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6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</row>
    <row r="402" spans="1:30" ht="12.3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6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</row>
    <row r="403" spans="1:30" ht="12.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6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</row>
    <row r="404" spans="1:30" ht="12.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6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</row>
    <row r="405" spans="1:30" ht="12.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6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</row>
    <row r="406" spans="1:30" ht="12.3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6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</row>
    <row r="407" spans="1:30" ht="12.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6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</row>
    <row r="408" spans="1:30" ht="12.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6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</row>
    <row r="409" spans="1:30" ht="12.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6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</row>
    <row r="410" spans="1:30" ht="12.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6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</row>
    <row r="411" spans="1:30" ht="12.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6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</row>
    <row r="412" spans="1:30" ht="12.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6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</row>
    <row r="413" spans="1:30" ht="12.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6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</row>
    <row r="414" spans="1:30" ht="12.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6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</row>
    <row r="415" spans="1:30" ht="12.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6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</row>
    <row r="416" spans="1:30" ht="12.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6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</row>
    <row r="417" spans="1:30" ht="12.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6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</row>
    <row r="418" spans="1:30" ht="12.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6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</row>
    <row r="419" spans="1:30" ht="12.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6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</row>
    <row r="420" spans="1:30" ht="12.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6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</row>
    <row r="421" spans="1:30" ht="12.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6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</row>
    <row r="422" spans="1:30" ht="12.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6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</row>
    <row r="423" spans="1:30" ht="12.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6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</row>
    <row r="424" spans="1:30" ht="12.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6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</row>
    <row r="425" spans="1:30" ht="12.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6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</row>
    <row r="426" spans="1:30" ht="12.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6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</row>
    <row r="427" spans="1:30" ht="12.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6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</row>
    <row r="428" spans="1:30" ht="12.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6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</row>
    <row r="429" spans="1:30" ht="12.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6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</row>
    <row r="430" spans="1:30" ht="12.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6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</row>
    <row r="431" spans="1:30" ht="12.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6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</row>
    <row r="432" spans="1:30" ht="12.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6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</row>
    <row r="433" spans="1:30" ht="12.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6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</row>
    <row r="434" spans="1:30" ht="12.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6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</row>
    <row r="435" spans="1:30" ht="12.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6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</row>
    <row r="436" spans="1:30" ht="12.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6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</row>
    <row r="437" spans="1:30" ht="12.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6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</row>
    <row r="438" spans="1:30" ht="12.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6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</row>
    <row r="439" spans="1:30" ht="12.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6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</row>
    <row r="440" spans="1:30" ht="12.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6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</row>
    <row r="441" spans="1:30" ht="12.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6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</row>
    <row r="442" spans="1:30" ht="12.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6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</row>
    <row r="443" spans="1:30" ht="12.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6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</row>
    <row r="444" spans="1:30" ht="12.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6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</row>
    <row r="445" spans="1:30" ht="12.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6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</row>
    <row r="446" spans="1:30" ht="12.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6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</row>
    <row r="447" spans="1:30" ht="12.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6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</row>
    <row r="448" spans="1:30" ht="12.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6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</row>
    <row r="449" spans="1:30" ht="12.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6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</row>
    <row r="450" spans="1:30" ht="12.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6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</row>
    <row r="451" spans="1:30" ht="12.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6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</row>
    <row r="452" spans="1:30" ht="12.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6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</row>
    <row r="453" spans="1:30" ht="12.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6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</row>
    <row r="454" spans="1:30" ht="12.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6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</row>
    <row r="455" spans="1:30" ht="12.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6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</row>
    <row r="456" spans="1:30" ht="12.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6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</row>
    <row r="457" spans="1:30" ht="12.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6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</row>
    <row r="458" spans="1:30" ht="12.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6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</row>
    <row r="459" spans="1:30" ht="12.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6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</row>
    <row r="460" spans="1:30" ht="12.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6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</row>
    <row r="461" spans="1:30" ht="12.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6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</row>
    <row r="462" spans="1:30" ht="12.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6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</row>
    <row r="463" spans="1:30" ht="12.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6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</row>
    <row r="464" spans="1:30" ht="12.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6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</row>
    <row r="465" spans="1:30" ht="12.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6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</row>
    <row r="466" spans="1:30" ht="12.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6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</row>
    <row r="467" spans="1:30" ht="12.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6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</row>
    <row r="468" spans="1:30" ht="12.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6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</row>
    <row r="469" spans="1:30" ht="12.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6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</row>
    <row r="470" spans="1:30" ht="12.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6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</row>
    <row r="471" spans="1:30" ht="12.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6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</row>
    <row r="472" spans="1:30" ht="12.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6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</row>
    <row r="473" spans="1:30" ht="12.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6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</row>
    <row r="474" spans="1:30" ht="12.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6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</row>
    <row r="475" spans="1:30" ht="12.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6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</row>
    <row r="476" spans="1:30" ht="12.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6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</row>
    <row r="477" spans="1:30" ht="12.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6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</row>
    <row r="478" spans="1:30" ht="12.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6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</row>
    <row r="479" spans="1:30" ht="12.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6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</row>
    <row r="480" spans="1:30" ht="12.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6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</row>
    <row r="481" spans="1:30" ht="12.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6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</row>
    <row r="482" spans="1:30" ht="12.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6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</row>
    <row r="483" spans="1:30" ht="12.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6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</row>
    <row r="484" spans="1:30" ht="12.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6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</row>
    <row r="485" spans="1:30" ht="12.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6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</row>
    <row r="486" spans="1:30" ht="12.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6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</row>
    <row r="487" spans="1:30" ht="12.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6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</row>
    <row r="488" spans="1:30" ht="12.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6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</row>
    <row r="489" spans="1:30" ht="12.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6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</row>
    <row r="490" spans="1:30" ht="12.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6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1:30" ht="12.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6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1:30" ht="12.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6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</row>
    <row r="493" spans="1:30" ht="12.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6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</row>
    <row r="494" spans="1:30" ht="12.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6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</row>
    <row r="495" spans="1:30" ht="12.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6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</row>
    <row r="496" spans="1:30" ht="12.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6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</row>
    <row r="497" spans="1:30" ht="12.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6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</row>
    <row r="498" spans="1:30" ht="12.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6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</row>
    <row r="499" spans="1:30" ht="12.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6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</row>
    <row r="500" spans="1:30" ht="12.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6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</row>
    <row r="501" spans="1:30" ht="12.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6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</row>
    <row r="502" spans="1:30" ht="12.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6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</row>
    <row r="503" spans="1:30" ht="12.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6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</row>
    <row r="504" spans="1:30" ht="12.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6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</row>
    <row r="505" spans="1:30" ht="12.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6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</row>
    <row r="506" spans="1:30" ht="12.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6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</row>
    <row r="507" spans="1:30" ht="12.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6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</row>
    <row r="508" spans="1:30" ht="12.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6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</row>
    <row r="509" spans="1:30" ht="12.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6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</row>
    <row r="510" spans="1:30" ht="12.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6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</row>
    <row r="511" spans="1:30" ht="12.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6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</row>
    <row r="512" spans="1:30" ht="12.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6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</row>
    <row r="513" spans="1:30" ht="12.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6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</row>
    <row r="514" spans="1:30" ht="12.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6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</row>
    <row r="515" spans="1:30" ht="12.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6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</row>
    <row r="516" spans="1:30" ht="12.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6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</row>
    <row r="517" spans="1:30" ht="12.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6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</row>
    <row r="518" spans="1:30" ht="12.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6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</row>
    <row r="519" spans="1:30" ht="12.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6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</row>
    <row r="520" spans="1:30" ht="12.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6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</row>
    <row r="521" spans="1:30" ht="12.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6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</row>
    <row r="522" spans="1:30" ht="12.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6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</row>
    <row r="523" spans="1:30" ht="12.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6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</row>
    <row r="524" spans="1:30" ht="12.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6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</row>
    <row r="525" spans="1:30" ht="12.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6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</row>
    <row r="526" spans="1:30" ht="12.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6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</row>
    <row r="527" spans="1:30" ht="12.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6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</row>
    <row r="528" spans="1:30" ht="12.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6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</row>
    <row r="529" spans="1:30" ht="12.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6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</row>
    <row r="530" spans="1:30" ht="12.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6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</row>
    <row r="531" spans="1:30" ht="12.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6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</row>
    <row r="532" spans="1:30" ht="12.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6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</row>
    <row r="533" spans="1:30" ht="12.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6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</row>
    <row r="534" spans="1:30" ht="12.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6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</row>
    <row r="535" spans="1:30" ht="12.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6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</row>
    <row r="536" spans="1:30" ht="12.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6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</row>
    <row r="537" spans="1:30" ht="12.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6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</row>
    <row r="538" spans="1:30" ht="12.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6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</row>
    <row r="539" spans="1:30" ht="12.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6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</row>
    <row r="540" spans="1:30" ht="12.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6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</row>
    <row r="541" spans="1:30" ht="12.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6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</row>
    <row r="542" spans="1:30" ht="12.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6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</row>
    <row r="543" spans="1:30" ht="12.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6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</row>
    <row r="544" spans="1:30" ht="12.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6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</row>
    <row r="545" spans="1:30" ht="12.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6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</row>
    <row r="546" spans="1:30" ht="12.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6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</row>
    <row r="547" spans="1:30" ht="12.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6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</row>
    <row r="548" spans="1:30" ht="12.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6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</row>
    <row r="549" spans="1:30" ht="12.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6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</row>
    <row r="550" spans="1:30" ht="12.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6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</row>
    <row r="551" spans="1:30" ht="12.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6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</row>
    <row r="552" spans="1:30" ht="12.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6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</row>
    <row r="553" spans="1:30" ht="12.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6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</row>
    <row r="554" spans="1:30" ht="12.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6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</row>
    <row r="555" spans="1:30" ht="12.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6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</row>
    <row r="556" spans="1:30" ht="12.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6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</row>
    <row r="557" spans="1:30" ht="12.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6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</row>
    <row r="558" spans="1:30" ht="12.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6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</row>
    <row r="559" spans="1:30" ht="12.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6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</row>
    <row r="560" spans="1:30" ht="12.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6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</row>
    <row r="561" spans="1:30" ht="12.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6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</row>
    <row r="562" spans="1:30" ht="12.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6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</row>
    <row r="563" spans="1:30" ht="12.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6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</row>
    <row r="564" spans="1:30" ht="12.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6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</row>
    <row r="565" spans="1:30" ht="12.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6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</row>
    <row r="566" spans="1:30" ht="12.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6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</row>
    <row r="567" spans="1:30" ht="12.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6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</row>
    <row r="568" spans="1:30" ht="12.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6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</row>
    <row r="569" spans="1:30" ht="12.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6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</row>
    <row r="570" spans="1:30" ht="12.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6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</row>
    <row r="571" spans="1:30" ht="12.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6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</row>
    <row r="572" spans="1:30" ht="12.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6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</row>
    <row r="573" spans="1:30" ht="12.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6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</row>
    <row r="574" spans="1:30" ht="12.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6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</row>
    <row r="575" spans="1:30" ht="12.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6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</row>
    <row r="576" spans="1:30" ht="12.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6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</row>
    <row r="577" spans="1:30" ht="12.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6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</row>
    <row r="578" spans="1:30" ht="12.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6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</row>
    <row r="579" spans="1:30" ht="12.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6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</row>
    <row r="580" spans="1:30" ht="12.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6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</row>
    <row r="581" spans="1:30" ht="12.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6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</row>
    <row r="582" spans="1:30" ht="12.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6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</row>
    <row r="583" spans="1:30" ht="12.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6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</row>
    <row r="584" spans="1:30" ht="12.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6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</row>
    <row r="585" spans="1:30" ht="12.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6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</row>
    <row r="586" spans="1:30" ht="12.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6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</row>
    <row r="587" spans="1:30" ht="12.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6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</row>
    <row r="588" spans="1:30" ht="12.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6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</row>
    <row r="589" spans="1:30" ht="12.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6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</row>
    <row r="590" spans="1:30" ht="12.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6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</row>
    <row r="591" spans="1:30" ht="12.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6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</row>
    <row r="592" spans="1:30" ht="12.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6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</row>
    <row r="593" spans="1:30" ht="12.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6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</row>
    <row r="594" spans="1:30" ht="12.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6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</row>
    <row r="595" spans="1:30" ht="12.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6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</row>
    <row r="596" spans="1:30" ht="12.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6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</row>
    <row r="597" spans="1:30" ht="12.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6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</row>
    <row r="598" spans="1:30" ht="12.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6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</row>
    <row r="599" spans="1:30" ht="12.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6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</row>
    <row r="600" spans="1:30" ht="12.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6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</row>
    <row r="601" spans="1:30" ht="12.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6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</row>
    <row r="602" spans="1:30" ht="12.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6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</row>
    <row r="603" spans="1:30" ht="12.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6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</row>
    <row r="604" spans="1:30" ht="12.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6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</row>
    <row r="605" spans="1:30" ht="12.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6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</row>
    <row r="606" spans="1:30" ht="12.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6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</row>
    <row r="607" spans="1:30" ht="12.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6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</row>
    <row r="608" spans="1:30" ht="12.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6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</row>
    <row r="609" spans="1:30" ht="12.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6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</row>
    <row r="610" spans="1:30" ht="12.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6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</row>
    <row r="611" spans="1:30" ht="12.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6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</row>
    <row r="612" spans="1:30" ht="12.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6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</row>
    <row r="613" spans="1:30" ht="12.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6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</row>
    <row r="614" spans="1:30" ht="12.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6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</row>
    <row r="615" spans="1:30" ht="12.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6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</row>
    <row r="616" spans="1:30" ht="12.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6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</row>
    <row r="617" spans="1:30" ht="12.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6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</row>
    <row r="618" spans="1:30" ht="12.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6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</row>
    <row r="619" spans="1:30" ht="12.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6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</row>
    <row r="620" spans="1:30" ht="12.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6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</row>
    <row r="621" spans="1:30" ht="12.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6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</row>
    <row r="622" spans="1:30" ht="12.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6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</row>
    <row r="623" spans="1:30" ht="12.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6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</row>
    <row r="624" spans="1:30" ht="12.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6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</row>
    <row r="625" spans="1:30" ht="12.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6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</row>
    <row r="626" spans="1:30" ht="12.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6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</row>
    <row r="627" spans="1:30" ht="12.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6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</row>
    <row r="628" spans="1:30" ht="12.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6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</row>
    <row r="629" spans="1:30" ht="12.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6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</row>
    <row r="630" spans="1:30" ht="12.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6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</row>
    <row r="631" spans="1:30" ht="12.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6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</row>
    <row r="632" spans="1:30" ht="12.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6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</row>
    <row r="633" spans="1:30" ht="12.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6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</row>
    <row r="634" spans="1:30" ht="12.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6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</row>
    <row r="635" spans="1:30" ht="12.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6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</row>
    <row r="636" spans="1:30" ht="12.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6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</row>
    <row r="637" spans="1:30" ht="12.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6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</row>
    <row r="638" spans="1:30" ht="12.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6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</row>
    <row r="639" spans="1:30" ht="12.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6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</row>
    <row r="640" spans="1:30" ht="12.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6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</row>
    <row r="641" spans="1:30" ht="12.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6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</row>
    <row r="642" spans="1:30" ht="12.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6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</row>
    <row r="643" spans="1:30" ht="12.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6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</row>
    <row r="644" spans="1:30" ht="12.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6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</row>
    <row r="645" spans="1:30" ht="12.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6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</row>
    <row r="646" spans="1:30" ht="12.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6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</row>
    <row r="647" spans="1:30" ht="12.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6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</row>
    <row r="648" spans="1:30" ht="12.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6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</row>
    <row r="649" spans="1:30" ht="12.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6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</row>
    <row r="650" spans="1:30" ht="12.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6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</row>
    <row r="651" spans="1:30" ht="12.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6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</row>
    <row r="652" spans="1:30" ht="12.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6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</row>
    <row r="653" spans="1:30" ht="12.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6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</row>
    <row r="654" spans="1:30" ht="12.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6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</row>
    <row r="655" spans="1:30" ht="12.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6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</row>
    <row r="656" spans="1:30" ht="12.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6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</row>
    <row r="657" spans="1:30" ht="12.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6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</row>
    <row r="658" spans="1:30" ht="12.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6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</row>
    <row r="659" spans="1:30" ht="12.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6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</row>
    <row r="660" spans="1:30" ht="12.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6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</row>
    <row r="661" spans="1:30" ht="12.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6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</row>
    <row r="662" spans="1:30" ht="12.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6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</row>
    <row r="663" spans="1:30" ht="12.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6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</row>
    <row r="664" spans="1:30" ht="12.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6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</row>
    <row r="665" spans="1:30" ht="12.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6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</row>
    <row r="666" spans="1:30" ht="12.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6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</row>
    <row r="667" spans="1:30" ht="12.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6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</row>
    <row r="668" spans="1:30" ht="12.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6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</row>
    <row r="669" spans="1:30" ht="12.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6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</row>
    <row r="670" spans="1:30" ht="12.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6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</row>
    <row r="671" spans="1:30" ht="12.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6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</row>
    <row r="672" spans="1:30" ht="12.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6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</row>
    <row r="673" spans="1:30" ht="12.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6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</row>
    <row r="674" spans="1:30" ht="12.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6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</row>
    <row r="675" spans="1:30" ht="12.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6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</row>
    <row r="676" spans="1:30" ht="12.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6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</row>
    <row r="677" spans="1:30" ht="12.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6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</row>
    <row r="678" spans="1:30" ht="12.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6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</row>
    <row r="679" spans="1:30" ht="12.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6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</row>
    <row r="680" spans="1:30" ht="12.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6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</row>
    <row r="681" spans="1:30" ht="12.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6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</row>
    <row r="682" spans="1:30" ht="12.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6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</row>
    <row r="683" spans="1:30" ht="12.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6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</row>
    <row r="684" spans="1:30" ht="12.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6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</row>
    <row r="685" spans="1:30" ht="12.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6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</row>
    <row r="686" spans="1:30" ht="12.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6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</row>
    <row r="687" spans="1:30" ht="12.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6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</row>
    <row r="688" spans="1:30" ht="12.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6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</row>
    <row r="689" spans="1:30" ht="12.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6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</row>
    <row r="690" spans="1:30" ht="12.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6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</row>
    <row r="691" spans="1:30" ht="12.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6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</row>
    <row r="692" spans="1:30" ht="12.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6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</row>
    <row r="693" spans="1:30" ht="12.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6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</row>
    <row r="694" spans="1:30" ht="12.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6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</row>
    <row r="695" spans="1:30" ht="12.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6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</row>
    <row r="696" spans="1:30" ht="12.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6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</row>
    <row r="697" spans="1:30" ht="12.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6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</row>
    <row r="698" spans="1:30" ht="12.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6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</row>
    <row r="699" spans="1:30" ht="12.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6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</row>
    <row r="700" spans="1:30" ht="12.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6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</row>
    <row r="701" spans="1:30" ht="12.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6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</row>
    <row r="702" spans="1:30" ht="12.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6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</row>
    <row r="703" spans="1:30" ht="12.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6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</row>
    <row r="704" spans="1:30" ht="12.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6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</row>
    <row r="705" spans="1:30" ht="12.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6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</row>
    <row r="706" spans="1:30" ht="12.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6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</row>
    <row r="707" spans="1:30" ht="12.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6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</row>
    <row r="708" spans="1:30" ht="12.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6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</row>
    <row r="709" spans="1:30" ht="12.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6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</row>
    <row r="710" spans="1:30" ht="12.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6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</row>
    <row r="711" spans="1:30" ht="12.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6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</row>
    <row r="712" spans="1:30" ht="12.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6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</row>
    <row r="713" spans="1:30" ht="12.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6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</row>
    <row r="714" spans="1:30" ht="12.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6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</row>
    <row r="715" spans="1:30" ht="12.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6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</row>
    <row r="716" spans="1:30" ht="12.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6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</row>
    <row r="717" spans="1:30" ht="12.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6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</row>
    <row r="718" spans="1:30" ht="12.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6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</row>
    <row r="719" spans="1:30" ht="12.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6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</row>
    <row r="720" spans="1:30" ht="12.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6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</row>
    <row r="721" spans="1:30" ht="12.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6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</row>
    <row r="722" spans="1:30" ht="12.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6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</row>
    <row r="723" spans="1:30" ht="12.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6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</row>
    <row r="724" spans="1:30" ht="12.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6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</row>
    <row r="725" spans="1:30" ht="12.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6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</row>
    <row r="726" spans="1:30" ht="12.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6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</row>
    <row r="727" spans="1:30" ht="12.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6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</row>
    <row r="728" spans="1:30" ht="12.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6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</row>
    <row r="729" spans="1:30" ht="12.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6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</row>
    <row r="730" spans="1:30" ht="12.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6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</row>
    <row r="731" spans="1:30" ht="12.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6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</row>
    <row r="732" spans="1:30" ht="12.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6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</row>
    <row r="733" spans="1:30" ht="12.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6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</row>
    <row r="734" spans="1:30" ht="12.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6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</row>
    <row r="735" spans="1:30" ht="12.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6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</row>
    <row r="736" spans="1:30" ht="12.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6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</row>
    <row r="737" spans="1:30" ht="12.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6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</row>
    <row r="738" spans="1:30" ht="12.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6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</row>
    <row r="739" spans="1:30" ht="12.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6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</row>
    <row r="740" spans="1:30" ht="12.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6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</row>
    <row r="741" spans="1:30" ht="12.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6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</row>
    <row r="742" spans="1:30" ht="12.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6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</row>
    <row r="743" spans="1:30" ht="12.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6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</row>
    <row r="744" spans="1:30" ht="12.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6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</row>
    <row r="745" spans="1:30" ht="12.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6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</row>
    <row r="746" spans="1:30" ht="12.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6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</row>
    <row r="747" spans="1:30" ht="12.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6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</row>
    <row r="748" spans="1:30" ht="12.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6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</row>
    <row r="749" spans="1:30" ht="12.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6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</row>
    <row r="750" spans="1:30" ht="12.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6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</row>
    <row r="751" spans="1:30" ht="12.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6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</row>
    <row r="752" spans="1:30" ht="12.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6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</row>
    <row r="753" spans="1:30" ht="12.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6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</row>
    <row r="754" spans="1:30" ht="12.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6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</row>
    <row r="755" spans="1:30" ht="12.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6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</row>
    <row r="756" spans="1:30" ht="12.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6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</row>
    <row r="757" spans="1:30" ht="12.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6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</row>
    <row r="758" spans="1:30" ht="12.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6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</row>
    <row r="759" spans="1:30" ht="12.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6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</row>
    <row r="760" spans="1:30" ht="12.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6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</row>
    <row r="761" spans="1:30" ht="12.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6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</row>
    <row r="762" spans="1:30" ht="12.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6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</row>
    <row r="763" spans="1:30" ht="12.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6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</row>
    <row r="764" spans="1:30" ht="12.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6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</row>
    <row r="765" spans="1:30" ht="12.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6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</row>
    <row r="766" spans="1:30" ht="12.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6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</row>
    <row r="767" spans="1:30" ht="12.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6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</row>
    <row r="768" spans="1:30" ht="12.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6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</row>
    <row r="769" spans="1:30" ht="12.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6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</row>
    <row r="770" spans="1:30" ht="12.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6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</row>
    <row r="771" spans="1:30" ht="12.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6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</row>
    <row r="772" spans="1:30" ht="12.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6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</row>
    <row r="773" spans="1:30" ht="12.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6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</row>
    <row r="774" spans="1:30" ht="12.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6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</row>
    <row r="775" spans="1:30" ht="12.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6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</row>
    <row r="776" spans="1:30" ht="12.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6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</row>
    <row r="777" spans="1:30" ht="12.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6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</row>
    <row r="778" spans="1:30" ht="12.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6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</row>
    <row r="779" spans="1:30" ht="12.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6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</row>
    <row r="780" spans="1:30" ht="12.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6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</row>
    <row r="781" spans="1:30" ht="12.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6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</row>
    <row r="782" spans="1:30" ht="12.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6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</row>
    <row r="783" spans="1:30" ht="12.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6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</row>
    <row r="784" spans="1:30" ht="12.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6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</row>
    <row r="785" spans="1:30" ht="12.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6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</row>
    <row r="786" spans="1:30" ht="12.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6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</row>
    <row r="787" spans="1:30" ht="12.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6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</row>
    <row r="788" spans="1:30" ht="12.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6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</row>
    <row r="789" spans="1:30" ht="12.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6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</row>
    <row r="790" spans="1:30" ht="12.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6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</row>
    <row r="791" spans="1:30" ht="12.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6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</row>
    <row r="792" spans="1:30" ht="12.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6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</row>
    <row r="793" spans="1:30" ht="12.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6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</row>
    <row r="794" spans="1:30" ht="12.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6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</row>
    <row r="795" spans="1:30" ht="12.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6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</row>
    <row r="796" spans="1:30" ht="12.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6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</row>
    <row r="797" spans="1:30" ht="12.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6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</row>
    <row r="798" spans="1:30" ht="12.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6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</row>
    <row r="799" spans="1:30" ht="12.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6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</row>
    <row r="800" spans="1:30" ht="12.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6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</row>
    <row r="801" spans="1:30" ht="12.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6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</row>
    <row r="802" spans="1:30" ht="12.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6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</row>
    <row r="803" spans="1:30" ht="12.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6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</row>
    <row r="804" spans="1:30" ht="12.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6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</row>
    <row r="805" spans="1:30" ht="12.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6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</row>
    <row r="806" spans="1:30" ht="12.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6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</row>
    <row r="807" spans="1:30" ht="12.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6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</row>
    <row r="808" spans="1:30" ht="12.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6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</row>
    <row r="809" spans="1:30" ht="12.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6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</row>
    <row r="810" spans="1:30" ht="12.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6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</row>
    <row r="811" spans="1:30" ht="12.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6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</row>
    <row r="812" spans="1:30" ht="12.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6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</row>
    <row r="813" spans="1:30" ht="12.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6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</row>
    <row r="814" spans="1:30" ht="12.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6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</row>
    <row r="815" spans="1:30" ht="12.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6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</row>
    <row r="816" spans="1:30" ht="12.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6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</row>
    <row r="817" spans="1:30" ht="12.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6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</row>
    <row r="818" spans="1:30" ht="12.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6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</row>
    <row r="819" spans="1:30" ht="12.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6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</row>
    <row r="820" spans="1:30" ht="12.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6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</row>
    <row r="821" spans="1:30" ht="12.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6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</row>
    <row r="822" spans="1:30" ht="12.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6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</row>
    <row r="823" spans="1:30" ht="12.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6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</row>
    <row r="824" spans="1:30" ht="12.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6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</row>
    <row r="825" spans="1:30" ht="12.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6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</row>
    <row r="826" spans="1:30" ht="12.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6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</row>
    <row r="827" spans="1:30" ht="12.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6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</row>
    <row r="828" spans="1:30" ht="12.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6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</row>
    <row r="829" spans="1:30" ht="12.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6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</row>
    <row r="830" spans="1:30" ht="12.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6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</row>
    <row r="831" spans="1:30" ht="12.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6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</row>
    <row r="832" spans="1:30" ht="12.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6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</row>
    <row r="833" spans="1:30" ht="12.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6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</row>
    <row r="834" spans="1:30" ht="12.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6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</row>
    <row r="835" spans="1:30" ht="12.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6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</row>
    <row r="836" spans="1:30" ht="12.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6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</row>
    <row r="837" spans="1:30" ht="12.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6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</row>
    <row r="838" spans="1:30" ht="12.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6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</row>
    <row r="839" spans="1:30" ht="12.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6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</row>
    <row r="840" spans="1:30" ht="12.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6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</row>
    <row r="841" spans="1:30" ht="12.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6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</row>
    <row r="842" spans="1:30" ht="12.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6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</row>
    <row r="843" spans="1:30" ht="12.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6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</row>
    <row r="844" spans="1:30" ht="12.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6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</row>
    <row r="845" spans="1:30" ht="12.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6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</row>
    <row r="846" spans="1:30" ht="12.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6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</row>
  </sheetData>
  <printOptions horizontalCentered="1" gridLines="1"/>
  <pageMargins left="0.7" right="0.7" top="0.75" bottom="0.75" header="0" footer="0"/>
  <pageSetup pageOrder="overThenDown" orientation="landscape" cellComments="atEnd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F25"/>
  <sheetViews>
    <sheetView workbookViewId="0"/>
  </sheetViews>
  <sheetFormatPr defaultColWidth="12.609375" defaultRowHeight="15.75" customHeight="1"/>
  <cols>
    <col min="1" max="1" width="21.71875" customWidth="1"/>
  </cols>
  <sheetData>
    <row r="1" spans="1:6" ht="15.75" customHeight="1">
      <c r="A1" s="89"/>
      <c r="B1" s="155" t="s">
        <v>224</v>
      </c>
      <c r="C1" s="152"/>
      <c r="D1" s="155" t="s">
        <v>225</v>
      </c>
      <c r="E1" s="152"/>
    </row>
    <row r="2" spans="1:6" ht="15.75" customHeight="1">
      <c r="B2" s="1" t="s">
        <v>226</v>
      </c>
      <c r="C2" s="1" t="s">
        <v>227</v>
      </c>
      <c r="D2" s="1" t="s">
        <v>228</v>
      </c>
      <c r="E2" s="1" t="s">
        <v>229</v>
      </c>
    </row>
    <row r="3" spans="1:6" ht="15.75" customHeight="1">
      <c r="A3" s="1" t="s">
        <v>230</v>
      </c>
      <c r="B3" s="14">
        <f>InjectorDesign!D6</f>
        <v>1141</v>
      </c>
      <c r="C3" s="5">
        <f>InjectorDesign!D5</f>
        <v>798</v>
      </c>
      <c r="D3" s="6">
        <f>InjectorDesign!D6</f>
        <v>1141</v>
      </c>
      <c r="E3" s="5">
        <f>InjectorDesign!D5</f>
        <v>798</v>
      </c>
    </row>
    <row r="4" spans="1:6" ht="15.75" customHeight="1">
      <c r="A4" s="1" t="s">
        <v>231</v>
      </c>
      <c r="B4" s="11">
        <f>InjectorDesign!B28</f>
        <v>0.55389908256880738</v>
      </c>
      <c r="C4" s="11">
        <f>InjectorDesign!B27</f>
        <v>0.28032110091743118</v>
      </c>
      <c r="D4" s="11">
        <f>InjectorDesign!B28</f>
        <v>0.55389908256880738</v>
      </c>
      <c r="E4" s="11">
        <f>InjectorDesign!B27</f>
        <v>0.28032110091743118</v>
      </c>
    </row>
    <row r="5" spans="1:6" ht="15.75" customHeight="1">
      <c r="A5" s="1" t="s">
        <v>232</v>
      </c>
      <c r="B5" s="2">
        <v>0.71599999999999997</v>
      </c>
      <c r="C5" s="2">
        <v>0.67</v>
      </c>
      <c r="D5" s="67"/>
      <c r="E5" s="67"/>
    </row>
    <row r="6" spans="1:6" ht="15.75" customHeight="1">
      <c r="A6" s="1" t="s">
        <v>233</v>
      </c>
      <c r="B6" s="2">
        <v>1.5883E-3</v>
      </c>
      <c r="C6" s="9">
        <v>1.6004000000000001E-3</v>
      </c>
    </row>
    <row r="7" spans="1:6" ht="15.75" customHeight="1">
      <c r="A7" s="1" t="s">
        <v>234</v>
      </c>
      <c r="B7" s="90">
        <f t="shared" ref="B7:C7" si="0">((B6/2)^2)*(3.14)*8*B5</f>
        <v>1.13432561119472E-5</v>
      </c>
      <c r="C7" s="90">
        <f t="shared" si="0"/>
        <v>1.0776842401216002E-5</v>
      </c>
      <c r="D7" s="67">
        <f>E7*1.2</f>
        <v>2.9311986639025801E-5</v>
      </c>
      <c r="E7" s="67">
        <f>'Flow Testing'!Q99</f>
        <v>2.4426655532521501E-5</v>
      </c>
    </row>
    <row r="8" spans="1:6" ht="15.75" customHeight="1">
      <c r="A8" s="1" t="s">
        <v>235</v>
      </c>
      <c r="B8" s="29">
        <f t="shared" ref="B8:C8" si="1">(B4/(B5*(8*B6^2/4*3.1415)))^2/(2*B3)/6895</f>
        <v>151.39832605945929</v>
      </c>
      <c r="C8" s="14">
        <f t="shared" si="1"/>
        <v>61.425192621023264</v>
      </c>
      <c r="D8" s="14">
        <f t="shared" ref="D8:E8" si="2">((D4/D7)^2/(2*D3))/6895</f>
        <v>22.694513277200755</v>
      </c>
      <c r="E8" s="14">
        <f t="shared" si="2"/>
        <v>11.967857425322535</v>
      </c>
    </row>
    <row r="9" spans="1:6" ht="15.75" customHeight="1">
      <c r="A9" s="2" t="s">
        <v>236</v>
      </c>
      <c r="B9">
        <f t="shared" ref="B9:E9" si="3">1/(2*B7^2)</f>
        <v>3885926023.364459</v>
      </c>
      <c r="C9">
        <f t="shared" si="3"/>
        <v>4305136646.1953554</v>
      </c>
      <c r="D9">
        <f t="shared" si="3"/>
        <v>581941723.95680642</v>
      </c>
      <c r="E9">
        <f t="shared" si="3"/>
        <v>837996082.49780107</v>
      </c>
    </row>
    <row r="10" spans="1:6" ht="15.75" customHeight="1">
      <c r="A10" s="2" t="s">
        <v>237</v>
      </c>
      <c r="B10">
        <f t="shared" ref="B10:C10" si="4">D9/B9</f>
        <v>0.14975625383958227</v>
      </c>
      <c r="C10">
        <f t="shared" si="4"/>
        <v>0.1946502867077114</v>
      </c>
    </row>
    <row r="12" spans="1:6" ht="15.75" customHeight="1">
      <c r="E12">
        <f>SQRT((C8+E8)*6895/(E9+C9)*C3)</f>
        <v>0.28020906628522901</v>
      </c>
    </row>
    <row r="13" spans="1:6" ht="15.75" customHeight="1">
      <c r="A13" s="2" t="s">
        <v>238</v>
      </c>
      <c r="B13" s="2">
        <v>350</v>
      </c>
      <c r="C13" s="2" t="s">
        <v>7</v>
      </c>
      <c r="F13" s="91"/>
    </row>
    <row r="14" spans="1:6" ht="15.75" customHeight="1">
      <c r="A14" s="2" t="s">
        <v>239</v>
      </c>
      <c r="B14" s="29">
        <f>C8/B13*100</f>
        <v>17.550055034578076</v>
      </c>
      <c r="C14" s="2" t="s">
        <v>240</v>
      </c>
    </row>
    <row r="15" spans="1:6" ht="15.75" customHeight="1">
      <c r="A15" s="2" t="s">
        <v>241</v>
      </c>
      <c r="B15" s="29">
        <f>B8/B13*100</f>
        <v>43.256664588416946</v>
      </c>
      <c r="C15" s="2" t="s">
        <v>240</v>
      </c>
    </row>
    <row r="16" spans="1:6" ht="15.75" customHeight="1">
      <c r="A16" s="1" t="s">
        <v>242</v>
      </c>
      <c r="B16" s="13">
        <f>B13+C8+E8</f>
        <v>423.39305004634582</v>
      </c>
      <c r="C16" s="2" t="s">
        <v>7</v>
      </c>
    </row>
    <row r="17" spans="1:3" ht="15.75" customHeight="1">
      <c r="A17" s="1" t="s">
        <v>243</v>
      </c>
      <c r="B17" s="92">
        <f>B13+B8+D8</f>
        <v>524.09283933666006</v>
      </c>
      <c r="C17" s="2" t="s">
        <v>7</v>
      </c>
    </row>
    <row r="18" spans="1:3" ht="15.75" customHeight="1">
      <c r="A18" s="2" t="s">
        <v>244</v>
      </c>
      <c r="B18" s="93">
        <f>SQRT((C8+E8)*6895/(E9+C9)*C3)</f>
        <v>0.28020906628522901</v>
      </c>
    </row>
    <row r="19" spans="1:3" ht="15.75" customHeight="1">
      <c r="A19" s="2" t="s">
        <v>244</v>
      </c>
      <c r="B19" s="93">
        <f>SQRT((B8+D8)*6895/(D9+B9)*B3)</f>
        <v>0.55366906259496984</v>
      </c>
    </row>
    <row r="25" spans="1:3" ht="12.3">
      <c r="C25" s="2" t="s">
        <v>245</v>
      </c>
    </row>
  </sheetData>
  <mergeCells count="2">
    <mergeCell ref="B1:C1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LOX Flow Testing</vt:lpstr>
      <vt:lpstr>InjectorDesign</vt:lpstr>
      <vt:lpstr>Instability Calc</vt:lpstr>
      <vt:lpstr>Flow Testing</vt:lpstr>
      <vt:lpstr>Copy of Flow Testing</vt:lpstr>
      <vt:lpstr>Cd to Orifice Diameter</vt:lpstr>
      <vt:lpstr>Copy of Cd to Orifice Diameter </vt:lpstr>
      <vt:lpstr>Copy of Cd to Orifice Diameter</vt:lpstr>
      <vt:lpstr>Hotfire System Calcs</vt:lpstr>
      <vt:lpstr>Hotfire Burn _ SimpleModel</vt:lpstr>
      <vt:lpstr>Fuel transfer Tank Tests</vt:lpstr>
      <vt:lpstr>drop tube calc</vt:lpstr>
      <vt:lpstr>Injector Tolerancing</vt:lpstr>
      <vt:lpstr>Cavitation Calcs</vt:lpstr>
      <vt:lpstr>boil off calc</vt:lpstr>
      <vt:lpstr>Orifice Calcs</vt:lpstr>
      <vt:lpstr>LOX Data</vt:lpstr>
      <vt:lpstr>Ethanol tube Thermal Calcs</vt:lpstr>
      <vt:lpstr>Tank Purge Calcs</vt:lpstr>
      <vt:lpstr>Press Tank Calcs(He)</vt:lpstr>
      <vt:lpstr>Pressurization Calcs (N2)</vt:lpstr>
      <vt:lpstr>N2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 McHugh</cp:lastModifiedBy>
  <dcterms:modified xsi:type="dcterms:W3CDTF">2024-04-18T05:49:08Z</dcterms:modified>
</cp:coreProperties>
</file>