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DISCLAIMER"/>
    <sheet r:id="rId2" sheetId="2" name="R&amp;amp;amp;amp;amp;amp;amp;H-P"/>
    <sheet r:id="rId3" sheetId="3" name="R&amp;amp;amp;amp;amp;amp;amp;H Portfolio"/>
    <sheet r:id="rId4" sheetId="4" name="RTR"/>
    <sheet r:id="rId5" sheetId="5" name="Cash"/>
    <sheet r:id="rId6" sheetId="6" name="ACS"/>
    <sheet r:id="rId7" sheetId="7" name="BHB"/>
    <sheet r:id="rId8" sheetId="8" name="Boom"/>
    <sheet r:id="rId9" sheetId="9" name="CV"/>
    <sheet r:id="rId10" sheetId="10" name="HHC"/>
    <sheet r:id="rId11" sheetId="11" name="Kings"/>
    <sheet r:id="rId12" sheetId="12" name="ACS-P"/>
    <sheet r:id="rId13" sheetId="13" name="BHB-P"/>
    <sheet r:id="rId14" sheetId="14" name="Boom-P"/>
    <sheet r:id="rId15" sheetId="15" name="HHC-P"/>
    <sheet r:id="rId16" sheetId="16" name="CV-P"/>
    <sheet r:id="rId17" sheetId="17" name="Kings-P"/>
    <sheet r:id="rId18" sheetId="18" name="XIRR WORKING"/>
    <sheet r:id="rId19" sheetId="19" name="XIRR"/>
  </sheets>
  <definedNames>
    <definedName name="DDA_SB_details" localSheetId="4">Cash!$J$3</definedName>
  </definedNames>
  <calcPr fullCalcOnLoad="1"/>
</workbook>
</file>

<file path=xl/sharedStrings.xml><?xml version="1.0" encoding="utf-8"?>
<sst xmlns="http://schemas.openxmlformats.org/spreadsheetml/2006/main" count="2833" uniqueCount="1079">
  <si>
    <t>R&amp;H Internal Rate of Return</t>
  </si>
  <si>
    <t>$ Out - NEW dollars only</t>
  </si>
  <si>
    <t>RTR $ Back</t>
  </si>
  <si>
    <t>RTR Reinvested</t>
  </si>
  <si>
    <t>Funded Date/Amount</t>
  </si>
  <si>
    <t>DATA FOR CALCUATIONS</t>
  </si>
  <si>
    <t>XIRR</t>
  </si>
  <si>
    <t>Dollars Out</t>
  </si>
  <si>
    <t>Dollars Back</t>
  </si>
  <si>
    <t>Net Dollars Out</t>
  </si>
  <si>
    <t>dbl ck to cost basis</t>
  </si>
  <si>
    <t>dbl ck on DATA</t>
  </si>
  <si>
    <t>Formula</t>
  </si>
  <si>
    <t>Values</t>
  </si>
  <si>
    <t>KINGS</t>
  </si>
  <si>
    <t>Deal Count</t>
  </si>
  <si>
    <t>Investment: New Invest $</t>
  </si>
  <si>
    <t>From RTR</t>
  </si>
  <si>
    <t>Funded Deals: Total</t>
  </si>
  <si>
    <t>Commissions: Total</t>
  </si>
  <si>
    <t>Initial Total R&amp;H Cost Basis</t>
  </si>
  <si>
    <t>Initial Total RTR (adjust for Funder's Mgt Fees)</t>
  </si>
  <si>
    <t>Weight Avg Factor</t>
  </si>
  <si>
    <t>"principal"</t>
  </si>
  <si>
    <t>"profit"</t>
  </si>
  <si>
    <t>Total RTR Received</t>
  </si>
  <si>
    <t>Principal Returned</t>
  </si>
  <si>
    <t>Profit Returned</t>
  </si>
  <si>
    <t>R&amp;H Cost Basis after Principal Rec'd</t>
  </si>
  <si>
    <t xml:space="preserve">R&amp;H Cost Basis after Profit Returned: FINAL </t>
  </si>
  <si>
    <t>Total Net RTR Outstanding</t>
  </si>
  <si>
    <t>Bad Debt (remaining RTR)</t>
  </si>
  <si>
    <t>Total Net RTR Outsanding AFTER BAD DEBT</t>
  </si>
  <si>
    <t>Weekly RTR Payments</t>
  </si>
  <si>
    <t>Weighted Average Term ('mos)</t>
  </si>
  <si>
    <t>Average Cost Basis/Deal</t>
  </si>
  <si>
    <t>Vintage Return</t>
  </si>
  <si>
    <t>RTR re-invested???</t>
  </si>
  <si>
    <t>R&amp;H Profit Share 20%</t>
  </si>
  <si>
    <t>WRC Net $ Profit</t>
  </si>
  <si>
    <t>WRC Net Vintage Return</t>
  </si>
  <si>
    <t>Median Deal</t>
  </si>
  <si>
    <t>Median FICO</t>
  </si>
  <si>
    <t>Average FICO</t>
  </si>
  <si>
    <t>August</t>
  </si>
  <si>
    <t>September</t>
  </si>
  <si>
    <t>October</t>
  </si>
  <si>
    <t>November</t>
  </si>
  <si>
    <t>December</t>
  </si>
  <si>
    <t>January</t>
  </si>
  <si>
    <t>Total</t>
  </si>
  <si>
    <t>Portfolio Factor w RTR re-invested</t>
  </si>
  <si>
    <t xml:space="preserve">Total Net RTR Outstanding: </t>
  </si>
  <si>
    <t>Total NEW dollars at work:</t>
  </si>
  <si>
    <t>portfolio w rtr re-invested</t>
  </si>
  <si>
    <t>with RTR rec'd added to cost basis</t>
  </si>
  <si>
    <t>Total NEW dollars at work</t>
  </si>
  <si>
    <t>Clearview</t>
  </si>
  <si>
    <t>HHC</t>
  </si>
  <si>
    <t>Boom</t>
  </si>
  <si>
    <t>BHB</t>
  </si>
  <si>
    <t>RTR re-invested</t>
  </si>
  <si>
    <t>ACS</t>
  </si>
  <si>
    <t>Average</t>
  </si>
  <si>
    <t>Kings</t>
  </si>
  <si>
    <t>Date Funded</t>
  </si>
  <si>
    <t>Merchant Name</t>
  </si>
  <si>
    <t>Website</t>
  </si>
  <si>
    <t>AdvanceID</t>
  </si>
  <si>
    <t>Industry: NAICS or SIC</t>
  </si>
  <si>
    <t>State</t>
  </si>
  <si>
    <t>FICO</t>
  </si>
  <si>
    <t>Buy Rate</t>
  </si>
  <si>
    <t>Commission</t>
  </si>
  <si>
    <t xml:space="preserve">Sell Rate </t>
  </si>
  <si>
    <t>Total Funded Amount</t>
  </si>
  <si>
    <t>Total RTR</t>
  </si>
  <si>
    <t># of Daily Payments</t>
  </si>
  <si>
    <t># of Weekly Payments</t>
  </si>
  <si>
    <t>Months</t>
  </si>
  <si>
    <t>R&amp;H Participation Amount</t>
  </si>
  <si>
    <t>New $</t>
  </si>
  <si>
    <t>RTR</t>
  </si>
  <si>
    <t>New $ at work</t>
  </si>
  <si>
    <t>RTR $ at work</t>
  </si>
  <si>
    <t>R&amp;H % of Deal</t>
  </si>
  <si>
    <t>R&amp;H Pro-Rata Commission Paid</t>
  </si>
  <si>
    <t>R&amp;H Cost Basis</t>
  </si>
  <si>
    <t>R&amp;H Pro-Rata RTR</t>
  </si>
  <si>
    <t>R&amp;H NET Fees Pro-Rata RTR</t>
  </si>
  <si>
    <t>"all in" factor</t>
  </si>
  <si>
    <t>R&amp;H Pro-rata Gross Payment</t>
  </si>
  <si>
    <t>Funder's Mgmt Fee</t>
  </si>
  <si>
    <t>Net Payment Expected</t>
  </si>
  <si>
    <t>Weekly Payment Expected</t>
  </si>
  <si>
    <t>Total Net RTR Payment Received</t>
  </si>
  <si>
    <t>Net RTR 8/21</t>
  </si>
  <si>
    <t>Net RTR 8/28</t>
  </si>
  <si>
    <t>Net RTR 9/1</t>
  </si>
  <si>
    <t>Net RTR 9/8</t>
  </si>
  <si>
    <t>Net RTR 9/15</t>
  </si>
  <si>
    <t>Net RTR 9/22</t>
  </si>
  <si>
    <t>Net RTR 9/29</t>
  </si>
  <si>
    <t>Net RTR 10/6</t>
  </si>
  <si>
    <t>Net RTR 10/13</t>
  </si>
  <si>
    <t>Net RTR 10/20</t>
  </si>
  <si>
    <t>Net RTR 10/27</t>
  </si>
  <si>
    <t>Net RTR 11/3</t>
  </si>
  <si>
    <t>Net RTR 11/10</t>
  </si>
  <si>
    <t>Net RTR 11/17</t>
  </si>
  <si>
    <t>Net RTR 11/24</t>
  </si>
  <si>
    <t>Net RTR 12/1</t>
  </si>
  <si>
    <t>Net RTR 12/8</t>
  </si>
  <si>
    <t>Net RTR 12/15</t>
  </si>
  <si>
    <t>Net RTR 12/22</t>
  </si>
  <si>
    <t>Net RTR 12/29</t>
  </si>
  <si>
    <t>Net RTR 1/5</t>
  </si>
  <si>
    <t>Net RTR 1/12</t>
  </si>
  <si>
    <t>Net RTR 04/05</t>
  </si>
  <si>
    <t>R&amp;H Net RTR Balance (adjusted for fees)</t>
  </si>
  <si>
    <t>Total Paid % of RTR</t>
  </si>
  <si>
    <t>Return on Cost Basis</t>
  </si>
  <si>
    <t>Portfolio Exposure % of Cost Basis intra Month</t>
  </si>
  <si>
    <t>Portfolio Exposure % of outstanding per Funder's RTR</t>
  </si>
  <si>
    <t>RTR Exposure as % of R&amp;H Portfolio</t>
  </si>
  <si>
    <t>average term vs fundings</t>
  </si>
  <si>
    <t>Default</t>
  </si>
  <si>
    <t>Bad Debt Adustment</t>
  </si>
  <si>
    <t>Date</t>
  </si>
  <si>
    <t>CapCommerec</t>
  </si>
  <si>
    <t>Kings-1</t>
  </si>
  <si>
    <t>E-commerce</t>
  </si>
  <si>
    <t>NJ</t>
  </si>
  <si>
    <t>NEW</t>
  </si>
  <si>
    <t>GM Pallet</t>
  </si>
  <si>
    <t xml:space="preserve">https://www.gmpalletsco.com/ </t>
  </si>
  <si>
    <t>Kings-2</t>
  </si>
  <si>
    <t>Manufacturer</t>
  </si>
  <si>
    <t>OH</t>
  </si>
  <si>
    <t>SansAge</t>
  </si>
  <si>
    <t>Kings-3</t>
  </si>
  <si>
    <t>Dashit</t>
  </si>
  <si>
    <t xml:space="preserve">https://www.facebook.com/people/Dashit-Performance/100076419537472/?paipv=0&amp;eav=AfZkQolzujw3hHeI7p0fmAL2QvZZx02yGM2NjVhX2uOMTdWrcFadzw4CdgHM8dAt0sc&amp;_rdr </t>
  </si>
  <si>
    <t>Kings-4</t>
  </si>
  <si>
    <t>Automotive</t>
  </si>
  <si>
    <t>MS</t>
  </si>
  <si>
    <t>VetBiz</t>
  </si>
  <si>
    <t xml:space="preserve">http://vetbizcorp.com/ </t>
  </si>
  <si>
    <t>Kings-5</t>
  </si>
  <si>
    <t>Construction</t>
  </si>
  <si>
    <t>NC</t>
  </si>
  <si>
    <t>Richardson</t>
  </si>
  <si>
    <t xml:space="preserve">https://rsmoves.com/ </t>
  </si>
  <si>
    <t>Kings-6</t>
  </si>
  <si>
    <t>Move/Storage</t>
  </si>
  <si>
    <t>AL</t>
  </si>
  <si>
    <t>Matthew Ryan McElfresh</t>
  </si>
  <si>
    <t xml:space="preserve">https://riversidelandscapeservice.com/contact-us/ </t>
  </si>
  <si>
    <t>Kings-7</t>
  </si>
  <si>
    <t>Lawn Services</t>
  </si>
  <si>
    <t>TX</t>
  </si>
  <si>
    <t>W. Village Pasta</t>
  </si>
  <si>
    <t xml:space="preserve">https://www.theperryclub.com/ </t>
  </si>
  <si>
    <t>Kings-8</t>
  </si>
  <si>
    <t>Restaurant</t>
  </si>
  <si>
    <t>NY</t>
  </si>
  <si>
    <t>Rocket Pig</t>
  </si>
  <si>
    <t xml:space="preserve">https://rocketpigtrucking.com/ </t>
  </si>
  <si>
    <t>Kings-9</t>
  </si>
  <si>
    <t>Trucking</t>
  </si>
  <si>
    <t>IN</t>
  </si>
  <si>
    <t>test</t>
  </si>
  <si>
    <t>A&amp;L Trucking</t>
  </si>
  <si>
    <t>US DOT</t>
  </si>
  <si>
    <t>Kings-10</t>
  </si>
  <si>
    <t>AR</t>
  </si>
  <si>
    <t>Olympia Group, LLC</t>
  </si>
  <si>
    <t>Kings-11</t>
  </si>
  <si>
    <t xml:space="preserve"> </t>
  </si>
  <si>
    <t>Get To Work, Inc.</t>
  </si>
  <si>
    <t>?</t>
  </si>
  <si>
    <t>Kings-12</t>
  </si>
  <si>
    <t>Biz Services</t>
  </si>
  <si>
    <t>TN</t>
  </si>
  <si>
    <t>xTrem Pool</t>
  </si>
  <si>
    <t xml:space="preserve">https://xtremepoolbuilders.com/ </t>
  </si>
  <si>
    <t>Kings-13</t>
  </si>
  <si>
    <t>Pool Contractor</t>
  </si>
  <si>
    <t>Olympia</t>
  </si>
  <si>
    <t>DOT</t>
  </si>
  <si>
    <t xml:space="preserve">Kings-14 </t>
  </si>
  <si>
    <t>Auto Transportation</t>
  </si>
  <si>
    <t>NV</t>
  </si>
  <si>
    <t>Tapia Roofing</t>
  </si>
  <si>
    <t xml:space="preserve">https://tapiaroofinginc.com/ </t>
  </si>
  <si>
    <t>Kings-15</t>
  </si>
  <si>
    <t>Roofing: Construction</t>
  </si>
  <si>
    <t>IL</t>
  </si>
  <si>
    <t>Solely Fuego</t>
  </si>
  <si>
    <t xml:space="preserve">https://solelyfuego.com/ </t>
  </si>
  <si>
    <t>Kings-16</t>
  </si>
  <si>
    <t>Retail</t>
  </si>
  <si>
    <t>Down River</t>
  </si>
  <si>
    <t xml:space="preserve">https://downriverutilityconstruction.com/ </t>
  </si>
  <si>
    <t>Kings-17</t>
  </si>
  <si>
    <t>Utilities: Construction</t>
  </si>
  <si>
    <t>MI</t>
  </si>
  <si>
    <t>Hard Concrete</t>
  </si>
  <si>
    <t xml:space="preserve">https://www.facebook.com/HardAsARockLLC/ </t>
  </si>
  <si>
    <t>Kings-18</t>
  </si>
  <si>
    <t>Concrete: Construction</t>
  </si>
  <si>
    <t xml:space="preserve">George's Truck &amp; Tire Repair </t>
  </si>
  <si>
    <t xml:space="preserve">https://gttrnj.com/ </t>
  </si>
  <si>
    <t>Kings-19</t>
  </si>
  <si>
    <t>Global Sport Horse Stables</t>
  </si>
  <si>
    <t xml:space="preserve">https://globalsporthorsestables.com/ </t>
  </si>
  <si>
    <t>Kings-20</t>
  </si>
  <si>
    <t>Equestrian</t>
  </si>
  <si>
    <t>CA</t>
  </si>
  <si>
    <t>Shannon John Garcia</t>
  </si>
  <si>
    <t xml:space="preserve">https://www.buzzfile.com/business/Quality-Builders-Son-619-653-6512 </t>
  </si>
  <si>
    <t>Kings-21</t>
  </si>
  <si>
    <t>Hidalgo Investment</t>
  </si>
  <si>
    <t xml:space="preserve">www.thetimeengineers.com </t>
  </si>
  <si>
    <t>Kings-22</t>
  </si>
  <si>
    <t>Jewler</t>
  </si>
  <si>
    <t>FL</t>
  </si>
  <si>
    <t>Chuis</t>
  </si>
  <si>
    <t>https://www.bizapedia.com/al/chuis-cleaning-llc.html</t>
  </si>
  <si>
    <t>Kings-23</t>
  </si>
  <si>
    <t>Janitorial</t>
  </si>
  <si>
    <t>The Kayan Group</t>
  </si>
  <si>
    <t>Kayan</t>
  </si>
  <si>
    <t>Kings-24</t>
  </si>
  <si>
    <t>Contracting</t>
  </si>
  <si>
    <t>SC</t>
  </si>
  <si>
    <t>Ska Interiors, LLC</t>
  </si>
  <si>
    <t>Ska Interiors</t>
  </si>
  <si>
    <t>Kings-25</t>
  </si>
  <si>
    <t>US Hauling, Inc.</t>
  </si>
  <si>
    <t>DOT.gov</t>
  </si>
  <si>
    <t>Kings-26</t>
  </si>
  <si>
    <t>Transportation</t>
  </si>
  <si>
    <t>MDC Contracting, Inc.</t>
  </si>
  <si>
    <t>https://mdccontractingcorp.com/</t>
  </si>
  <si>
    <t>Kings-27</t>
  </si>
  <si>
    <t>Glass Tech Custom Glass and Mirror, LLC</t>
  </si>
  <si>
    <t>https://glasstechcustomglassandmirror.com/</t>
  </si>
  <si>
    <t>Kings-28</t>
  </si>
  <si>
    <t>Reas_Pest</t>
  </si>
  <si>
    <t>https://www.facebook.com/1stsolutionspestcontrol/</t>
  </si>
  <si>
    <t>Kings-29</t>
  </si>
  <si>
    <t>Pest Control</t>
  </si>
  <si>
    <t>All in Stucoo</t>
  </si>
  <si>
    <t>Kings-30</t>
  </si>
  <si>
    <t>Eatery Investment</t>
  </si>
  <si>
    <t>https://www.srozzys.com/chandler</t>
  </si>
  <si>
    <t>Kings-31</t>
  </si>
  <si>
    <t>AZ</t>
  </si>
  <si>
    <t>United Services &amp; Consult.</t>
  </si>
  <si>
    <t>Kings-32</t>
  </si>
  <si>
    <t>Healthcare</t>
  </si>
  <si>
    <t>MD</t>
  </si>
  <si>
    <t>Stone Concepts Corporation</t>
  </si>
  <si>
    <t xml:space="preserve">https://www.stoneconceptscorp.com/index.html </t>
  </si>
  <si>
    <t>Kings-33</t>
  </si>
  <si>
    <t>Manufacturing</t>
  </si>
  <si>
    <t>WI</t>
  </si>
  <si>
    <t>Alpha 3D, LLC</t>
  </si>
  <si>
    <t>https://alpha3d-nc.com/</t>
  </si>
  <si>
    <t>Kings-34</t>
  </si>
  <si>
    <t>Camac 255 Corporation</t>
  </si>
  <si>
    <t>https://www.facebook.com/Xmarksthebar/</t>
  </si>
  <si>
    <t>Kings-35</t>
  </si>
  <si>
    <t>PA</t>
  </si>
  <si>
    <t>B&amp;H Investments Group</t>
  </si>
  <si>
    <t>https://unikwax.com/studio-locations/doral/</t>
  </si>
  <si>
    <t>Kings-36</t>
  </si>
  <si>
    <t>Nail/Waxing</t>
  </si>
  <si>
    <t>Kamasu Brooklyn LLC</t>
  </si>
  <si>
    <t>https://kamasubykissaki.com/our-locations/</t>
  </si>
  <si>
    <t>Kings-37</t>
  </si>
  <si>
    <t>Michael Munn</t>
  </si>
  <si>
    <t>https://www.teammunn.com/</t>
  </si>
  <si>
    <t>Kings-38</t>
  </si>
  <si>
    <t>Rafferty Global Logistics, LLC</t>
  </si>
  <si>
    <t>https://raffertygloballogistics.com/</t>
  </si>
  <si>
    <t>Kings-39</t>
  </si>
  <si>
    <t>Beat 22</t>
  </si>
  <si>
    <t>Kings-40</t>
  </si>
  <si>
    <t>Kings-41</t>
  </si>
  <si>
    <t>LDMC Corporation</t>
  </si>
  <si>
    <t>Kings-42</t>
  </si>
  <si>
    <t>Convienance Store</t>
  </si>
  <si>
    <t>Fresh First USA</t>
  </si>
  <si>
    <t>https://www.freshfirst.com/</t>
  </si>
  <si>
    <t>Kings-43</t>
  </si>
  <si>
    <t>VIG Solar Electric &amp; HVAC, LLC</t>
  </si>
  <si>
    <t>https://vigsolarnv.com/</t>
  </si>
  <si>
    <t>Kings-44</t>
  </si>
  <si>
    <t>HVAC/Solar</t>
  </si>
  <si>
    <t xml:space="preserve">NEW  </t>
  </si>
  <si>
    <t>Wiseman WEARS Three60</t>
  </si>
  <si>
    <t>https://www.style-encore.com/locations/Harrisonburg-va</t>
  </si>
  <si>
    <t>Kings-45</t>
  </si>
  <si>
    <t>Consignment</t>
  </si>
  <si>
    <t>VA</t>
  </si>
  <si>
    <t>R &amp; R Truck Lines, Inc.</t>
  </si>
  <si>
    <t>https://safer.fmcsa.dot.gov/query.asp?searchtype=ANY&amp;query_type=queryCarrierSnapshot&amp;query_param=USDOT&amp;query_string=2925667</t>
  </si>
  <si>
    <t>Kings-46</t>
  </si>
  <si>
    <t>Al Forno Mediterranean Grill, LLC</t>
  </si>
  <si>
    <t>https://alfornorestaurant.com/</t>
  </si>
  <si>
    <t>Kings-47</t>
  </si>
  <si>
    <t>Jeffrey Restaurant Supplies, LLC</t>
  </si>
  <si>
    <t>https://jeffreysrestaurantsupplies.com/</t>
  </si>
  <si>
    <t>Kings-48</t>
  </si>
  <si>
    <t>Wholesale</t>
  </si>
  <si>
    <t>Daniellas Shop, LLC</t>
  </si>
  <si>
    <t>https://daniellasshop.com/</t>
  </si>
  <si>
    <t>Kings-49</t>
  </si>
  <si>
    <t>Casas Express, Inc.</t>
  </si>
  <si>
    <t>n/a</t>
  </si>
  <si>
    <t>Kings-50</t>
  </si>
  <si>
    <t>MitSix, LLC</t>
  </si>
  <si>
    <t>https://www.mitsixgroup.com/about-us</t>
  </si>
  <si>
    <t>Kings-51</t>
  </si>
  <si>
    <t>Consulting</t>
  </si>
  <si>
    <t>Reas Pest Control, Inc.</t>
  </si>
  <si>
    <t>Kings-52</t>
  </si>
  <si>
    <t>All American Burger Bar, LLC</t>
  </si>
  <si>
    <t>https://americanoburgerbar.com/</t>
  </si>
  <si>
    <t>Kings-53</t>
  </si>
  <si>
    <t>iPin Invesstors LLC</t>
  </si>
  <si>
    <t>https://ipinconstruction.com/</t>
  </si>
  <si>
    <t>Kings-54</t>
  </si>
  <si>
    <t>GA</t>
  </si>
  <si>
    <t>Mountaineers School of Autism</t>
  </si>
  <si>
    <t>http://www.msainc.org</t>
  </si>
  <si>
    <t>Kings-55</t>
  </si>
  <si>
    <t>Education</t>
  </si>
  <si>
    <t>Holden Earth Products</t>
  </si>
  <si>
    <t>https://www.holdenearth.com/</t>
  </si>
  <si>
    <t>Kings-56</t>
  </si>
  <si>
    <t>CT</t>
  </si>
  <si>
    <t>Wolverine Haulers</t>
  </si>
  <si>
    <t>DOT sight</t>
  </si>
  <si>
    <t>Kings-57</t>
  </si>
  <si>
    <t>Mister Heavy Haul</t>
  </si>
  <si>
    <t>Kings-58</t>
  </si>
  <si>
    <t>Zinniel Electric Co</t>
  </si>
  <si>
    <t>Kings-59</t>
  </si>
  <si>
    <t>Electrician</t>
  </si>
  <si>
    <t>MN</t>
  </si>
  <si>
    <t>Wave Global Services, LLC</t>
  </si>
  <si>
    <t>Kings-60</t>
  </si>
  <si>
    <t>Net RTR 1/19</t>
  </si>
  <si>
    <t>Net RTR 1/26</t>
  </si>
  <si>
    <t>Net RTR 2/2</t>
  </si>
  <si>
    <t>Pino Concrete</t>
  </si>
  <si>
    <t>Pino</t>
  </si>
  <si>
    <t>HHC-1</t>
  </si>
  <si>
    <t>511 Alabama Ave LLC</t>
  </si>
  <si>
    <t>HHC-2</t>
  </si>
  <si>
    <t>Grocery Store</t>
  </si>
  <si>
    <t>Yes</t>
  </si>
  <si>
    <t>ER LIT LLC</t>
  </si>
  <si>
    <t>TX Light  Oasis</t>
  </si>
  <si>
    <t>HHC-3</t>
  </si>
  <si>
    <t>LIghting</t>
  </si>
  <si>
    <t>Advance ID</t>
  </si>
  <si>
    <t>DATE</t>
  </si>
  <si>
    <t>Lat-Depot LLC/Mid 89</t>
  </si>
  <si>
    <t>None</t>
  </si>
  <si>
    <t>CV-1</t>
  </si>
  <si>
    <t>Gorilla Gadgets, LLC / Mid 95</t>
  </si>
  <si>
    <t xml:space="preserve">https://gorillagadgets.com/ </t>
  </si>
  <si>
    <t>CV-2</t>
  </si>
  <si>
    <t>United Security Specialists, Inc. / Mid 99</t>
  </si>
  <si>
    <t xml:space="preserve">https://www.usselite.com/ </t>
  </si>
  <si>
    <t>CV-3</t>
  </si>
  <si>
    <t>Security</t>
  </si>
  <si>
    <t>M-Den, Inc. / Mid 101</t>
  </si>
  <si>
    <t xml:space="preserve">https://www.mden.com/ </t>
  </si>
  <si>
    <t>CV-4</t>
  </si>
  <si>
    <t>Amany Convenience LLC / Mid 107</t>
  </si>
  <si>
    <t>CV-5</t>
  </si>
  <si>
    <t>Gas Station</t>
  </si>
  <si>
    <t>D.A.O. Accounting, Consulting, and Taxation, Inc / Mid 118</t>
  </si>
  <si>
    <t>D&amp;B page</t>
  </si>
  <si>
    <t>CV-6</t>
  </si>
  <si>
    <t>Tax/Accounting</t>
  </si>
  <si>
    <t>Certified Mailing Solutions, Inc./Mid 71</t>
  </si>
  <si>
    <t xml:space="preserve">http://trackcertifiedmailing.com/ </t>
  </si>
  <si>
    <t>CV-7</t>
  </si>
  <si>
    <t>Business Services</t>
  </si>
  <si>
    <t>Water Wheel Rentals / MID-135</t>
  </si>
  <si>
    <t xml:space="preserve">https://www.waterwheeltrailers.com/ </t>
  </si>
  <si>
    <t>CV-8</t>
  </si>
  <si>
    <t>Equipment</t>
  </si>
  <si>
    <t>T2/Axispoint</t>
  </si>
  <si>
    <t xml:space="preserve">https://www.t2computing.com/ </t>
  </si>
  <si>
    <t>CV-9</t>
  </si>
  <si>
    <t>Information Technology</t>
  </si>
  <si>
    <t>Maryland Medical Day Serv</t>
  </si>
  <si>
    <t>Various</t>
  </si>
  <si>
    <t>CV-10</t>
  </si>
  <si>
    <t>Medical</t>
  </si>
  <si>
    <t>Blackhat Chimney</t>
  </si>
  <si>
    <t>CV-11</t>
  </si>
  <si>
    <t>Carolina Grading</t>
  </si>
  <si>
    <t>CV-12</t>
  </si>
  <si>
    <t>Road Construction</t>
  </si>
  <si>
    <t>Apex Industrial Facility Services LLC</t>
  </si>
  <si>
    <t xml:space="preserve">https://apextotalfacilityservices.com/ </t>
  </si>
  <si>
    <t>CV-13</t>
  </si>
  <si>
    <t>Construction: Industrial Clean-Up</t>
  </si>
  <si>
    <t>JamBah_Mid#111</t>
  </si>
  <si>
    <t xml:space="preserve">https://jambahimports.com/ </t>
  </si>
  <si>
    <t>CV-14</t>
  </si>
  <si>
    <t>Import/Export: Food</t>
  </si>
  <si>
    <t>McQueen_Mid#227</t>
  </si>
  <si>
    <t xml:space="preserve">https://mcqueenbuildingcompany.com </t>
  </si>
  <si>
    <t>CV-15</t>
  </si>
  <si>
    <t>Agricultural</t>
  </si>
  <si>
    <t>Ravi GI Medical Mid#260</t>
  </si>
  <si>
    <t>Ravi GI</t>
  </si>
  <si>
    <t>CV-16</t>
  </si>
  <si>
    <t>Brick &amp; Cork</t>
  </si>
  <si>
    <t>Brick&amp;Cork</t>
  </si>
  <si>
    <t>CV-17</t>
  </si>
  <si>
    <t>American Dental of LaGrange, LLCMID #277</t>
  </si>
  <si>
    <t>LaGrangeDental</t>
  </si>
  <si>
    <t>CV-18</t>
  </si>
  <si>
    <t>Medical: Dental</t>
  </si>
  <si>
    <t>ArtLog/MID#247</t>
  </si>
  <si>
    <t>Artlog</t>
  </si>
  <si>
    <t>CV-19</t>
  </si>
  <si>
    <t>MA</t>
  </si>
  <si>
    <t>Acosta Angeli?Mid#262</t>
  </si>
  <si>
    <t>AcostaAngeli</t>
  </si>
  <si>
    <t>CV-20</t>
  </si>
  <si>
    <t>Certified Mailing/Mid#283</t>
  </si>
  <si>
    <t>CertMailSol</t>
  </si>
  <si>
    <t>CV-21</t>
  </si>
  <si>
    <t>Care At Home Private Care LLC/Mid#288</t>
  </si>
  <si>
    <t>CAHPCare</t>
  </si>
  <si>
    <t>CV-22</t>
  </si>
  <si>
    <t>Integrated USA Sys/Mid302</t>
  </si>
  <si>
    <t>IntUSASys</t>
  </si>
  <si>
    <t>CV-23</t>
  </si>
  <si>
    <t>WY</t>
  </si>
  <si>
    <t>IAG Construction/Mid 356</t>
  </si>
  <si>
    <t>IAG</t>
  </si>
  <si>
    <t>CV-24</t>
  </si>
  <si>
    <t xml:space="preserve">Construction </t>
  </si>
  <si>
    <t>S1 Sercurity/MID#347</t>
  </si>
  <si>
    <t>S1</t>
  </si>
  <si>
    <t>CV-25</t>
  </si>
  <si>
    <t>Rallis/Mid25</t>
  </si>
  <si>
    <t>Rallis</t>
  </si>
  <si>
    <t>CV-26</t>
  </si>
  <si>
    <t>WiresOnly/MID #381</t>
  </si>
  <si>
    <t>WiresOnly</t>
  </si>
  <si>
    <t>CV-27</t>
  </si>
  <si>
    <t>Entertainment</t>
  </si>
  <si>
    <t>ChampionContractors/MID #355</t>
  </si>
  <si>
    <t>Champion</t>
  </si>
  <si>
    <t>CV-28</t>
  </si>
  <si>
    <t>Construction/Contracting</t>
  </si>
  <si>
    <t>LA</t>
  </si>
  <si>
    <t>D.A.O Acctg/MID #317</t>
  </si>
  <si>
    <t>ControlledEnvironmntsMid413</t>
  </si>
  <si>
    <t>CtlEnvrmnt</t>
  </si>
  <si>
    <t>CV-29</t>
  </si>
  <si>
    <t>Concept/MID #322</t>
  </si>
  <si>
    <t>Concept32</t>
  </si>
  <si>
    <t>CV-30</t>
  </si>
  <si>
    <t xml:space="preserve">Construction: Cabinet </t>
  </si>
  <si>
    <t>CO</t>
  </si>
  <si>
    <t>PeachyAtletic/MID445</t>
  </si>
  <si>
    <t>PeachyAthletc</t>
  </si>
  <si>
    <t>CV-31</t>
  </si>
  <si>
    <t>Kaival Brands/MID #170</t>
  </si>
  <si>
    <t>Kaival</t>
  </si>
  <si>
    <t>CV-32</t>
  </si>
  <si>
    <t>Distribution</t>
  </si>
  <si>
    <t>Tessna/MID #481</t>
  </si>
  <si>
    <t>CV-33</t>
  </si>
  <si>
    <t>GDCatering/MID #483</t>
  </si>
  <si>
    <t>GDCatering</t>
  </si>
  <si>
    <t>CV-34</t>
  </si>
  <si>
    <t>MID #475</t>
  </si>
  <si>
    <t>Strange Bird</t>
  </si>
  <si>
    <t>CV-35</t>
  </si>
  <si>
    <t>N&amp;S Intl/MID #480</t>
  </si>
  <si>
    <t>N&amp;S</t>
  </si>
  <si>
    <t>CV-36</t>
  </si>
  <si>
    <t>Strange Bird/MID #493</t>
  </si>
  <si>
    <t>CV-37</t>
  </si>
  <si>
    <t>Synergy 768/MID #499</t>
  </si>
  <si>
    <t>Synergy</t>
  </si>
  <si>
    <t>CV-38</t>
  </si>
  <si>
    <t>Telecommunications</t>
  </si>
  <si>
    <t>CCBBQ/MID #510</t>
  </si>
  <si>
    <t>CCBBQ</t>
  </si>
  <si>
    <t>CV-39</t>
  </si>
  <si>
    <t>Livecare/MID #505</t>
  </si>
  <si>
    <t>Livecare</t>
  </si>
  <si>
    <t>SotosDrywall/MID #547</t>
  </si>
  <si>
    <t>Sotos</t>
  </si>
  <si>
    <t>CV-40</t>
  </si>
  <si>
    <t xml:space="preserve">NEW   </t>
  </si>
  <si>
    <t>McQueen Companies/MID #566</t>
  </si>
  <si>
    <t>CV-41</t>
  </si>
  <si>
    <t>Carolina Grading/MID #590</t>
  </si>
  <si>
    <t>CV-42</t>
  </si>
  <si>
    <t>MID #569</t>
  </si>
  <si>
    <t>CV-43</t>
  </si>
  <si>
    <t>Galaxy Venture Capital, LLC/MID#511</t>
  </si>
  <si>
    <t>https://www.galaxyventurecapital.com/team</t>
  </si>
  <si>
    <t>CV-44</t>
  </si>
  <si>
    <t>Investment Services</t>
  </si>
  <si>
    <t>Imperium Enterprises/MID#601</t>
  </si>
  <si>
    <t>CV-45</t>
  </si>
  <si>
    <t>Steve Hightower/MID #584</t>
  </si>
  <si>
    <t>CV-46</t>
  </si>
  <si>
    <t>Gorilla Gadgets/MID 608</t>
  </si>
  <si>
    <t>CV-47</t>
  </si>
  <si>
    <t>Eclub Deals/MID 609</t>
  </si>
  <si>
    <t>CV-48</t>
  </si>
  <si>
    <t>American Fundraising/MID #615</t>
  </si>
  <si>
    <t>CV-49</t>
  </si>
  <si>
    <t>Apex Industrial/MID #607</t>
  </si>
  <si>
    <t>CV-50</t>
  </si>
  <si>
    <t>Allstates</t>
  </si>
  <si>
    <t xml:space="preserve">https://allstatesrefractory.com/ </t>
  </si>
  <si>
    <t>Boom-1</t>
  </si>
  <si>
    <t>Construction: Speciality</t>
  </si>
  <si>
    <t>Parkwood</t>
  </si>
  <si>
    <t>http://www.parkwooddayschool.org/</t>
  </si>
  <si>
    <t>Boom-2</t>
  </si>
  <si>
    <t>KS</t>
  </si>
  <si>
    <t>PWA Operations</t>
  </si>
  <si>
    <t>https://mypetswellness.net/veterinary-hospital/</t>
  </si>
  <si>
    <t>Boom-3</t>
  </si>
  <si>
    <t>Veterinary Hospitals</t>
  </si>
  <si>
    <t>Community Market, LLC</t>
  </si>
  <si>
    <t>Comm Mkt</t>
  </si>
  <si>
    <t>Boom-4</t>
  </si>
  <si>
    <t>Deli</t>
  </si>
  <si>
    <t>VT</t>
  </si>
  <si>
    <t>QP Energy</t>
  </si>
  <si>
    <t>https://qpenergyservices.com/</t>
  </si>
  <si>
    <t>Boom-5</t>
  </si>
  <si>
    <t>Sanitation</t>
  </si>
  <si>
    <t>Kissaki UWS, LLC</t>
  </si>
  <si>
    <t xml:space="preserve">https://explorekissaki.com/ </t>
  </si>
  <si>
    <t>Boom-6</t>
  </si>
  <si>
    <t>Bomb Biscuit Company, LLC</t>
  </si>
  <si>
    <t xml:space="preserve">https://www.bombbiscuitatl.com/ </t>
  </si>
  <si>
    <t>Boom-7</t>
  </si>
  <si>
    <t>Tandem Property Management LLC</t>
  </si>
  <si>
    <t>Boom-8</t>
  </si>
  <si>
    <t>Property Management</t>
  </si>
  <si>
    <t>Kissaki HY, LLC</t>
  </si>
  <si>
    <t>Boom-9</t>
  </si>
  <si>
    <t>Spice Alliance</t>
  </si>
  <si>
    <t>https://www.spicejungle.com/</t>
  </si>
  <si>
    <t>Boom-10</t>
  </si>
  <si>
    <t>Retail: Food</t>
  </si>
  <si>
    <t>Always Home International</t>
  </si>
  <si>
    <t>https://alwayshomeinternational.com/</t>
  </si>
  <si>
    <t>Boom-11</t>
  </si>
  <si>
    <t>Importer</t>
  </si>
  <si>
    <t>El Patio Keithville</t>
  </si>
  <si>
    <t>https://www.elpatiomexicangrill.com/</t>
  </si>
  <si>
    <t>Boom-12</t>
  </si>
  <si>
    <t>El Patio Natchitoches</t>
  </si>
  <si>
    <t>Boom-13</t>
  </si>
  <si>
    <t>La Mesa</t>
  </si>
  <si>
    <t>Boom-14</t>
  </si>
  <si>
    <t>El Patio Many</t>
  </si>
  <si>
    <t>Boom-15</t>
  </si>
  <si>
    <t>First Universal</t>
  </si>
  <si>
    <t>Boom-16</t>
  </si>
  <si>
    <t>Insurance</t>
  </si>
  <si>
    <t>Double Circle, LLC</t>
  </si>
  <si>
    <t>https://generatorsupercenterofdetroit.com/</t>
  </si>
  <si>
    <t>Boom-17</t>
  </si>
  <si>
    <t>RetaiL: Generators</t>
  </si>
  <si>
    <t>Plus Way Transport, Inc.</t>
  </si>
  <si>
    <t>https://www.facebook.com/p/Plus-Way-Transport-100063474313856/</t>
  </si>
  <si>
    <t>Boom-18</t>
  </si>
  <si>
    <t>Trucking: Refer</t>
  </si>
  <si>
    <t>Ardian Group, Inc</t>
  </si>
  <si>
    <t>https://www.ardiangroup.com/</t>
  </si>
  <si>
    <t>Boom-19</t>
  </si>
  <si>
    <t>Data Procession</t>
  </si>
  <si>
    <t>Lick Scoop Shops</t>
  </si>
  <si>
    <t>https://www.ilikelick.com/</t>
  </si>
  <si>
    <t>Boom-20</t>
  </si>
  <si>
    <t>Hoppe's Sports Grill LLC</t>
  </si>
  <si>
    <t>https://www.hoppesbarandgrill.com/</t>
  </si>
  <si>
    <t>Boom-21</t>
  </si>
  <si>
    <t>ARE Restaurant Group, LLC</t>
  </si>
  <si>
    <t>https://thecaddyshack.fun/</t>
  </si>
  <si>
    <t>Boom-22</t>
  </si>
  <si>
    <t>Xcelocloud, Inc.</t>
  </si>
  <si>
    <t>https://www.xcelocloud.com/</t>
  </si>
  <si>
    <t>Boom-23</t>
  </si>
  <si>
    <t>Zieco Carriers Of Indiana, Inc</t>
  </si>
  <si>
    <t>https://safer.fmcsa.dot.gov/query.asp?query_type=queryCarrierSnapshot&amp;query_param=USDOT&amp;query_string=877515</t>
  </si>
  <si>
    <t>Boom-24</t>
  </si>
  <si>
    <t>Trucking: General</t>
  </si>
  <si>
    <t>Bradley Spangler</t>
  </si>
  <si>
    <t>https://www.saelerconstruction.com/</t>
  </si>
  <si>
    <t>Boom-25</t>
  </si>
  <si>
    <t>Ads Rao, LLC</t>
  </si>
  <si>
    <t>Boom-26</t>
  </si>
  <si>
    <t>Richter BMC Cattle Company LLC</t>
  </si>
  <si>
    <t>Boom-27</t>
  </si>
  <si>
    <t>Agriculture:Cattle</t>
  </si>
  <si>
    <t>Norwood Restaurants</t>
  </si>
  <si>
    <t>Boom-28</t>
  </si>
  <si>
    <t>TD Mchugh LTD</t>
  </si>
  <si>
    <t>https://www.primohoagies.com/location/Havertown-PA</t>
  </si>
  <si>
    <t>Boom-29</t>
  </si>
  <si>
    <t>Succeed BHS LLC</t>
  </si>
  <si>
    <t>Boom-30</t>
  </si>
  <si>
    <t>Behavioral Health</t>
  </si>
  <si>
    <t>Total Paid % of RTR (adjusted for fees)</t>
  </si>
  <si>
    <t>average term vs fundings for BHB Overview</t>
  </si>
  <si>
    <t>Logistcorp</t>
  </si>
  <si>
    <t>BHB-1</t>
  </si>
  <si>
    <t>Johnny Dat Nguyen / Allure</t>
  </si>
  <si>
    <t>Allure</t>
  </si>
  <si>
    <t>BHB-2</t>
  </si>
  <si>
    <t>Nail Salon</t>
  </si>
  <si>
    <t>SKS Holdings/Cazadero</t>
  </si>
  <si>
    <t>https://cazontheriver.com/</t>
  </si>
  <si>
    <t>BHB-3</t>
  </si>
  <si>
    <t>OR</t>
  </si>
  <si>
    <t>Gentry</t>
  </si>
  <si>
    <t xml:space="preserve">https://gentryplumbingservices.com/ </t>
  </si>
  <si>
    <t>BHB-4</t>
  </si>
  <si>
    <t xml:space="preserve">Plumbing </t>
  </si>
  <si>
    <t>JEFFREY A HAUSERMAN</t>
  </si>
  <si>
    <t xml:space="preserve">https://manchestermuffler.com/ </t>
  </si>
  <si>
    <t>BHB-5</t>
  </si>
  <si>
    <t>Brucks T</t>
  </si>
  <si>
    <t xml:space="preserve">https://www.btxpinc.com/ </t>
  </si>
  <si>
    <t>BHB-6</t>
  </si>
  <si>
    <t>Welgo</t>
  </si>
  <si>
    <t xml:space="preserve">https://www.welgo.com/ and https://severnahealth.com/ </t>
  </si>
  <si>
    <t>BHB-7</t>
  </si>
  <si>
    <t>One Pt Cleaning</t>
  </si>
  <si>
    <t>OnePtClean</t>
  </si>
  <si>
    <t>BHB-8</t>
  </si>
  <si>
    <t>Cleaning Services</t>
  </si>
  <si>
    <t>Panhandle Insur.</t>
  </si>
  <si>
    <t>PanhandleIns</t>
  </si>
  <si>
    <t>BHB-9</t>
  </si>
  <si>
    <t>Jenkins Pool</t>
  </si>
  <si>
    <t xml:space="preserve">https://aquazulcustompools.com/ </t>
  </si>
  <si>
    <t>BHB-10</t>
  </si>
  <si>
    <t>Pool Services</t>
  </si>
  <si>
    <t>Flenor Gates</t>
  </si>
  <si>
    <t>FlenorRopin</t>
  </si>
  <si>
    <t>BHB-11</t>
  </si>
  <si>
    <t>Farm Equip</t>
  </si>
  <si>
    <t>First Coast Roll Off</t>
  </si>
  <si>
    <t xml:space="preserve">https://www.firstcoastrolloffsllc.com/ </t>
  </si>
  <si>
    <t>BHB-12</t>
  </si>
  <si>
    <t>Equipment Rental</t>
  </si>
  <si>
    <t>GEORGINA TWUMASI MENTAL HEALTH</t>
  </si>
  <si>
    <t xml:space="preserve">https://ginatwumasimentalhealth.com/  </t>
  </si>
  <si>
    <t>BHB-13</t>
  </si>
  <si>
    <t>DNB Infusion Bar</t>
  </si>
  <si>
    <t>Infusion Bar</t>
  </si>
  <si>
    <t>BHB-14</t>
  </si>
  <si>
    <t>WA</t>
  </si>
  <si>
    <t>OLD CROW CONSTRUCTION &amp; TRUCKING</t>
  </si>
  <si>
    <t xml:space="preserve">https://www.facebook.com/profile.php?id=100026627661941 </t>
  </si>
  <si>
    <t>BHB-15</t>
  </si>
  <si>
    <t>Trucking:Speciality</t>
  </si>
  <si>
    <t>GOLZARRI</t>
  </si>
  <si>
    <t>http://www.groundhogdrilling.com/</t>
  </si>
  <si>
    <t>BHB-16</t>
  </si>
  <si>
    <t>Construction: Drilling</t>
  </si>
  <si>
    <t>FREDERIC C GOODWILL II LAW</t>
  </si>
  <si>
    <t xml:space="preserve">https://www.fcg2law.com/ </t>
  </si>
  <si>
    <t>BHB-17</t>
  </si>
  <si>
    <t xml:space="preserve">Law </t>
  </si>
  <si>
    <t>Dorso LP</t>
  </si>
  <si>
    <t>BHB-18</t>
  </si>
  <si>
    <t>Energy:NatGas</t>
  </si>
  <si>
    <t>LIVING WATERS HOSPICE INC</t>
  </si>
  <si>
    <t xml:space="preserve">https://livingwatershospice.net/ </t>
  </si>
  <si>
    <t>BHB-19</t>
  </si>
  <si>
    <t>Big Chic</t>
  </si>
  <si>
    <t xml:space="preserve">https://bigchicmcdonough.com/ </t>
  </si>
  <si>
    <t>BHB-20</t>
  </si>
  <si>
    <t xml:space="preserve">BIG TIME 4X4 AUTO REPAIR LLC </t>
  </si>
  <si>
    <t>http://www.bigtime4x4.org/</t>
  </si>
  <si>
    <t>BHB-21</t>
  </si>
  <si>
    <t>NM</t>
  </si>
  <si>
    <t>CUONG Q VO dba RI SPA NAILS</t>
  </si>
  <si>
    <t>Ri Spa</t>
  </si>
  <si>
    <t>BHB-22</t>
  </si>
  <si>
    <t>RI</t>
  </si>
  <si>
    <t>Day and Night</t>
  </si>
  <si>
    <t xml:space="preserve">https://www.facebook.com/DNMedTrans/ </t>
  </si>
  <si>
    <t>BHB-23</t>
  </si>
  <si>
    <t xml:space="preserve">CHARLES GIBSON INC  dba BIGWAY SALES INC </t>
  </si>
  <si>
    <t xml:space="preserve">https://www.facebook.com/Bigwaysales/ </t>
  </si>
  <si>
    <t>BHB-24</t>
  </si>
  <si>
    <t>Propane</t>
  </si>
  <si>
    <t>HINCKLEY ELECTRIC INC</t>
  </si>
  <si>
    <t>https://hinckleyelectric.com/</t>
  </si>
  <si>
    <t>BHB-25</t>
  </si>
  <si>
    <t>Berkheimer Excavation &amp; Hauling</t>
  </si>
  <si>
    <t>Berkheimer</t>
  </si>
  <si>
    <t>BHB-26</t>
  </si>
  <si>
    <t>Construction: Excavation</t>
  </si>
  <si>
    <t xml:space="preserve">POLLARDS EQUIPMENT REPAIR LLC </t>
  </si>
  <si>
    <t xml:space="preserve">ht tps://www.facebook.com/pollardsheavyequipment/ </t>
  </si>
  <si>
    <t>BHB-27</t>
  </si>
  <si>
    <t xml:space="preserve">Communication Equipment Repair and Maintenance </t>
  </si>
  <si>
    <t>ACOMA ANIMAL CLINIC INC</t>
  </si>
  <si>
    <t>https://www.acomaanimalclinic.com/</t>
  </si>
  <si>
    <t>BHB-29</t>
  </si>
  <si>
    <t>Veterinarian</t>
  </si>
  <si>
    <t>DECK ONE PAINTING LLC</t>
  </si>
  <si>
    <t>https://deckonepainting.com/contact-us</t>
  </si>
  <si>
    <t>BHB-28</t>
  </si>
  <si>
    <t>Construction: Painting</t>
  </si>
  <si>
    <t>AZ NAILS SALON LLC</t>
  </si>
  <si>
    <t>http://aznailschandler.com/</t>
  </si>
  <si>
    <t>BHB-30</t>
  </si>
  <si>
    <t>HARRY NICOLAOU</t>
  </si>
  <si>
    <t>https://www.rainbowflorist-bronxny.com/</t>
  </si>
  <si>
    <t>BHB-31</t>
  </si>
  <si>
    <t>Florist</t>
  </si>
  <si>
    <t>MY STORE-SOLWAY INC</t>
  </si>
  <si>
    <t>https://www.facebook.com/p/My-Store-100063759842743/</t>
  </si>
  <si>
    <t>BHB-32</t>
  </si>
  <si>
    <t>Gas Station/C-Store</t>
  </si>
  <si>
    <t>Tiny Miracles</t>
  </si>
  <si>
    <t>https://tinymiracleslearning.com/</t>
  </si>
  <si>
    <t>BHB-33</t>
  </si>
  <si>
    <t>Pre-School</t>
  </si>
  <si>
    <t>SULLY'S PAINT AND BODY LLC</t>
  </si>
  <si>
    <t>https://sullyspaintandbody.com/</t>
  </si>
  <si>
    <t>BHB-34</t>
  </si>
  <si>
    <t>OK</t>
  </si>
  <si>
    <t>HOBOKEN FLOORING, LLC</t>
  </si>
  <si>
    <t>https://www.hobokenfloor.com/</t>
  </si>
  <si>
    <t>BHB-36</t>
  </si>
  <si>
    <t>Construction: Flooring</t>
  </si>
  <si>
    <t>PROFICIENT PLUMBING LLC</t>
  </si>
  <si>
    <t xml:space="preserve">https://www.yelp.com/biz/proficient-plumbing-north-port </t>
  </si>
  <si>
    <t>BHB-35</t>
  </si>
  <si>
    <t xml:space="preserve">HVAC/Plumbing </t>
  </si>
  <si>
    <t>ALLURE NAILS AND SPA RGV LLC</t>
  </si>
  <si>
    <t>https://www.facebook.com/Allurenailsmcallen/</t>
  </si>
  <si>
    <t>BHB-37</t>
  </si>
  <si>
    <t>Gentry Plumbing</t>
  </si>
  <si>
    <t>BHB-38</t>
  </si>
  <si>
    <t>MICHELLE ANN BARTRUFF</t>
  </si>
  <si>
    <t>https://queensofcleanmaidservice.com/</t>
  </si>
  <si>
    <t>BHB-39</t>
  </si>
  <si>
    <t>CUKS METAL RECYCLERS L.L.C.</t>
  </si>
  <si>
    <t xml:space="preserve">https://www.drfishspa.com/site </t>
  </si>
  <si>
    <t>BHB-40</t>
  </si>
  <si>
    <t>Beauty Spa</t>
  </si>
  <si>
    <t>STEVE WALSH INC</t>
  </si>
  <si>
    <t>BHB-41</t>
  </si>
  <si>
    <t>Truck Repair</t>
  </si>
  <si>
    <t>RAYBAR</t>
  </si>
  <si>
    <t>http://theloftlounge.com/</t>
  </si>
  <si>
    <t>BHB-42</t>
  </si>
  <si>
    <t>JAMES F MARTENS</t>
  </si>
  <si>
    <t>BHB-43</t>
  </si>
  <si>
    <t>Agriculture</t>
  </si>
  <si>
    <t>IA</t>
  </si>
  <si>
    <t>CATHERINE GOWING</t>
  </si>
  <si>
    <t xml:space="preserve">https://thvhouston.com/  </t>
  </si>
  <si>
    <t>BHB-44</t>
  </si>
  <si>
    <t>Event Venue</t>
  </si>
  <si>
    <t>FDS LOGISTICS LLC</t>
  </si>
  <si>
    <t>BHB-45</t>
  </si>
  <si>
    <t>LEGEND ROOFING CORP</t>
  </si>
  <si>
    <t>https://www.legendroofing.com/</t>
  </si>
  <si>
    <t>BHB-46</t>
  </si>
  <si>
    <t>Roofing</t>
  </si>
  <si>
    <t>Eur Motors Corp</t>
  </si>
  <si>
    <t>https://www.euromotorsfl.net/</t>
  </si>
  <si>
    <t>BHB-47</t>
  </si>
  <si>
    <t>Valley Woodcraft</t>
  </si>
  <si>
    <t>https://roanokecountertop.com/</t>
  </si>
  <si>
    <t>BHB-48</t>
  </si>
  <si>
    <t>PAUL HUNTRESS</t>
  </si>
  <si>
    <t>https://anything-automotive.wixsite.com/towing</t>
  </si>
  <si>
    <t>BHB-49</t>
  </si>
  <si>
    <t>Automotive: Towing</t>
  </si>
  <si>
    <t>T&amp;S Services</t>
  </si>
  <si>
    <t>https://www.facebook.com/TnSRoyalservices/</t>
  </si>
  <si>
    <t>BHB-50</t>
  </si>
  <si>
    <t>Landscaping</t>
  </si>
  <si>
    <t>Total Net RTR Payment Rec'd</t>
  </si>
  <si>
    <t>Rudd Sanitation</t>
  </si>
  <si>
    <t>Rudd</t>
  </si>
  <si>
    <t>ACS-1</t>
  </si>
  <si>
    <t>TYRER DENTISTRY PA</t>
  </si>
  <si>
    <t>https://www.tyrerdentalcare.com/</t>
  </si>
  <si>
    <t>ACS-2</t>
  </si>
  <si>
    <t xml:space="preserve">NEW </t>
  </si>
  <si>
    <t>MARSHSIDE MOTORS COMPANY LLC</t>
  </si>
  <si>
    <t xml:space="preserve">https://marshsidemotors.com/ </t>
  </si>
  <si>
    <t>ACS-3</t>
  </si>
  <si>
    <t>ALLWORLD STONE SUPPLY CORPORATION</t>
  </si>
  <si>
    <t xml:space="preserve">https://www.granitetoolssupply.com/ </t>
  </si>
  <si>
    <t>ACS-4</t>
  </si>
  <si>
    <t>Construction: Stone</t>
  </si>
  <si>
    <t>MWM Auto</t>
  </si>
  <si>
    <t xml:space="preserve">https://mlrautorepair.com/ </t>
  </si>
  <si>
    <t>ACS-5</t>
  </si>
  <si>
    <t>Salazar</t>
  </si>
  <si>
    <t xml:space="preserve">https://salazarinvestigations.com/ </t>
  </si>
  <si>
    <t>ACS-6</t>
  </si>
  <si>
    <t>Investigations</t>
  </si>
  <si>
    <t>YES</t>
  </si>
  <si>
    <t>NVS Audio</t>
  </si>
  <si>
    <t>https://nvsaudio.com/</t>
  </si>
  <si>
    <t>ACS-7</t>
  </si>
  <si>
    <t>Audio</t>
  </si>
  <si>
    <t>Scue</t>
  </si>
  <si>
    <t>https://www.jackiebs.com/</t>
  </si>
  <si>
    <t>ACS-8</t>
  </si>
  <si>
    <t>BCN Enter</t>
  </si>
  <si>
    <t>https://hardenshamburgers.webflow.io/</t>
  </si>
  <si>
    <t>ACS-9</t>
  </si>
  <si>
    <t>Street</t>
  </si>
  <si>
    <t xml:space="preserve">https://www.mainstreetpawn207.com/  </t>
  </si>
  <si>
    <t>ACS-10</t>
  </si>
  <si>
    <t>Pawn Shop</t>
  </si>
  <si>
    <t>ME</t>
  </si>
  <si>
    <t>Global Glamping</t>
  </si>
  <si>
    <t>https://www.glamping.global/</t>
  </si>
  <si>
    <t>ACS-11</t>
  </si>
  <si>
    <t>Campsite</t>
  </si>
  <si>
    <t>MT</t>
  </si>
  <si>
    <t>Maryam</t>
  </si>
  <si>
    <t xml:space="preserve">https://www.grannyskitchen.com/ </t>
  </si>
  <si>
    <t>ACS-12</t>
  </si>
  <si>
    <t>OKM</t>
  </si>
  <si>
    <t>https://costabyokm.com/</t>
  </si>
  <si>
    <t>ACS-13</t>
  </si>
  <si>
    <t>NORTH TEXAS DISTRIBUTORS LLC DBA THE PEST SHOP</t>
  </si>
  <si>
    <t xml:space="preserve">https://www.pestshop.com/ </t>
  </si>
  <si>
    <t>ACS-14</t>
  </si>
  <si>
    <t>MNQ_Jewelers</t>
  </si>
  <si>
    <t>ACS-15</t>
  </si>
  <si>
    <t xml:space="preserve">ROCKO'S SCALE SERVICES LLC </t>
  </si>
  <si>
    <t>ACS-16</t>
  </si>
  <si>
    <t>NIDRA_LLC</t>
  </si>
  <si>
    <t>https://www.nidrapack.com/</t>
  </si>
  <si>
    <t>ACS-17</t>
  </si>
  <si>
    <t>Beverage</t>
  </si>
  <si>
    <t xml:space="preserve">Texas Wheel </t>
  </si>
  <si>
    <t>https://wheelrepair360.com/</t>
  </si>
  <si>
    <t>ACS-18</t>
  </si>
  <si>
    <t>Clutch Cards</t>
  </si>
  <si>
    <t>https://clutch.cards/</t>
  </si>
  <si>
    <t>ACS-19</t>
  </si>
  <si>
    <t>LA Alarms</t>
  </si>
  <si>
    <t>https://www.la-alarms.com/</t>
  </si>
  <si>
    <t>ACS-20</t>
  </si>
  <si>
    <t>Alarm Systems</t>
  </si>
  <si>
    <t>Mugford &amp; Dibella</t>
  </si>
  <si>
    <t>M&amp;D</t>
  </si>
  <si>
    <t>ACS-21</t>
  </si>
  <si>
    <t>Accountant</t>
  </si>
  <si>
    <t>LIVIRAE LINGERIE</t>
  </si>
  <si>
    <t>Liverae</t>
  </si>
  <si>
    <t>ACS-22</t>
  </si>
  <si>
    <t xml:space="preserve">Intact Professional </t>
  </si>
  <si>
    <t>https://intactinc.net/overview</t>
  </si>
  <si>
    <t>ACS-23</t>
  </si>
  <si>
    <t>Engineering</t>
  </si>
  <si>
    <t>Fatboys Miramar</t>
  </si>
  <si>
    <t>https://ilovefatboys.com/</t>
  </si>
  <si>
    <t>ACS-24</t>
  </si>
  <si>
    <t>Revily</t>
  </si>
  <si>
    <t>https://wickinsights.com/</t>
  </si>
  <si>
    <t>ACS-25</t>
  </si>
  <si>
    <t>Research</t>
  </si>
  <si>
    <t>Workplace</t>
  </si>
  <si>
    <t>http://www.workplaceow.com/</t>
  </si>
  <si>
    <t>ACS-26</t>
  </si>
  <si>
    <t>Mariscos Nayarit</t>
  </si>
  <si>
    <t>https://mariscosnayarit2.com/</t>
  </si>
  <si>
    <t>ACS-27</t>
  </si>
  <si>
    <t>Valley Wok</t>
  </si>
  <si>
    <t>https://valleywokstl.com/</t>
  </si>
  <si>
    <t>ACS-28</t>
  </si>
  <si>
    <t>MO</t>
  </si>
  <si>
    <t>Rodriquez Special Pallets</t>
  </si>
  <si>
    <t>https://rodriguezpallet.com/</t>
  </si>
  <si>
    <t>ACS-29</t>
  </si>
  <si>
    <t>NE</t>
  </si>
  <si>
    <t>South Conduit Jerk</t>
  </si>
  <si>
    <t>https://www.instagram.com/conduitjerkrest/</t>
  </si>
  <si>
    <t>ACS-30</t>
  </si>
  <si>
    <t>JD Custom Hay Grinding</t>
  </si>
  <si>
    <t>https://haygrinding.com/</t>
  </si>
  <si>
    <t>ACS-31</t>
  </si>
  <si>
    <t>Professional Plumbing Services</t>
  </si>
  <si>
    <t>https://www.facebook.com/p/Professional-Plumbing-Services-100066720999320/?paipv=0&amp;eav=AfZ1lTQ8OFOdMpNNnylZPaXCLi7HGsiJ26TC1cSXDmgfxfVymjpv-szVI81uBqLjdbE&amp;_rdr</t>
  </si>
  <si>
    <t>ACS-32</t>
  </si>
  <si>
    <t>Plumbing</t>
  </si>
  <si>
    <t>HI</t>
  </si>
  <si>
    <t>GIDDY HOLDINGS</t>
  </si>
  <si>
    <t>https://eddiebygiddy.com/</t>
  </si>
  <si>
    <t>ACS-33</t>
  </si>
  <si>
    <t>Medical Devices</t>
  </si>
  <si>
    <t>Le Caire Lounge</t>
  </si>
  <si>
    <t>https://makanirestaurantorlando.business.site/</t>
  </si>
  <si>
    <t>ACS-34</t>
  </si>
  <si>
    <t>ABU AZIZULLAH MD</t>
  </si>
  <si>
    <t>https://doctor.webmd.com/doctor/abu-azizullah-e2d10ec2-8044-43e3-98b2-d1ff5186b884-overview</t>
  </si>
  <si>
    <t>ACS-35</t>
  </si>
  <si>
    <t>DYI LLC</t>
  </si>
  <si>
    <t>https://www.shopdyi.com/</t>
  </si>
  <si>
    <t>ACS-36</t>
  </si>
  <si>
    <t>Clothing</t>
  </si>
  <si>
    <t>SPENCER ASSOCIATES THERAPEUTIC ALLIANCE</t>
  </si>
  <si>
    <t>ACS-37</t>
  </si>
  <si>
    <t>Bakery las Delicias</t>
  </si>
  <si>
    <t>https://www.bakerylasdelicias.com/</t>
  </si>
  <si>
    <t>ACS-38</t>
  </si>
  <si>
    <t>Bakery</t>
  </si>
  <si>
    <t>FIRST AMERICA ENERGY</t>
  </si>
  <si>
    <t>https://www.firstamericaenergy.com/</t>
  </si>
  <si>
    <t>ACS-39</t>
  </si>
  <si>
    <t>Energy</t>
  </si>
  <si>
    <t>JWUGRAD</t>
  </si>
  <si>
    <t>LabKitchen</t>
  </si>
  <si>
    <t>ACS-40</t>
  </si>
  <si>
    <t>MollyMalones Irish Pub</t>
  </si>
  <si>
    <t>Horse&amp;Sulky</t>
  </si>
  <si>
    <t>ACS-41</t>
  </si>
  <si>
    <t>COCHRANE ANESTHESIA</t>
  </si>
  <si>
    <t>KrystalAnesthesia</t>
  </si>
  <si>
    <t>ACS-42</t>
  </si>
  <si>
    <t>LiveWire KENTON EVANS</t>
  </si>
  <si>
    <t>Livewire</t>
  </si>
  <si>
    <t>ACS-43</t>
  </si>
  <si>
    <t>PARADIGM CONVERGENCE</t>
  </si>
  <si>
    <t>Paradigm</t>
  </si>
  <si>
    <t>ACS-44</t>
  </si>
  <si>
    <t>Cleaning</t>
  </si>
  <si>
    <t>S&amp;S AUBURN HILLS</t>
  </si>
  <si>
    <t>STEAK&amp;SHAK</t>
  </si>
  <si>
    <t>ACS-45</t>
  </si>
  <si>
    <t>THEBOLDFAMILY</t>
  </si>
  <si>
    <t>https://www.sebastiancruzcouture.com/pages/contact-us</t>
  </si>
  <si>
    <t>ACS-46</t>
  </si>
  <si>
    <t>COWBOY READYMIX</t>
  </si>
  <si>
    <t>https://www.cowboysreadymix.com/</t>
  </si>
  <si>
    <t>ACS-47</t>
  </si>
  <si>
    <t>Concrete Constuction</t>
  </si>
  <si>
    <t>EL PASO MEX GRILL</t>
  </si>
  <si>
    <t>https://elpasomexicanrestaurants.com/</t>
  </si>
  <si>
    <t>ACS-48</t>
  </si>
  <si>
    <t>VINYL WORKS</t>
  </si>
  <si>
    <t>https://vinylworksnj.com/about</t>
  </si>
  <si>
    <t>ACS-49</t>
  </si>
  <si>
    <t>POTOMAC TECH SERV</t>
  </si>
  <si>
    <t>https://charliescustomclones.com/</t>
  </si>
  <si>
    <t>ACS-50</t>
  </si>
  <si>
    <t>ACS-51</t>
  </si>
  <si>
    <t>EKO African Market</t>
  </si>
  <si>
    <t>https://www.google.com/search?client=safari&amp;rls=en&amp;q=eko+african+market&amp;ie=UTF-8&amp;oe=UTF-8&amp;dlnr=1&amp;sei=w0WYZfKIH5uw5NoP3YuIyAI#dlnr=1&amp;lrd=0x89c2f33cdcce3fe1:0x87f7ace134a606f,1,,,,</t>
  </si>
  <si>
    <t>ACS-52</t>
  </si>
  <si>
    <t>Sonico Alignment</t>
  </si>
  <si>
    <t>https://opencorporates.com/companies/us_tx/0803842890</t>
  </si>
  <si>
    <t>ACS-53</t>
  </si>
  <si>
    <t>Unity Systems</t>
  </si>
  <si>
    <t>http://unitysystems.org/aboutus.php</t>
  </si>
  <si>
    <t>ACS-54</t>
  </si>
  <si>
    <t>Software</t>
  </si>
  <si>
    <t>RTB Security</t>
  </si>
  <si>
    <t>https://rtbsecurityacademy.com/</t>
  </si>
  <si>
    <t>ACS-55</t>
  </si>
  <si>
    <t>White Rabbit Total $ In</t>
  </si>
  <si>
    <t>New Dollars Out / HARD CODE / Start of day</t>
  </si>
  <si>
    <t>Deals (New &amp; RTR)</t>
  </si>
  <si>
    <t>NEW Dollars Out / end of day</t>
  </si>
  <si>
    <t>RTR Available for reinvestment</t>
  </si>
  <si>
    <t>NEW $ available to Invest</t>
  </si>
  <si>
    <t>Cash @ BAC</t>
  </si>
  <si>
    <t>Daily Available Cash</t>
  </si>
  <si>
    <t>ACS - 1182</t>
  </si>
  <si>
    <t>BHB - 3684</t>
  </si>
  <si>
    <t>Boom-3684</t>
  </si>
  <si>
    <t>VGUS - 3692</t>
  </si>
  <si>
    <t>HHC-0665</t>
  </si>
  <si>
    <t>Kings - 3676</t>
  </si>
  <si>
    <t>White Rabbit - 3650</t>
  </si>
  <si>
    <t>Monthly Adjustment: Bank Fees</t>
  </si>
  <si>
    <t>dbl ck</t>
  </si>
  <si>
    <t>dbl ck: Cash @BAC (minus) RTR Available for Investment (plus) New Dollars Out</t>
  </si>
  <si>
    <t xml:space="preserve">RTR Rec'd from Previous </t>
  </si>
  <si>
    <t>Funder</t>
  </si>
  <si>
    <t xml:space="preserve"> 8/21</t>
  </si>
  <si>
    <t xml:space="preserve"> 8/28</t>
  </si>
  <si>
    <t xml:space="preserve"> 9/1</t>
  </si>
  <si>
    <t xml:space="preserve"> 9/8</t>
  </si>
  <si>
    <t xml:space="preserve"> 9/15</t>
  </si>
  <si>
    <t xml:space="preserve"> 9/22</t>
  </si>
  <si>
    <t xml:space="preserve"> 9/29</t>
  </si>
  <si>
    <t xml:space="preserve"> 10/6</t>
  </si>
  <si>
    <t xml:space="preserve"> 10/13</t>
  </si>
  <si>
    <t xml:space="preserve"> 10/20</t>
  </si>
  <si>
    <t xml:space="preserve"> 10/27</t>
  </si>
  <si>
    <t xml:space="preserve"> 11/3</t>
  </si>
  <si>
    <t xml:space="preserve"> 11/10</t>
  </si>
  <si>
    <t xml:space="preserve"> 11/17</t>
  </si>
  <si>
    <t xml:space="preserve"> 11/24</t>
  </si>
  <si>
    <t xml:space="preserve"> 12/1</t>
  </si>
  <si>
    <t xml:space="preserve"> 12/8</t>
  </si>
  <si>
    <t xml:space="preserve"> 12/15</t>
  </si>
  <si>
    <t xml:space="preserve"> 12/22</t>
  </si>
  <si>
    <t xml:space="preserve"> 12/29</t>
  </si>
  <si>
    <t>1/5</t>
  </si>
  <si>
    <t>1/122</t>
  </si>
  <si>
    <t>1/19</t>
  </si>
  <si>
    <t>1/26</t>
  </si>
  <si>
    <t>2/2</t>
  </si>
  <si>
    <t>CV</t>
  </si>
  <si>
    <t>WOW</t>
  </si>
  <si>
    <t>R&amp;H Cap</t>
  </si>
  <si>
    <t>Investment:From RTR Dollars</t>
  </si>
  <si>
    <t>Expected Weekly RTR Payments</t>
  </si>
  <si>
    <t>R&amp;H  Avg Term ('mos)</t>
  </si>
  <si>
    <t>WRC Net $ Returned</t>
  </si>
  <si>
    <t>3% dividend</t>
  </si>
  <si>
    <t xml:space="preserve">BHB </t>
  </si>
  <si>
    <t>Portfolio Factor of RTR outstanding and reinvested</t>
  </si>
  <si>
    <t>Percentage</t>
  </si>
  <si>
    <t>Total Cost Basis FINAL</t>
  </si>
  <si>
    <t xml:space="preserve">Term </t>
  </si>
  <si>
    <t>Factor</t>
  </si>
  <si>
    <t>Portfolio Factor of RTR outstanding &amp; collected reinvested</t>
  </si>
  <si>
    <t>Term contribution</t>
  </si>
  <si>
    <t>Avg Cost Basis/Deal</t>
  </si>
  <si>
    <t xml:space="preserve"> FICO</t>
  </si>
  <si>
    <t>RTR received &amp; Reinvested</t>
  </si>
  <si>
    <t>RTR rec'd and RTR Outstanding</t>
  </si>
  <si>
    <t>`+--</t>
  </si>
  <si>
    <t>Current Portfolio Factor Review</t>
  </si>
  <si>
    <t>Funder: Portfolio Allocation Snapshot</t>
  </si>
  <si>
    <t>Total Net RTR Outstanding (after bad debt)</t>
  </si>
  <si>
    <t>Percentage of Initial Cost Basis</t>
  </si>
  <si>
    <t xml:space="preserve">Total Current Cost Basis </t>
  </si>
  <si>
    <t>Term (mo)</t>
  </si>
  <si>
    <t>Historical Factor (including recycled $)</t>
  </si>
  <si>
    <t>Weighted Average Term (mo)</t>
  </si>
  <si>
    <t>RTR Received &amp; Reinvested</t>
  </si>
  <si>
    <t>Total RTR Received &amp; Reinvested</t>
  </si>
  <si>
    <t xml:space="preserve">Effective Annual Yield </t>
  </si>
  <si>
    <t>Yield Review of Portfolio</t>
  </si>
  <si>
    <t>Yield Review of Portfolio/RTR Re-investment</t>
  </si>
  <si>
    <t>Weighted Average Factor of Portfolio -1</t>
  </si>
  <si>
    <t>Weighted Average Term of Portfolio</t>
  </si>
  <si>
    <t>Turns of Term / Yearly</t>
  </si>
  <si>
    <t>Yearly: Turns x Weighted Average Factor</t>
  </si>
  <si>
    <t>Effective Annual 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</si>
</sst>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0">
    <numFmt numFmtId="164" formatCode="dddd, mmmm dd, yyyy"/>
    <numFmt numFmtId="165" formatCode="#,##0.0000000%"/>
    <numFmt numFmtId="166" formatCode="#,##0%"/>
    <numFmt numFmtId="167" formatCode=",,"/>
    <numFmt numFmtId="168" formatCode="#,##0.000000%"/>
    <numFmt numFmtId="169" formatCode="#,##0.0000"/>
    <numFmt numFmtId="170" formatCode="#,##0.00%"/>
    <numFmt numFmtId="171" formatCode="$#,##0_);($#,##0)"/>
    <numFmt numFmtId="172" formatCode="#,##0.0"/>
    <numFmt numFmtId="173" formatCode="#,##0.00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40c28"/>
      <name val="Arial"/>
      <family val="2"/>
    </font>
    <font>
      <sz val="12"/>
      <color rgb="FFffffff"/>
      <name val="Calibri"/>
      <family val="2"/>
    </font>
    <font>
      <sz val="9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u/>
      <sz val="10"/>
      <color rgb="FF000000"/>
      <name val="Calibri"/>
      <family val="2"/>
    </font>
    <font>
      <u/>
      <sz val="11"/>
      <color rgb="FFffffff"/>
      <name val="Calibri"/>
      <family val="2"/>
    </font>
    <font>
      <sz val="11"/>
      <color rgb="FFe7e6e6"/>
      <name val="Calibri"/>
      <family val="2"/>
    </font>
    <font>
      <sz val="11"/>
      <color rgb="FF44546a"/>
      <name val="Calibri"/>
      <family val="2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7e6e6"/>
      </patternFill>
    </fill>
    <fill>
      <patternFill patternType="solid">
        <fgColor rgb="FF8faadc"/>
      </patternFill>
    </fill>
    <fill>
      <patternFill patternType="solid">
        <fgColor rgb="FF000000"/>
      </patternFill>
    </fill>
    <fill>
      <patternFill patternType="solid">
        <fgColor rgb="FFff0000"/>
      </patternFill>
    </fill>
    <fill>
      <patternFill patternType="solid">
        <fgColor rgb="FFfbe5d6"/>
      </patternFill>
    </fill>
    <fill>
      <patternFill patternType="solid">
        <fgColor rgb="FF00b050"/>
      </patternFill>
    </fill>
    <fill>
      <patternFill patternType="solid">
        <fgColor rgb="FFbf9000"/>
      </patternFill>
    </fill>
    <fill>
      <patternFill patternType="solid">
        <fgColor rgb="FF9dc3e6"/>
      </patternFill>
    </fill>
    <fill>
      <patternFill patternType="solid">
        <fgColor rgb="FF8497b0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44546a"/>
      </patternFill>
    </fill>
    <fill>
      <patternFill patternType="solid">
        <fgColor rgb="FFd6dce5"/>
      </patternFill>
    </fill>
    <fill>
      <patternFill patternType="solid">
        <fgColor rgb="FFadb9ca"/>
      </patternFill>
    </fill>
    <fill>
      <patternFill patternType="solid">
        <fgColor rgb="FFffe699"/>
      </patternFill>
    </fill>
    <fill>
      <patternFill patternType="solid">
        <fgColor rgb="FF70ad47"/>
      </patternFill>
    </fill>
    <fill>
      <patternFill patternType="solid">
        <fgColor rgb="FFfff2cc"/>
      </patternFill>
    </fill>
    <fill>
      <patternFill patternType="solid">
        <fgColor rgb="FFb4c7e7"/>
      </patternFill>
    </fill>
    <fill>
      <patternFill patternType="solid">
        <fgColor rgb="FFbfbfbf"/>
      </patternFill>
    </fill>
    <fill>
      <patternFill patternType="solid">
        <fgColor rgb="FFd9d9d9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a1b8e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a1b8e1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uble">
        <color rgb="FF000000"/>
      </bottom>
      <diagonal/>
    </border>
  </borders>
  <cellStyleXfs count="1">
    <xf numFmtId="0" fontId="0" fillId="0" borderId="0"/>
  </cellStyleXfs>
  <cellXfs count="51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center" wrapText="1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3" applyFill="1" applyAlignment="1">
      <alignment horizontal="left" wrapText="1"/>
    </xf>
    <xf xfId="0" numFmtId="164" applyNumberFormat="1" borderId="1" applyBorder="1" fontId="1" applyFont="1" fillId="0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166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 wrapText="1"/>
    </xf>
    <xf xfId="0" numFmtId="167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168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3" applyFont="1" fillId="4" applyFill="1" applyAlignment="1">
      <alignment horizontal="left"/>
    </xf>
    <xf xfId="0" numFmtId="166" applyNumberFormat="1" borderId="2" applyBorder="1" fontId="3" applyFont="1" fillId="2" applyFill="1" applyAlignment="1">
      <alignment horizontal="center" wrapText="1"/>
    </xf>
    <xf xfId="0" numFmtId="0" borderId="2" applyBorder="1" fontId="3" applyFont="1" fillId="2" applyFill="1" applyAlignment="1">
      <alignment horizontal="left"/>
    </xf>
    <xf xfId="0" numFmtId="0" borderId="3" applyBorder="1" fontId="1" applyFont="1" fillId="3" applyFill="1" applyAlignment="1">
      <alignment horizontal="center" wrapText="1"/>
    </xf>
    <xf xfId="0" numFmtId="0" borderId="4" applyBorder="1" fontId="1" applyFont="1" fillId="0" applyAlignment="1">
      <alignment horizontal="center" wrapText="1"/>
    </xf>
    <xf xfId="0" numFmtId="0" borderId="5" applyBorder="1" fontId="4" applyFont="1" fillId="0" applyAlignment="1">
      <alignment horizontal="center" wrapText="1"/>
    </xf>
    <xf xfId="0" numFmtId="0" borderId="6" applyBorder="1" fontId="1" applyFont="1" fillId="0" applyAlignment="1">
      <alignment horizontal="left" wrapText="1"/>
    </xf>
    <xf xfId="0" numFmtId="0" borderId="7" applyBorder="1" fontId="1" applyFont="1" fillId="0" applyAlignment="1">
      <alignment horizontal="left" wrapText="1"/>
    </xf>
    <xf xfId="0" numFmtId="0" borderId="8" applyBorder="1" fontId="1" applyFont="1" fillId="3" applyFill="1" applyAlignment="1">
      <alignment horizontal="center" wrapText="1"/>
    </xf>
    <xf xfId="0" numFmtId="0" borderId="9" applyBorder="1" fontId="1" applyFont="1" fillId="3" applyFill="1" applyAlignment="1">
      <alignment horizontal="center" wrapText="1"/>
    </xf>
    <xf xfId="0" numFmtId="0" borderId="10" applyBorder="1" fontId="1" applyFont="1" fillId="3" applyFill="1" applyAlignment="1">
      <alignment horizontal="center" wrapText="1"/>
    </xf>
    <xf xfId="0" numFmtId="0" borderId="8" applyBorder="1" fontId="5" applyFont="1" fillId="5" applyFill="1" applyAlignment="1">
      <alignment horizontal="center" wrapText="1"/>
    </xf>
    <xf xfId="0" numFmtId="0" borderId="9" applyBorder="1" fontId="5" applyFont="1" fillId="5" applyFill="1" applyAlignment="1">
      <alignment horizontal="center" wrapText="1"/>
    </xf>
    <xf xfId="0" numFmtId="0" borderId="10" applyBorder="1" fontId="5" applyFont="1" fillId="5" applyFill="1" applyAlignment="1">
      <alignment horizontal="center" wrapText="1"/>
    </xf>
    <xf xfId="0" numFmtId="0" borderId="3" applyBorder="1" fontId="5" applyFont="1" fillId="6" applyFill="1" applyAlignment="1">
      <alignment horizontal="center" wrapText="1"/>
    </xf>
    <xf xfId="0" numFmtId="0" borderId="11" applyBorder="1" fontId="1" applyFont="1" fillId="0" applyAlignment="1">
      <alignment horizontal="center" wrapText="1"/>
    </xf>
    <xf xfId="0" numFmtId="166" applyNumberFormat="1" borderId="11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left" wrapText="1"/>
    </xf>
    <xf xfId="0" numFmtId="0" borderId="2" applyBorder="1" fontId="1" applyFont="1" fillId="3" applyFill="1" applyAlignment="1">
      <alignment horizontal="left"/>
    </xf>
    <xf xfId="0" numFmtId="0" borderId="2" applyBorder="1" fontId="1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3" applyNumberFormat="1" borderId="12" applyBorder="1" fontId="1" applyFont="1" fillId="2" applyFill="1" applyAlignment="1">
      <alignment horizontal="center"/>
    </xf>
    <xf xfId="0" numFmtId="3" applyNumberFormat="1" borderId="13" applyBorder="1" fontId="1" applyFont="1" fillId="2" applyFill="1" applyAlignment="1">
      <alignment horizontal="center"/>
    </xf>
    <xf xfId="0" numFmtId="169" applyNumberFormat="1" borderId="12" applyBorder="1" fontId="1" applyFont="1" fillId="2" applyFill="1" applyAlignment="1">
      <alignment horizontal="center"/>
    </xf>
    <xf xfId="0" numFmtId="169" applyNumberFormat="1" borderId="2" applyBorder="1" fontId="1" applyFont="1" fillId="2" applyFill="1" applyAlignment="1">
      <alignment horizontal="right"/>
    </xf>
    <xf xfId="0" numFmtId="169" applyNumberFormat="1" borderId="13" applyBorder="1" fontId="1" applyFont="1" fillId="2" applyFill="1" applyAlignment="1">
      <alignment horizontal="right"/>
    </xf>
    <xf xfId="0" numFmtId="3" applyNumberFormat="1" borderId="12" applyBorder="1" fontId="1" applyFont="1" fillId="3" applyFill="1" applyAlignment="1">
      <alignment horizontal="center"/>
    </xf>
    <xf xfId="0" numFmtId="3" applyNumberFormat="1" borderId="13" applyBorder="1" fontId="1" applyFont="1" fillId="3" applyFill="1" applyAlignment="1">
      <alignment horizontal="center"/>
    </xf>
    <xf xfId="0" numFmtId="3" applyNumberFormat="1" borderId="12" applyBorder="1" fontId="5" applyFont="1" fillId="5" applyFill="1" applyAlignment="1">
      <alignment horizontal="center"/>
    </xf>
    <xf xfId="0" numFmtId="3" applyNumberFormat="1" borderId="2" applyBorder="1" fontId="5" applyFont="1" fillId="5" applyFill="1" applyAlignment="1">
      <alignment horizontal="center"/>
    </xf>
    <xf xfId="0" numFmtId="3" applyNumberFormat="1" borderId="13" applyBorder="1" fontId="5" applyFont="1" fillId="5" applyFill="1" applyAlignment="1">
      <alignment horizontal="center"/>
    </xf>
    <xf xfId="0" numFmtId="3" applyNumberFormat="1" borderId="13" applyBorder="1" fontId="5" applyFont="1" fillId="6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170" applyNumberFormat="1" borderId="2" applyBorder="1" fontId="1" applyFont="1" fillId="3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166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9" applyNumberFormat="1" borderId="2" applyBorder="1" fontId="1" applyFont="1" fillId="2" applyFill="1" applyAlignment="1">
      <alignment horizontal="center"/>
    </xf>
    <xf xfId="0" numFmtId="169" applyNumberFormat="1" borderId="13" applyBorder="1" fontId="1" applyFont="1" fillId="2" applyFill="1" applyAlignment="1">
      <alignment horizontal="center"/>
    </xf>
    <xf xfId="0" numFmtId="166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3" applyNumberFormat="1" borderId="14" applyBorder="1" fontId="1" applyFont="1" fillId="0" applyAlignment="1">
      <alignment horizontal="center"/>
    </xf>
    <xf xfId="0" numFmtId="3" applyNumberFormat="1" borderId="15" applyBorder="1" fontId="1" applyFont="1" fillId="0" applyAlignment="1">
      <alignment horizontal="center"/>
    </xf>
    <xf xfId="0" numFmtId="3" applyNumberFormat="1" borderId="2" applyBorder="1" fontId="5" applyFont="1" fillId="6" applyFill="1" applyAlignment="1">
      <alignment horizontal="center"/>
    </xf>
    <xf xfId="0" numFmtId="3" applyNumberFormat="1" borderId="16" applyBorder="1" fontId="1" applyFont="1" fillId="0" applyAlignment="1">
      <alignment horizontal="center"/>
    </xf>
    <xf xfId="0" numFmtId="3" applyNumberFormat="1" borderId="17" applyBorder="1" fontId="1" applyFont="1" fillId="0" applyAlignment="1">
      <alignment horizontal="center"/>
    </xf>
    <xf xfId="0" numFmtId="169" applyNumberFormat="1" borderId="16" applyBorder="1" fontId="1" applyFont="1" fillId="0" applyAlignment="1">
      <alignment horizontal="center"/>
    </xf>
    <xf xfId="0" numFmtId="3" applyNumberFormat="1" borderId="18" applyBorder="1" fontId="1" applyFont="1" fillId="0" applyAlignment="1">
      <alignment horizontal="center"/>
    </xf>
    <xf xfId="0" numFmtId="3" applyNumberFormat="1" borderId="19" applyBorder="1" fontId="1" applyFont="1" fillId="3" applyFill="1" applyAlignment="1">
      <alignment horizontal="center"/>
    </xf>
    <xf xfId="0" numFmtId="3" applyNumberFormat="1" borderId="20" applyBorder="1" fontId="1" applyFont="1" fillId="3" applyFill="1" applyAlignment="1">
      <alignment horizontal="center"/>
    </xf>
    <xf xfId="0" numFmtId="3" applyNumberFormat="1" borderId="21" applyBorder="1" fontId="1" applyFont="1" fillId="3" applyFill="1" applyAlignment="1">
      <alignment horizontal="center"/>
    </xf>
    <xf xfId="0" numFmtId="3" applyNumberFormat="1" borderId="19" applyBorder="1" fontId="5" applyFont="1" fillId="5" applyFill="1" applyAlignment="1">
      <alignment horizontal="center"/>
    </xf>
    <xf xfId="0" numFmtId="3" applyNumberFormat="1" borderId="21" applyBorder="1" fontId="5" applyFont="1" fillId="5" applyFill="1" applyAlignment="1">
      <alignment horizontal="center"/>
    </xf>
    <xf xfId="0" numFmtId="3" applyNumberFormat="1" borderId="21" applyBorder="1" fontId="5" applyFont="1" fillId="6" applyFill="1" applyAlignment="1">
      <alignment horizontal="center"/>
    </xf>
    <xf xfId="0" numFmtId="0" borderId="1" applyBorder="1" fontId="6" applyFont="1" fillId="0" applyAlignment="1">
      <alignment horizontal="left"/>
    </xf>
    <xf xfId="0" numFmtId="169" applyNumberFormat="1" borderId="1" applyBorder="1" fontId="1" applyFont="1" fillId="0" applyAlignment="1">
      <alignment horizontal="right"/>
    </xf>
    <xf xfId="0" numFmtId="171" applyNumberFormat="1" borderId="1" applyBorder="1" fontId="1" applyFont="1" fillId="0" applyAlignment="1">
      <alignment horizontal="right"/>
    </xf>
    <xf xfId="0" numFmtId="0" borderId="2" applyBorder="1" fontId="1" applyFont="1" fillId="7" applyFill="1" applyAlignment="1">
      <alignment horizontal="left"/>
    </xf>
    <xf xfId="0" numFmtId="0" borderId="0" fontId="0" fillId="0" applyAlignment="1">
      <alignment horizontal="left"/>
    </xf>
    <xf xfId="0" numFmtId="166" applyNumberFormat="1" borderId="0" fontId="0" fillId="0" applyAlignment="1">
      <alignment horizontal="right"/>
    </xf>
    <xf xfId="0" numFmtId="0" borderId="2" applyBorder="1" fontId="3" applyFont="1" fillId="8" applyFill="1" applyAlignment="1">
      <alignment horizontal="left"/>
    </xf>
    <xf xfId="0" numFmtId="0" borderId="2" applyBorder="1" fontId="3" applyFont="1" fillId="2" applyFill="1" applyAlignment="1">
      <alignment horizontal="left" wrapText="1"/>
    </xf>
    <xf xfId="0" numFmtId="169" applyNumberFormat="1" borderId="12" applyBorder="1" fontId="1" applyFont="1" fillId="2" applyFill="1" applyAlignment="1">
      <alignment horizontal="right"/>
    </xf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0" borderId="2" applyBorder="1" fontId="3" applyFont="1" fillId="9" applyFill="1" applyAlignment="1">
      <alignment horizontal="left"/>
    </xf>
    <xf xfId="0" numFmtId="166" applyNumberFormat="1" borderId="2" applyBorder="1" fontId="7" applyFont="1" fillId="3" applyFill="1" applyAlignment="1">
      <alignment horizontal="center" wrapText="1"/>
    </xf>
    <xf xfId="0" numFmtId="0" borderId="3" applyBorder="1" fontId="8" applyFont="1" fillId="3" applyFill="1" applyAlignment="1">
      <alignment horizontal="center" wrapText="1"/>
    </xf>
    <xf xfId="0" numFmtId="0" borderId="4" applyBorder="1" fontId="8" applyFont="1" fillId="0" applyAlignment="1">
      <alignment horizontal="center" wrapText="1"/>
    </xf>
    <xf xfId="0" numFmtId="0" borderId="5" applyBorder="1" fontId="8" applyFont="1" fillId="0" applyAlignment="1">
      <alignment horizontal="center" wrapText="1"/>
    </xf>
    <xf xfId="0" numFmtId="0" borderId="6" applyBorder="1" fontId="8" applyFont="1" fillId="0" applyAlignment="1">
      <alignment horizontal="left" wrapText="1"/>
    </xf>
    <xf xfId="0" numFmtId="0" borderId="7" applyBorder="1" fontId="8" applyFont="1" fillId="0" applyAlignment="1">
      <alignment horizontal="left" wrapText="1"/>
    </xf>
    <xf xfId="0" numFmtId="0" borderId="8" applyBorder="1" fontId="8" applyFont="1" fillId="3" applyFill="1" applyAlignment="1">
      <alignment horizontal="center" wrapText="1"/>
    </xf>
    <xf xfId="0" numFmtId="0" borderId="9" applyBorder="1" fontId="8" applyFont="1" fillId="3" applyFill="1" applyAlignment="1">
      <alignment horizontal="center" wrapText="1"/>
    </xf>
    <xf xfId="0" numFmtId="0" borderId="10" applyBorder="1" fontId="8" applyFont="1" fillId="3" applyFill="1" applyAlignment="1">
      <alignment horizontal="center" wrapText="1"/>
    </xf>
    <xf xfId="0" numFmtId="0" borderId="8" applyBorder="1" fontId="9" applyFont="1" fillId="5" applyFill="1" applyAlignment="1">
      <alignment horizontal="center" wrapText="1"/>
    </xf>
    <xf xfId="0" numFmtId="0" borderId="9" applyBorder="1" fontId="9" applyFont="1" fillId="5" applyFill="1" applyAlignment="1">
      <alignment horizontal="center" wrapText="1"/>
    </xf>
    <xf xfId="0" numFmtId="0" borderId="10" applyBorder="1" fontId="9" applyFont="1" fillId="5" applyFill="1" applyAlignment="1">
      <alignment horizontal="center" wrapText="1"/>
    </xf>
    <xf xfId="0" numFmtId="0" borderId="3" applyBorder="1" fontId="9" applyFont="1" fillId="6" applyFill="1" applyAlignment="1">
      <alignment horizontal="center" wrapText="1"/>
    </xf>
    <xf xfId="0" numFmtId="0" borderId="11" applyBorder="1" fontId="8" applyFont="1" fillId="0" applyAlignment="1">
      <alignment horizontal="center" wrapText="1"/>
    </xf>
    <xf xfId="0" numFmtId="166" applyNumberFormat="1" borderId="11" applyBorder="1" fontId="8" applyFont="1" fillId="0" applyAlignment="1">
      <alignment horizontal="center" wrapText="1"/>
    </xf>
    <xf xfId="0" numFmtId="0" borderId="11" applyBorder="1" fontId="8" applyFont="1" fillId="0" applyAlignment="1">
      <alignment horizontal="left" wrapText="1"/>
    </xf>
    <xf xfId="0" numFmtId="0" borderId="2" applyBorder="1" fontId="8" applyFont="1" fillId="3" applyFill="1" applyAlignment="1">
      <alignment horizontal="left"/>
    </xf>
    <xf xfId="0" numFmtId="0" borderId="2" applyBorder="1" fontId="8" applyFont="1" fillId="3" applyFill="1" applyAlignment="1">
      <alignment horizontal="center"/>
    </xf>
    <xf xfId="0" numFmtId="3" applyNumberFormat="1" borderId="2" applyBorder="1" fontId="8" applyFont="1" fillId="3" applyFill="1" applyAlignment="1">
      <alignment horizontal="center"/>
    </xf>
    <xf xfId="0" numFmtId="3" applyNumberFormat="1" borderId="12" applyBorder="1" fontId="8" applyFont="1" fillId="2" applyFill="1" applyAlignment="1">
      <alignment horizontal="center"/>
    </xf>
    <xf xfId="0" numFmtId="3" applyNumberFormat="1" borderId="13" applyBorder="1" fontId="8" applyFont="1" fillId="2" applyFill="1" applyAlignment="1">
      <alignment horizontal="center"/>
    </xf>
    <xf xfId="0" numFmtId="169" applyNumberFormat="1" borderId="12" applyBorder="1" fontId="8" applyFont="1" fillId="2" applyFill="1" applyAlignment="1">
      <alignment horizontal="center"/>
    </xf>
    <xf xfId="0" numFmtId="169" applyNumberFormat="1" borderId="2" applyBorder="1" fontId="8" applyFont="1" fillId="2" applyFill="1" applyAlignment="1">
      <alignment horizontal="right"/>
    </xf>
    <xf xfId="0" numFmtId="169" applyNumberFormat="1" borderId="13" applyBorder="1" fontId="8" applyFont="1" fillId="2" applyFill="1" applyAlignment="1">
      <alignment horizontal="right"/>
    </xf>
    <xf xfId="0" numFmtId="3" applyNumberFormat="1" borderId="12" applyBorder="1" fontId="8" applyFont="1" fillId="3" applyFill="1" applyAlignment="1">
      <alignment horizontal="center"/>
    </xf>
    <xf xfId="0" numFmtId="3" applyNumberFormat="1" borderId="13" applyBorder="1" fontId="8" applyFont="1" fillId="3" applyFill="1" applyAlignment="1">
      <alignment horizontal="center"/>
    </xf>
    <xf xfId="0" numFmtId="3" applyNumberFormat="1" borderId="12" applyBorder="1" fontId="9" applyFont="1" fillId="5" applyFill="1" applyAlignment="1">
      <alignment horizontal="center"/>
    </xf>
    <xf xfId="0" numFmtId="3" applyNumberFormat="1" borderId="2" applyBorder="1" fontId="9" applyFont="1" fillId="5" applyFill="1" applyAlignment="1">
      <alignment horizontal="center"/>
    </xf>
    <xf xfId="0" numFmtId="3" applyNumberFormat="1" borderId="13" applyBorder="1" fontId="9" applyFont="1" fillId="5" applyFill="1" applyAlignment="1">
      <alignment horizontal="center"/>
    </xf>
    <xf xfId="0" numFmtId="3" applyNumberFormat="1" borderId="13" applyBorder="1" fontId="9" applyFont="1" fillId="6" applyFill="1" applyAlignment="1">
      <alignment horizontal="center"/>
    </xf>
    <xf xfId="0" numFmtId="4" applyNumberFormat="1" borderId="2" applyBorder="1" fontId="8" applyFont="1" fillId="3" applyFill="1" applyAlignment="1">
      <alignment horizontal="center"/>
    </xf>
    <xf xfId="0" numFmtId="170" applyNumberFormat="1" borderId="2" applyBorder="1" fontId="8" applyFont="1" fillId="3" applyFill="1" applyAlignment="1">
      <alignment horizontal="center"/>
    </xf>
    <xf xfId="0" numFmtId="3" applyNumberFormat="1" borderId="2" applyBorder="1" fontId="8" applyFont="1" fillId="3" applyFill="1" applyAlignment="1">
      <alignment horizontal="right"/>
    </xf>
    <xf xfId="0" numFmtId="0" borderId="2" applyBorder="1" fontId="8" applyFont="1" fillId="3" applyFill="1" applyAlignment="1">
      <alignment horizontal="center"/>
    </xf>
    <xf xfId="0" numFmtId="0" borderId="1" applyBorder="1" fontId="8" applyFont="1" fillId="0" applyAlignment="1">
      <alignment horizontal="left"/>
    </xf>
    <xf xfId="0" numFmtId="3" applyNumberFormat="1" borderId="1" applyBorder="1" fontId="8" applyFont="1" fillId="0" applyAlignment="1">
      <alignment horizontal="center"/>
    </xf>
    <xf xfId="0" numFmtId="4" applyNumberFormat="1" borderId="1" applyBorder="1" fontId="8" applyFont="1" fillId="0" applyAlignment="1">
      <alignment horizontal="center"/>
    </xf>
    <xf xfId="0" numFmtId="0" borderId="1" applyBorder="1" fontId="8" applyFont="1" fillId="0" applyAlignment="1">
      <alignment horizontal="center"/>
    </xf>
    <xf xfId="0" numFmtId="169" applyNumberFormat="1" borderId="13" applyBorder="1" fontId="8" applyFont="1" fillId="2" applyFill="1" applyAlignment="1">
      <alignment horizontal="center"/>
    </xf>
    <xf xfId="0" numFmtId="3" applyNumberFormat="1" borderId="14" applyBorder="1" fontId="8" applyFont="1" fillId="0" applyAlignment="1">
      <alignment horizontal="center"/>
    </xf>
    <xf xfId="0" numFmtId="3" applyNumberFormat="1" borderId="15" applyBorder="1" fontId="8" applyFont="1" fillId="0" applyAlignment="1">
      <alignment horizontal="center"/>
    </xf>
    <xf xfId="0" numFmtId="3" applyNumberFormat="1" borderId="2" applyBorder="1" fontId="9" applyFont="1" fillId="6" applyFill="1" applyAlignment="1">
      <alignment horizontal="center"/>
    </xf>
    <xf xfId="0" numFmtId="166" applyNumberFormat="1" borderId="1" applyBorder="1" fontId="8" applyFont="1" fillId="0" applyAlignment="1">
      <alignment horizontal="center"/>
    </xf>
    <xf xfId="0" numFmtId="3" applyNumberFormat="1" borderId="16" applyBorder="1" fontId="8" applyFont="1" fillId="0" applyAlignment="1">
      <alignment horizontal="center"/>
    </xf>
    <xf xfId="0" numFmtId="3" applyNumberFormat="1" borderId="17" applyBorder="1" fontId="8" applyFont="1" fillId="0" applyAlignment="1">
      <alignment horizontal="center"/>
    </xf>
    <xf xfId="0" numFmtId="169" applyNumberFormat="1" borderId="16" applyBorder="1" fontId="8" applyFont="1" fillId="0" applyAlignment="1">
      <alignment horizontal="center"/>
    </xf>
    <xf xfId="0" numFmtId="3" applyNumberFormat="1" borderId="18" applyBorder="1" fontId="8" applyFont="1" fillId="0" applyAlignment="1">
      <alignment horizontal="center"/>
    </xf>
    <xf xfId="0" numFmtId="3" applyNumberFormat="1" borderId="19" applyBorder="1" fontId="8" applyFont="1" fillId="3" applyFill="1" applyAlignment="1">
      <alignment horizontal="center"/>
    </xf>
    <xf xfId="0" numFmtId="3" applyNumberFormat="1" borderId="20" applyBorder="1" fontId="8" applyFont="1" fillId="3" applyFill="1" applyAlignment="1">
      <alignment horizontal="center"/>
    </xf>
    <xf xfId="0" numFmtId="3" applyNumberFormat="1" borderId="21" applyBorder="1" fontId="8" applyFont="1" fillId="3" applyFill="1" applyAlignment="1">
      <alignment horizontal="center"/>
    </xf>
    <xf xfId="0" numFmtId="3" applyNumberFormat="1" borderId="19" applyBorder="1" fontId="9" applyFont="1" fillId="5" applyFill="1" applyAlignment="1">
      <alignment horizontal="center"/>
    </xf>
    <xf xfId="0" numFmtId="3" applyNumberFormat="1" borderId="21" applyBorder="1" fontId="9" applyFont="1" fillId="5" applyFill="1" applyAlignment="1">
      <alignment horizontal="center"/>
    </xf>
    <xf xfId="0" numFmtId="3" applyNumberFormat="1" borderId="21" applyBorder="1" fontId="9" applyFont="1" fillId="6" applyFill="1" applyAlignment="1">
      <alignment horizontal="center"/>
    </xf>
    <xf xfId="0" numFmtId="1" applyNumberFormat="1" borderId="1" applyBorder="1" fontId="8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169" applyNumberFormat="1" borderId="1" applyBorder="1" fontId="8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171" applyNumberFormat="1" borderId="1" applyBorder="1" fontId="8" applyFont="1" fillId="0" applyAlignment="1">
      <alignment horizontal="right"/>
    </xf>
    <xf xfId="0" numFmtId="0" borderId="2" applyBorder="1" fontId="8" applyFont="1" fillId="7" applyFill="1" applyAlignment="1">
      <alignment horizontal="left"/>
    </xf>
    <xf xfId="0" numFmtId="169" applyNumberFormat="1" borderId="1" applyBorder="1" fontId="10" applyFont="1" fillId="0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0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2" applyBorder="1" fontId="1" applyFont="1" fillId="10" applyFill="1" applyAlignment="1">
      <alignment horizontal="center"/>
    </xf>
    <xf xfId="0" numFmtId="1" applyNumberFormat="1" borderId="2" applyBorder="1" fontId="1" applyFont="1" fillId="10" applyFill="1" applyAlignment="1">
      <alignment horizontal="center"/>
    </xf>
    <xf xfId="0" numFmtId="1" applyNumberFormat="1" borderId="2" applyBorder="1" fontId="5" applyFont="1" fillId="5" applyFill="1" applyAlignment="1">
      <alignment horizontal="center"/>
    </xf>
    <xf xfId="0" numFmtId="0" borderId="2" applyBorder="1" fontId="5" applyFont="1" fillId="2" applyFill="1" applyAlignment="1">
      <alignment horizontal="left"/>
    </xf>
    <xf xfId="0" numFmtId="0" borderId="5" applyBorder="1" fontId="1" applyFont="1" fillId="0" applyAlignment="1">
      <alignment horizontal="center" wrapText="1"/>
    </xf>
    <xf xfId="0" numFmtId="0" borderId="22" applyBorder="1" fontId="1" applyFont="1" fillId="0" applyAlignment="1">
      <alignment horizontal="left" wrapText="1"/>
    </xf>
    <xf xfId="0" numFmtId="0" borderId="5" applyBorder="1" fontId="1" applyFont="1" fillId="0" applyAlignment="1">
      <alignment horizontal="left" wrapText="1"/>
    </xf>
    <xf xfId="0" numFmtId="1" applyNumberFormat="1" borderId="11" applyBorder="1" fontId="1" applyFont="1" fillId="0" applyAlignment="1">
      <alignment horizontal="center" wrapText="1"/>
    </xf>
    <xf xfId="0" numFmtId="1" applyNumberFormat="1" borderId="2" applyBorder="1" fontId="1" applyFont="1" fillId="3" applyFill="1" applyAlignment="1">
      <alignment horizontal="center"/>
    </xf>
    <xf xfId="0" numFmtId="169" applyNumberFormat="1" borderId="14" applyBorder="1" fontId="1" applyFont="1" fillId="0" applyAlignment="1">
      <alignment horizontal="center"/>
    </xf>
    <xf xfId="0" numFmtId="169" applyNumberFormat="1" borderId="1" applyBorder="1" fontId="1" applyFont="1" fillId="0" applyAlignment="1">
      <alignment horizontal="center"/>
    </xf>
    <xf xfId="0" numFmtId="169" applyNumberFormat="1" borderId="15" applyBorder="1" fontId="1" applyFont="1" fillId="0" applyAlignment="1">
      <alignment horizontal="center"/>
    </xf>
    <xf xfId="0" numFmtId="1" applyNumberFormat="1" borderId="0" fontId="0" fillId="0" applyAlignment="1">
      <alignment horizontal="left"/>
    </xf>
    <xf xfId="0" numFmtId="0" borderId="2" applyBorder="1" fontId="3" applyFont="1" fillId="11" applyFill="1" applyAlignment="1">
      <alignment horizontal="left"/>
    </xf>
    <xf xfId="0" numFmtId="0" borderId="2" applyBorder="1" fontId="3" applyFont="1" fillId="11" applyFill="1" applyAlignment="1">
      <alignment horizontal="left" wrapText="1"/>
    </xf>
    <xf xfId="0" numFmtId="0" borderId="2" applyBorder="1" fontId="3" applyFont="1" fillId="6" applyFill="1" applyAlignment="1">
      <alignment horizontal="center"/>
    </xf>
    <xf xfId="0" numFmtId="0" borderId="2" applyBorder="1" fontId="3" applyFont="1" fillId="6" applyFill="1" applyAlignment="1">
      <alignment horizontal="center" wrapText="1"/>
    </xf>
    <xf xfId="0" numFmtId="3" applyNumberFormat="1" borderId="2" applyBorder="1" fontId="1" applyFont="1" fillId="12" applyFill="1" applyAlignment="1">
      <alignment horizontal="center"/>
    </xf>
    <xf xfId="0" numFmtId="172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172" applyNumberFormat="1" borderId="2" applyBorder="1" fontId="1" applyFont="1" fillId="2" applyFill="1" applyAlignment="1">
      <alignment horizontal="center"/>
    </xf>
    <xf xfId="0" numFmtId="172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right" wrapText="1"/>
    </xf>
    <xf xfId="0" numFmtId="14" applyNumberFormat="1" borderId="2" applyBorder="1" fontId="7" applyFont="1" fillId="2" applyFill="1" applyAlignment="1">
      <alignment horizontal="center"/>
    </xf>
    <xf xfId="0" numFmtId="166" applyNumberFormat="1" borderId="2" applyBorder="1" fontId="1" applyFont="1" fillId="13" applyFill="1" applyAlignment="1">
      <alignment horizontal="left"/>
    </xf>
    <xf xfId="0" numFmtId="0" borderId="2" applyBorder="1" fontId="7" applyFont="1" fillId="2" applyFill="1" applyAlignment="1">
      <alignment horizontal="center"/>
    </xf>
    <xf xfId="0" numFmtId="1" applyNumberFormat="1" borderId="2" applyBorder="1" fontId="7" applyFont="1" fillId="2" applyFill="1" applyAlignment="1">
      <alignment horizontal="center"/>
    </xf>
    <xf xfId="0" numFmtId="4" applyNumberFormat="1" borderId="2" applyBorder="1" fontId="7" applyFont="1" fillId="2" applyFill="1" applyAlignment="1">
      <alignment horizontal="center"/>
    </xf>
    <xf xfId="0" numFmtId="3" applyNumberFormat="1" borderId="2" applyBorder="1" fontId="7" applyFont="1" fillId="2" applyFill="1" applyAlignment="1">
      <alignment horizontal="center"/>
    </xf>
    <xf xfId="0" numFmtId="4" applyNumberFormat="1" borderId="1" applyBorder="1" fontId="1" applyFont="1" fillId="0" applyAlignment="1">
      <alignment horizontal="left" wrapText="1"/>
    </xf>
    <xf xfId="0" numFmtId="14" applyNumberFormat="1" borderId="23" applyBorder="1" fontId="1" applyFont="1" fillId="3" applyFill="1" applyAlignment="1">
      <alignment horizontal="center" wrapText="1"/>
    </xf>
    <xf xfId="0" numFmtId="166" applyNumberFormat="1" borderId="23" applyBorder="1" fontId="1" applyFont="1" fillId="3" applyFill="1" applyAlignment="1">
      <alignment horizontal="left" wrapText="1"/>
    </xf>
    <xf xfId="0" numFmtId="0" borderId="23" applyBorder="1" fontId="1" applyFont="1" fillId="3" applyFill="1" applyAlignment="1">
      <alignment horizontal="center" wrapText="1"/>
    </xf>
    <xf xfId="0" numFmtId="1" applyNumberFormat="1" borderId="23" applyBorder="1" fontId="1" applyFont="1" fillId="13" applyFill="1" applyAlignment="1">
      <alignment horizontal="center" wrapText="1"/>
    </xf>
    <xf xfId="0" numFmtId="4" applyNumberFormat="1" borderId="23" applyBorder="1" fontId="1" applyFont="1" fillId="13" applyFill="1" applyAlignment="1">
      <alignment horizontal="center" wrapText="1"/>
    </xf>
    <xf xfId="0" numFmtId="0" borderId="23" applyBorder="1" fontId="5" applyFont="1" fillId="14" applyFill="1" applyAlignment="1">
      <alignment horizontal="center" wrapText="1"/>
    </xf>
    <xf xfId="0" numFmtId="3" applyNumberFormat="1" borderId="23" applyBorder="1" fontId="1" applyFont="1" fillId="13" applyFill="1" applyAlignment="1">
      <alignment horizontal="center" wrapText="1"/>
    </xf>
    <xf xfId="0" numFmtId="0" borderId="23" applyBorder="1" fontId="1" applyFont="1" fillId="15" applyFill="1" applyAlignment="1">
      <alignment horizontal="center" wrapText="1"/>
    </xf>
    <xf xfId="0" numFmtId="0" borderId="23" applyBorder="1" fontId="1" applyFont="1" fillId="13" applyFill="1" applyAlignment="1">
      <alignment horizontal="center" wrapText="1"/>
    </xf>
    <xf xfId="0" numFmtId="0" borderId="23" applyBorder="1" fontId="1" applyFont="1" fillId="2" applyFill="1" applyAlignment="1">
      <alignment horizontal="center" wrapText="1"/>
    </xf>
    <xf xfId="0" numFmtId="0" borderId="23" applyBorder="1" fontId="5" applyFont="1" fillId="5" applyFill="1" applyAlignment="1">
      <alignment horizontal="center" wrapText="1"/>
    </xf>
    <xf xfId="0" numFmtId="4" applyNumberFormat="1" borderId="23" applyBorder="1" fontId="6" applyFont="1" fillId="13" applyFill="1" applyAlignment="1">
      <alignment horizontal="center" wrapText="1"/>
    </xf>
    <xf xfId="0" numFmtId="0" borderId="23" applyBorder="1" fontId="1" applyFont="1" fillId="0" applyAlignment="1">
      <alignment horizontal="center" wrapText="1"/>
    </xf>
    <xf xfId="0" numFmtId="14" applyNumberFormat="1" borderId="2" applyBorder="1" fontId="1" applyFont="1" fillId="3" applyFill="1" applyAlignment="1">
      <alignment horizontal="center"/>
    </xf>
    <xf xfId="0" numFmtId="166" applyNumberFormat="1" borderId="2" applyBorder="1" fontId="6" applyFont="1" fillId="3" applyFill="1" applyAlignment="1">
      <alignment horizontal="left"/>
    </xf>
    <xf xfId="0" numFmtId="0" borderId="2" applyBorder="1" fontId="6" applyFont="1" fillId="3" applyFill="1" applyAlignment="1">
      <alignment horizontal="center"/>
    </xf>
    <xf xfId="0" numFmtId="1" applyNumberFormat="1" borderId="24" applyBorder="1" fontId="1" applyFont="1" fillId="13" applyFill="1" applyAlignment="1">
      <alignment horizontal="center"/>
    </xf>
    <xf xfId="0" numFmtId="4" applyNumberFormat="1" borderId="24" applyBorder="1" fontId="1" applyFont="1" fillId="13" applyFill="1" applyAlignment="1">
      <alignment horizontal="center"/>
    </xf>
    <xf xfId="0" numFmtId="4" applyNumberFormat="1" borderId="2" applyBorder="1" fontId="1" applyFont="1" fillId="13" applyFill="1" applyAlignment="1">
      <alignment horizontal="center"/>
    </xf>
    <xf xfId="0" numFmtId="4" applyNumberFormat="1" borderId="25" applyBorder="1" fontId="5" applyFont="1" fillId="5" applyFill="1" applyAlignment="1">
      <alignment horizontal="center"/>
    </xf>
    <xf xfId="0" numFmtId="3" applyNumberFormat="1" borderId="2" applyBorder="1" fontId="1" applyFont="1" fillId="13" applyFill="1" applyAlignment="1">
      <alignment horizontal="center"/>
    </xf>
    <xf xfId="0" numFmtId="1" applyNumberFormat="1" borderId="2" applyBorder="1" fontId="1" applyFont="1" fillId="13" applyFill="1" applyAlignment="1">
      <alignment horizontal="center"/>
    </xf>
    <xf xfId="0" numFmtId="172" applyNumberFormat="1" borderId="2" applyBorder="1" fontId="1" applyFont="1" fillId="15" applyFill="1" applyAlignment="1">
      <alignment horizontal="center"/>
    </xf>
    <xf xfId="0" numFmtId="0" borderId="2" applyBorder="1" fontId="1" applyFont="1" fillId="13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66" applyNumberFormat="1" borderId="2" applyBorder="1" fontId="5" applyFont="1" fillId="5" applyFill="1" applyAlignment="1">
      <alignment horizontal="center"/>
    </xf>
    <xf xfId="0" numFmtId="0" borderId="2" applyBorder="1" fontId="5" applyFont="1" fillId="5" applyFill="1" applyAlignment="1">
      <alignment horizontal="center"/>
    </xf>
    <xf xfId="0" numFmtId="0" borderId="2" applyBorder="1" fontId="1" applyFont="1" fillId="13" applyFill="1" applyAlignment="1">
      <alignment horizontal="center"/>
    </xf>
    <xf xfId="0" numFmtId="170" applyNumberFormat="1" borderId="3" applyBorder="1" fontId="5" applyFont="1" fillId="5" applyFill="1" applyAlignment="1">
      <alignment horizontal="center"/>
    </xf>
    <xf xfId="0" numFmtId="3" applyNumberFormat="1" borderId="3" applyBorder="1" fontId="5" applyFont="1" fillId="6" applyFill="1" applyAlignment="1">
      <alignment horizontal="center"/>
    </xf>
    <xf xfId="0" numFmtId="0" borderId="3" applyBorder="1" fontId="5" applyFont="1" fillId="6" applyFill="1" applyAlignment="1">
      <alignment horizontal="center"/>
    </xf>
    <xf xfId="0" numFmtId="0" borderId="2" applyBorder="1" fontId="5" applyFont="1" fillId="6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4" applyNumberFormat="1" borderId="3" applyBorder="1" fontId="1" applyFont="1" fillId="3" applyFill="1" applyAlignment="1">
      <alignment horizontal="center"/>
    </xf>
    <xf xfId="0" numFmtId="166" applyNumberFormat="1" borderId="3" applyBorder="1" fontId="6" applyFont="1" fillId="3" applyFill="1" applyAlignment="1">
      <alignment horizontal="left"/>
    </xf>
    <xf xfId="0" numFmtId="0" borderId="3" applyBorder="1" fontId="6" applyFont="1" fillId="3" applyFill="1" applyAlignment="1">
      <alignment horizontal="center"/>
    </xf>
    <xf xfId="0" numFmtId="0" borderId="3" applyBorder="1" fontId="1" applyFont="1" fillId="3" applyFill="1" applyAlignment="1">
      <alignment horizontal="center"/>
    </xf>
    <xf xfId="0" numFmtId="1" applyNumberFormat="1" borderId="26" applyBorder="1" fontId="1" applyFont="1" fillId="13" applyFill="1" applyAlignment="1">
      <alignment horizontal="center"/>
    </xf>
    <xf xfId="0" numFmtId="4" applyNumberFormat="1" borderId="27" applyBorder="1" fontId="1" applyFont="1" fillId="13" applyFill="1" applyAlignment="1">
      <alignment horizontal="center"/>
    </xf>
    <xf xfId="0" numFmtId="4" applyNumberFormat="1" borderId="3" applyBorder="1" fontId="1" applyFont="1" fillId="13" applyFill="1" applyAlignment="1">
      <alignment horizontal="center"/>
    </xf>
    <xf xfId="0" numFmtId="4" applyNumberFormat="1" borderId="28" applyBorder="1" fontId="5" applyFont="1" fillId="5" applyFill="1" applyAlignment="1">
      <alignment horizontal="center"/>
    </xf>
    <xf xfId="0" numFmtId="3" applyNumberFormat="1" borderId="3" applyBorder="1" fontId="1" applyFont="1" fillId="13" applyFill="1" applyAlignment="1">
      <alignment horizontal="center"/>
    </xf>
    <xf xfId="0" numFmtId="3" applyNumberFormat="1" borderId="3" applyBorder="1" fontId="5" applyFont="1" fillId="5" applyFill="1" applyAlignment="1">
      <alignment horizontal="center"/>
    </xf>
    <xf xfId="0" numFmtId="1" applyNumberFormat="1" borderId="3" applyBorder="1" fontId="1" applyFont="1" fillId="13" applyFill="1" applyAlignment="1">
      <alignment horizontal="center"/>
    </xf>
    <xf xfId="0" numFmtId="172" applyNumberFormat="1" borderId="3" applyBorder="1" fontId="1" applyFont="1" fillId="15" applyFill="1" applyAlignment="1">
      <alignment horizontal="center"/>
    </xf>
    <xf xfId="0" numFmtId="0" borderId="20" applyBorder="1" fontId="1" applyFont="1" fillId="13" applyFill="1" applyAlignment="1">
      <alignment horizontal="center"/>
    </xf>
    <xf xfId="0" numFmtId="3" applyNumberFormat="1" borderId="20" applyBorder="1" fontId="1" applyFont="1" fillId="13" applyFill="1" applyAlignment="1">
      <alignment horizontal="center"/>
    </xf>
    <xf xfId="0" numFmtId="3" applyNumberFormat="1" borderId="20" applyBorder="1" fontId="1" applyFont="1" fillId="2" applyFill="1" applyAlignment="1">
      <alignment horizontal="center"/>
    </xf>
    <xf xfId="0" numFmtId="166" applyNumberFormat="1" borderId="3" applyBorder="1" fontId="5" applyFont="1" fillId="5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69" applyNumberFormat="1" borderId="3" applyBorder="1" fontId="1" applyFont="1" fillId="2" applyFill="1" applyAlignment="1">
      <alignment horizontal="center"/>
    </xf>
    <xf xfId="0" numFmtId="0" borderId="3" applyBorder="1" fontId="5" applyFont="1" fillId="5" applyFill="1" applyAlignment="1">
      <alignment horizontal="center"/>
    </xf>
    <xf xfId="0" numFmtId="0" borderId="3" applyBorder="1" fontId="1" applyFont="1" fillId="13" applyFill="1" applyAlignment="1">
      <alignment horizontal="center"/>
    </xf>
    <xf xfId="0" numFmtId="4" applyNumberFormat="1" borderId="3" applyBorder="1" fontId="1" applyFont="1" fillId="13" applyFill="1" applyAlignment="1">
      <alignment horizontal="right"/>
    </xf>
    <xf xfId="0" numFmtId="4" applyNumberFormat="1" borderId="3" applyBorder="1" fontId="1" applyFont="1" fillId="13" applyFill="1" applyAlignment="1">
      <alignment horizontal="left"/>
    </xf>
    <xf xfId="0" numFmtId="1" applyNumberFormat="1" borderId="27" applyBorder="1" fontId="1" applyFont="1" fillId="13" applyFill="1" applyAlignment="1">
      <alignment horizontal="center"/>
    </xf>
    <xf xfId="0" numFmtId="0" borderId="3" applyBorder="1" fontId="1" applyFont="1" fillId="13" applyFill="1" applyAlignment="1">
      <alignment horizontal="center"/>
    </xf>
    <xf xfId="0" numFmtId="166" applyNumberFormat="1" borderId="2" applyBorder="1" fontId="6" applyFont="1" fillId="16" applyFill="1" applyAlignment="1">
      <alignment horizontal="lef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 wrapText="1"/>
    </xf>
    <xf xfId="0" numFmtId="14" applyNumberFormat="1" borderId="2" applyBorder="1" fontId="8" applyFont="1" fillId="2" applyFill="1" applyAlignment="1">
      <alignment horizontal="center"/>
    </xf>
    <xf xfId="0" numFmtId="166" applyNumberFormat="1" borderId="2" applyBorder="1" fontId="8" applyFont="1" fillId="13" applyFill="1" applyAlignment="1">
      <alignment horizontal="center"/>
    </xf>
    <xf xfId="0" numFmtId="0" borderId="2" applyBorder="1" fontId="8" applyFont="1" fillId="2" applyFill="1" applyAlignment="1">
      <alignment horizontal="center"/>
    </xf>
    <xf xfId="0" numFmtId="1" applyNumberFormat="1" borderId="2" applyBorder="1" fontId="8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4" applyNumberFormat="1" borderId="23" applyBorder="1" fontId="8" applyFont="1" fillId="3" applyFill="1" applyAlignment="1">
      <alignment horizontal="center" wrapText="1"/>
    </xf>
    <xf xfId="0" numFmtId="166" applyNumberFormat="1" borderId="23" applyBorder="1" fontId="8" applyFont="1" fillId="3" applyFill="1" applyAlignment="1">
      <alignment horizontal="center" wrapText="1"/>
    </xf>
    <xf xfId="0" numFmtId="0" borderId="23" applyBorder="1" fontId="8" applyFont="1" fillId="3" applyFill="1" applyAlignment="1">
      <alignment horizontal="center" wrapText="1"/>
    </xf>
    <xf xfId="0" numFmtId="1" applyNumberFormat="1" borderId="23" applyBorder="1" fontId="8" applyFont="1" fillId="13" applyFill="1" applyAlignment="1">
      <alignment horizontal="center" wrapText="1"/>
    </xf>
    <xf xfId="0" numFmtId="4" applyNumberFormat="1" borderId="23" applyBorder="1" fontId="8" applyFont="1" fillId="13" applyFill="1" applyAlignment="1">
      <alignment horizontal="center" wrapText="1"/>
    </xf>
    <xf xfId="0" numFmtId="0" borderId="23" applyBorder="1" fontId="9" applyFont="1" fillId="14" applyFill="1" applyAlignment="1">
      <alignment horizontal="center" wrapText="1"/>
    </xf>
    <xf xfId="0" numFmtId="3" applyNumberFormat="1" borderId="23" applyBorder="1" fontId="8" applyFont="1" fillId="13" applyFill="1" applyAlignment="1">
      <alignment horizontal="center" wrapText="1"/>
    </xf>
    <xf xfId="0" numFmtId="0" borderId="23" applyBorder="1" fontId="8" applyFont="1" fillId="15" applyFill="1" applyAlignment="1">
      <alignment horizontal="center" wrapText="1"/>
    </xf>
    <xf xfId="0" numFmtId="0" borderId="23" applyBorder="1" fontId="8" applyFont="1" fillId="13" applyFill="1" applyAlignment="1">
      <alignment horizontal="center" wrapText="1"/>
    </xf>
    <xf xfId="0" numFmtId="0" borderId="23" applyBorder="1" fontId="8" applyFont="1" fillId="2" applyFill="1" applyAlignment="1">
      <alignment horizontal="center" wrapText="1"/>
    </xf>
    <xf xfId="0" numFmtId="0" borderId="23" applyBorder="1" fontId="9" applyFont="1" fillId="5" applyFill="1" applyAlignment="1">
      <alignment horizontal="center" wrapText="1"/>
    </xf>
    <xf xfId="0" numFmtId="0" borderId="23" applyBorder="1" fontId="10" applyFont="1" fillId="13" applyFill="1" applyAlignment="1">
      <alignment horizontal="center" wrapText="1"/>
    </xf>
    <xf xfId="0" numFmtId="4" applyNumberFormat="1" borderId="23" applyBorder="1" fontId="10" applyFont="1" fillId="13" applyFill="1" applyAlignment="1">
      <alignment horizontal="center" wrapText="1"/>
    </xf>
    <xf xfId="0" numFmtId="1" applyNumberFormat="1" borderId="23" applyBorder="1" fontId="6" applyFont="1" fillId="13" applyFill="1" applyAlignment="1">
      <alignment horizontal="center" wrapText="1"/>
    </xf>
    <xf xfId="0" numFmtId="0" borderId="2" applyBorder="1" fontId="9" applyFont="1" fillId="6" applyFill="1" applyAlignment="1">
      <alignment horizontal="center" wrapText="1"/>
    </xf>
    <xf xfId="0" numFmtId="14" applyNumberFormat="1" borderId="23" applyBorder="1" fontId="8" applyFont="1" fillId="0" applyAlignment="1">
      <alignment horizontal="center" wrapText="1"/>
    </xf>
    <xf xfId="0" numFmtId="14" applyNumberFormat="1" borderId="2" applyBorder="1" fontId="8" applyFont="1" fillId="3" applyFill="1" applyAlignment="1">
      <alignment horizontal="center"/>
    </xf>
    <xf xfId="0" numFmtId="166" applyNumberFormat="1" borderId="2" applyBorder="1" fontId="10" applyFont="1" fillId="3" applyFill="1" applyAlignment="1">
      <alignment horizontal="left"/>
    </xf>
    <xf xfId="0" numFmtId="0" borderId="2" applyBorder="1" fontId="10" applyFont="1" fillId="3" applyFill="1" applyAlignment="1">
      <alignment horizontal="center"/>
    </xf>
    <xf xfId="0" numFmtId="1" applyNumberFormat="1" borderId="24" applyBorder="1" fontId="8" applyFont="1" fillId="13" applyFill="1" applyAlignment="1">
      <alignment horizontal="center"/>
    </xf>
    <xf xfId="0" numFmtId="4" applyNumberFormat="1" borderId="24" applyBorder="1" fontId="8" applyFont="1" fillId="13" applyFill="1" applyAlignment="1">
      <alignment horizontal="center"/>
    </xf>
    <xf xfId="0" numFmtId="4" applyNumberFormat="1" borderId="2" applyBorder="1" fontId="8" applyFont="1" fillId="13" applyFill="1" applyAlignment="1">
      <alignment horizontal="center"/>
    </xf>
    <xf xfId="0" numFmtId="4" applyNumberFormat="1" borderId="25" applyBorder="1" fontId="9" applyFont="1" fillId="5" applyFill="1" applyAlignment="1">
      <alignment horizontal="center"/>
    </xf>
    <xf xfId="0" numFmtId="3" applyNumberFormat="1" borderId="2" applyBorder="1" fontId="8" applyFont="1" fillId="13" applyFill="1" applyAlignment="1">
      <alignment horizontal="center"/>
    </xf>
    <xf xfId="0" numFmtId="1" applyNumberFormat="1" borderId="2" applyBorder="1" fontId="8" applyFont="1" fillId="13" applyFill="1" applyAlignment="1">
      <alignment horizontal="center"/>
    </xf>
    <xf xfId="0" numFmtId="172" applyNumberFormat="1" borderId="2" applyBorder="1" fontId="8" applyFont="1" fillId="15" applyFill="1" applyAlignment="1">
      <alignment horizontal="center"/>
    </xf>
    <xf xfId="0" numFmtId="0" borderId="2" applyBorder="1" fontId="8" applyFont="1" fillId="13" applyFill="1" applyAlignment="1">
      <alignment horizontal="center"/>
    </xf>
    <xf xfId="0" numFmtId="166" applyNumberFormat="1" borderId="2" applyBorder="1" fontId="9" applyFont="1" fillId="5" applyFill="1" applyAlignment="1">
      <alignment horizontal="center"/>
    </xf>
    <xf xfId="0" numFmtId="169" applyNumberFormat="1" borderId="2" applyBorder="1" fontId="8" applyFont="1" fillId="2" applyFill="1" applyAlignment="1">
      <alignment horizontal="center"/>
    </xf>
    <xf xfId="0" numFmtId="0" borderId="2" applyBorder="1" fontId="9" applyFont="1" fillId="5" applyFill="1" applyAlignment="1">
      <alignment horizontal="center"/>
    </xf>
    <xf xfId="0" numFmtId="0" borderId="2" applyBorder="1" fontId="8" applyFont="1" fillId="13" applyFill="1" applyAlignment="1">
      <alignment horizontal="center"/>
    </xf>
    <xf xfId="0" numFmtId="170" applyNumberFormat="1" borderId="3" applyBorder="1" fontId="9" applyFont="1" fillId="5" applyFill="1" applyAlignment="1">
      <alignment horizontal="center"/>
    </xf>
    <xf xfId="0" numFmtId="3" applyNumberFormat="1" borderId="3" applyBorder="1" fontId="9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4" applyNumberFormat="1" borderId="3" applyBorder="1" fontId="8" applyFont="1" fillId="6" applyFill="1" applyAlignment="1">
      <alignment horizontal="center"/>
    </xf>
    <xf xfId="0" numFmtId="166" applyNumberFormat="1" borderId="3" applyBorder="1" fontId="1" applyFont="1" fillId="6" applyFill="1" applyAlignment="1">
      <alignment horizontal="left"/>
    </xf>
    <xf xfId="0" numFmtId="0" borderId="3" applyBorder="1" fontId="10" applyFont="1" fillId="6" applyFill="1" applyAlignment="1">
      <alignment horizontal="center"/>
    </xf>
    <xf xfId="0" numFmtId="0" borderId="3" applyBorder="1" fontId="8" applyFont="1" fillId="6" applyFill="1" applyAlignment="1">
      <alignment horizontal="center"/>
    </xf>
    <xf xfId="0" numFmtId="1" applyNumberFormat="1" borderId="27" applyBorder="1" fontId="8" applyFont="1" fillId="6" applyFill="1" applyAlignment="1">
      <alignment horizontal="center"/>
    </xf>
    <xf xfId="0" numFmtId="4" applyNumberFormat="1" borderId="27" applyBorder="1" fontId="8" applyFont="1" fillId="6" applyFill="1" applyAlignment="1">
      <alignment horizontal="center"/>
    </xf>
    <xf xfId="0" numFmtId="4" applyNumberFormat="1" borderId="3" applyBorder="1" fontId="8" applyFont="1" fillId="6" applyFill="1" applyAlignment="1">
      <alignment horizontal="center"/>
    </xf>
    <xf xfId="0" numFmtId="4" applyNumberFormat="1" borderId="28" applyBorder="1" fontId="9" applyFont="1" fillId="6" applyFill="1" applyAlignment="1">
      <alignment horizontal="center"/>
    </xf>
    <xf xfId="0" numFmtId="3" applyNumberFormat="1" borderId="3" applyBorder="1" fontId="8" applyFont="1" fillId="6" applyFill="1" applyAlignment="1">
      <alignment horizontal="center"/>
    </xf>
    <xf xfId="0" numFmtId="1" applyNumberFormat="1" borderId="3" applyBorder="1" fontId="8" applyFont="1" fillId="6" applyFill="1" applyAlignment="1">
      <alignment horizontal="center"/>
    </xf>
    <xf xfId="0" numFmtId="172" applyNumberFormat="1" borderId="3" applyBorder="1" fontId="8" applyFont="1" fillId="6" applyFill="1" applyAlignment="1">
      <alignment horizontal="center"/>
    </xf>
    <xf xfId="0" numFmtId="166" applyNumberFormat="1" borderId="3" applyBorder="1" fontId="9" applyFont="1" fillId="6" applyFill="1" applyAlignment="1">
      <alignment horizontal="center"/>
    </xf>
    <xf xfId="0" numFmtId="169" applyNumberFormat="1" borderId="3" applyBorder="1" fontId="8" applyFont="1" fillId="6" applyFill="1" applyAlignment="1">
      <alignment horizontal="center"/>
    </xf>
    <xf xfId="0" numFmtId="0" borderId="3" applyBorder="1" fontId="8" applyFont="1" fillId="6" applyFill="1" applyAlignment="1">
      <alignment horizontal="center"/>
    </xf>
    <xf xfId="0" numFmtId="166" applyNumberFormat="1" borderId="2" applyBorder="1" fontId="9" applyFont="1" fillId="6" applyFill="1" applyAlignment="1">
      <alignment horizontal="center"/>
    </xf>
    <xf xfId="0" numFmtId="170" applyNumberFormat="1" borderId="3" applyBorder="1" fontId="9" applyFont="1" fillId="6" applyFill="1" applyAlignment="1">
      <alignment horizontal="center"/>
    </xf>
    <xf xfId="0" numFmtId="0" borderId="3" applyBorder="1" fontId="9" applyFont="1" fillId="6" applyFill="1" applyAlignment="1">
      <alignment horizontal="center"/>
    </xf>
    <xf xfId="0" numFmtId="14" applyNumberFormat="1" borderId="3" applyBorder="1" fontId="8" applyFont="1" fillId="3" applyFill="1" applyAlignment="1">
      <alignment horizontal="center"/>
    </xf>
    <xf xfId="0" numFmtId="166" applyNumberFormat="1" borderId="3" applyBorder="1" fontId="10" applyFont="1" fillId="3" applyFill="1" applyAlignment="1">
      <alignment horizontal="center"/>
    </xf>
    <xf xfId="0" numFmtId="0" borderId="3" applyBorder="1" fontId="8" applyFont="1" fillId="3" applyFill="1" applyAlignment="1">
      <alignment horizontal="center"/>
    </xf>
    <xf xfId="0" numFmtId="1" applyNumberFormat="1" borderId="27" applyBorder="1" fontId="8" applyFont="1" fillId="13" applyFill="1" applyAlignment="1">
      <alignment horizontal="center"/>
    </xf>
    <xf xfId="0" numFmtId="4" applyNumberFormat="1" borderId="27" applyBorder="1" fontId="8" applyFont="1" fillId="13" applyFill="1" applyAlignment="1">
      <alignment horizontal="center"/>
    </xf>
    <xf xfId="0" numFmtId="4" applyNumberFormat="1" borderId="3" applyBorder="1" fontId="8" applyFont="1" fillId="13" applyFill="1" applyAlignment="1">
      <alignment horizontal="center"/>
    </xf>
    <xf xfId="0" numFmtId="4" applyNumberFormat="1" borderId="28" applyBorder="1" fontId="9" applyFont="1" fillId="5" applyFill="1" applyAlignment="1">
      <alignment horizontal="center"/>
    </xf>
    <xf xfId="0" numFmtId="3" applyNumberFormat="1" borderId="3" applyBorder="1" fontId="8" applyFont="1" fillId="13" applyFill="1" applyAlignment="1">
      <alignment horizontal="center"/>
    </xf>
    <xf xfId="0" numFmtId="3" applyNumberFormat="1" borderId="3" applyBorder="1" fontId="9" applyFont="1" fillId="5" applyFill="1" applyAlignment="1">
      <alignment horizontal="center"/>
    </xf>
    <xf xfId="0" numFmtId="1" applyNumberFormat="1" borderId="3" applyBorder="1" fontId="8" applyFont="1" fillId="13" applyFill="1" applyAlignment="1">
      <alignment horizontal="center"/>
    </xf>
    <xf xfId="0" numFmtId="172" applyNumberFormat="1" borderId="3" applyBorder="1" fontId="8" applyFont="1" fillId="15" applyFill="1" applyAlignment="1">
      <alignment horizontal="center"/>
    </xf>
    <xf xfId="0" numFmtId="0" borderId="3" applyBorder="1" fontId="8" applyFont="1" fillId="13" applyFill="1" applyAlignment="1">
      <alignment horizontal="center"/>
    </xf>
    <xf xfId="0" numFmtId="3" applyNumberFormat="1" borderId="3" applyBorder="1" fontId="8" applyFont="1" fillId="2" applyFill="1" applyAlignment="1">
      <alignment horizontal="center"/>
    </xf>
    <xf xfId="0" numFmtId="166" applyNumberFormat="1" borderId="3" applyBorder="1" fontId="9" applyFont="1" fillId="5" applyFill="1" applyAlignment="1">
      <alignment horizontal="center"/>
    </xf>
    <xf xfId="0" numFmtId="1" applyNumberFormat="1" borderId="3" applyBorder="1" fontId="8" applyFont="1" fillId="2" applyFill="1" applyAlignment="1">
      <alignment horizontal="center"/>
    </xf>
    <xf xfId="0" numFmtId="169" applyNumberFormat="1" borderId="3" applyBorder="1" fontId="8" applyFont="1" fillId="2" applyFill="1" applyAlignment="1">
      <alignment horizontal="center"/>
    </xf>
    <xf xfId="0" numFmtId="0" borderId="3" applyBorder="1" fontId="9" applyFont="1" fillId="5" applyFill="1" applyAlignment="1">
      <alignment horizontal="center"/>
    </xf>
    <xf xfId="0" numFmtId="0" borderId="3" applyBorder="1" fontId="8" applyFont="1" fillId="13" applyFill="1" applyAlignment="1">
      <alignment horizontal="center"/>
    </xf>
    <xf xfId="0" numFmtId="166" applyNumberFormat="1" borderId="2" applyBorder="1" fontId="10" applyFont="1" fillId="3" applyFill="1" applyAlignment="1">
      <alignment horizontal="center"/>
    </xf>
    <xf xfId="0" numFmtId="0" borderId="2" applyBorder="1" fontId="9" applyFont="1" fillId="6" applyFill="1" applyAlignment="1">
      <alignment horizontal="center"/>
    </xf>
    <xf xfId="0" numFmtId="14" applyNumberFormat="1" borderId="1" applyBorder="1" fontId="8" applyFont="1" fillId="0" applyAlignment="1">
      <alignment horizontal="center"/>
    </xf>
    <xf xfId="0" numFmtId="1" applyNumberFormat="1" borderId="3" applyBorder="1" fontId="8" applyFont="1" fillId="3" applyFill="1" applyAlignment="1">
      <alignment horizontal="center"/>
    </xf>
    <xf xfId="0" numFmtId="0" borderId="2" applyBorder="1" fontId="7" applyFont="1" fillId="2" applyFill="1" applyAlignment="1">
      <alignment horizontal="center" wrapText="1"/>
    </xf>
    <xf xfId="0" numFmtId="0" borderId="29" applyBorder="1" fontId="1" applyFont="1" fillId="3" applyFill="1" applyAlignment="1">
      <alignment horizontal="center" wrapText="1"/>
    </xf>
    <xf xfId="0" numFmtId="14" applyNumberFormat="1" borderId="23" applyBorder="1" fontId="1" applyFont="1" fillId="0" applyAlignment="1">
      <alignment horizontal="center" wrapText="1"/>
    </xf>
    <xf xfId="0" numFmtId="166" applyNumberFormat="1" borderId="13" applyBorder="1" fontId="6" applyFont="1" fillId="3" applyFill="1" applyAlignment="1">
      <alignment horizontal="left"/>
    </xf>
    <xf xfId="0" numFmtId="0" borderId="30" applyBorder="1" fontId="6" applyFont="1" fillId="3" applyFill="1" applyAlignment="1">
      <alignment horizontal="left"/>
    </xf>
    <xf xfId="0" numFmtId="0" borderId="31" applyBorder="1" fontId="6" applyFont="1" fillId="3" applyFill="1" applyAlignment="1">
      <alignment horizontal="left"/>
    </xf>
    <xf xfId="0" numFmtId="4" applyNumberFormat="1" borderId="2" applyBorder="1" fontId="1" applyFont="1" fillId="17" applyFill="1" applyAlignment="1">
      <alignment horizontal="center"/>
    </xf>
    <xf xfId="0" numFmtId="166" applyNumberFormat="1" borderId="13" applyBorder="1" fontId="6" applyFont="1" fillId="16" applyFill="1" applyAlignment="1">
      <alignment horizontal="left"/>
    </xf>
    <xf xfId="0" numFmtId="4" applyNumberFormat="1" borderId="2" applyBorder="1" fontId="1" applyFont="1" fillId="13" applyFill="1" applyAlignment="1">
      <alignment horizontal="right"/>
    </xf>
    <xf xfId="0" numFmtId="0" borderId="31" applyBorder="1" fontId="6" applyFont="1" fillId="3" applyFill="1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166" applyNumberFormat="1" borderId="32" applyBorder="1" fontId="6" applyFont="1" fillId="3" applyFill="1" applyAlignment="1">
      <alignment horizontal="left"/>
    </xf>
    <xf xfId="0" numFmtId="0" borderId="33" applyBorder="1" fontId="1" applyFont="1" fillId="3" applyFill="1" applyAlignment="1">
      <alignment horizontal="center"/>
    </xf>
    <xf xfId="0" numFmtId="0" borderId="31" applyBorder="1" fontId="1" applyFont="1" fillId="3" applyFill="1" applyAlignment="1">
      <alignment horizontal="center"/>
    </xf>
    <xf xfId="0" numFmtId="166" applyNumberFormat="1" borderId="2" applyBorder="1" fontId="5" applyFont="1" fillId="18" applyFill="1" applyAlignment="1">
      <alignment horizontal="center"/>
    </xf>
    <xf xfId="0" numFmtId="0" borderId="33" applyBorder="1" fontId="6" applyFont="1" fillId="3" applyFill="1" applyAlignment="1">
      <alignment horizontal="center"/>
    </xf>
    <xf xfId="0" numFmtId="4" applyNumberFormat="1" borderId="3" applyBorder="1" fontId="1" applyFont="1" fillId="17" applyFill="1" applyAlignment="1">
      <alignment horizontal="center"/>
    </xf>
    <xf xfId="0" numFmtId="14" applyNumberFormat="1" borderId="2" applyBorder="1" fontId="8" applyFont="1" fillId="10" applyFill="1" applyAlignment="1">
      <alignment horizontal="center"/>
    </xf>
    <xf xfId="0" numFmtId="166" applyNumberFormat="1" borderId="2" applyBorder="1" fontId="8" applyFont="1" fillId="13" applyFill="1" applyAlignment="1">
      <alignment horizontal="left"/>
    </xf>
    <xf xfId="0" numFmtId="0" borderId="2" applyBorder="1" fontId="8" applyFont="1" fillId="10" applyFill="1" applyAlignment="1">
      <alignment horizontal="center"/>
    </xf>
    <xf xfId="0" numFmtId="1" applyNumberFormat="1" borderId="2" applyBorder="1" fontId="8" applyFont="1" fillId="10" applyFill="1" applyAlignment="1">
      <alignment horizontal="center"/>
    </xf>
    <xf xfId="0" numFmtId="4" applyNumberFormat="1" borderId="2" applyBorder="1" fontId="8" applyFont="1" fillId="10" applyFill="1" applyAlignment="1">
      <alignment horizontal="center"/>
    </xf>
    <xf xfId="0" numFmtId="3" applyNumberFormat="1" borderId="2" applyBorder="1" fontId="8" applyFont="1" fillId="10" applyFill="1" applyAlignment="1">
      <alignment horizontal="center"/>
    </xf>
    <xf xfId="0" numFmtId="166" applyNumberFormat="1" borderId="23" applyBorder="1" fontId="8" applyFont="1" fillId="3" applyFill="1" applyAlignment="1">
      <alignment horizontal="left" wrapText="1"/>
    </xf>
    <xf xfId="0" numFmtId="3" applyNumberFormat="1" borderId="23" applyBorder="1" fontId="6" applyFont="1" fillId="13" applyFill="1" applyAlignment="1">
      <alignment horizontal="center" wrapText="1"/>
    </xf>
    <xf xfId="0" numFmtId="3" applyNumberFormat="1" borderId="2" applyBorder="1" fontId="8" applyFont="1" fillId="15" applyFill="1" applyAlignment="1">
      <alignment horizontal="center"/>
    </xf>
    <xf xfId="0" numFmtId="14" applyNumberFormat="1" borderId="2" applyBorder="1" fontId="3" applyFont="1" fillId="8" applyFill="1" applyAlignment="1">
      <alignment horizontal="center"/>
    </xf>
    <xf xfId="0" numFmtId="166" applyNumberFormat="1" borderId="2" applyBorder="1" fontId="5" applyFont="1" fillId="8" applyFill="1" applyAlignment="1">
      <alignment horizontal="left"/>
    </xf>
    <xf xfId="0" numFmtId="0" borderId="2" applyBorder="1" fontId="3" applyFont="1" fillId="8" applyFill="1" applyAlignment="1">
      <alignment horizontal="center"/>
    </xf>
    <xf xfId="0" numFmtId="1" applyNumberFormat="1" borderId="2" applyBorder="1" fontId="3" applyFont="1" fillId="8" applyFill="1" applyAlignment="1">
      <alignment horizontal="center"/>
    </xf>
    <xf xfId="0" numFmtId="4" applyNumberFormat="1" borderId="2" applyBorder="1" fontId="3" applyFont="1" fillId="8" applyFill="1" applyAlignment="1">
      <alignment horizontal="center"/>
    </xf>
    <xf xfId="0" numFmtId="3" applyNumberFormat="1" borderId="2" applyBorder="1" fontId="3" applyFont="1" fillId="8" applyFill="1" applyAlignment="1">
      <alignment horizontal="center"/>
    </xf>
    <xf xfId="0" numFmtId="4" applyNumberFormat="1" borderId="2" applyBorder="1" fontId="6" applyFont="1" fillId="13" applyFill="1" applyAlignment="1">
      <alignment horizontal="left" wrapText="1"/>
    </xf>
    <xf xfId="0" numFmtId="1" applyNumberFormat="1" borderId="23" applyBorder="1" fontId="5" applyFont="1" fillId="5" applyFill="1" applyAlignment="1">
      <alignment horizontal="center" wrapText="1"/>
    </xf>
    <xf xfId="0" numFmtId="0" borderId="23" applyBorder="1" fontId="5" applyFont="1" fillId="6" applyFill="1" applyAlignment="1">
      <alignment horizontal="center" wrapText="1"/>
    </xf>
    <xf xfId="0" numFmtId="1" applyNumberFormat="1" borderId="2" applyBorder="1" fontId="1" applyFont="1" fillId="17" applyFill="1" applyAlignment="1">
      <alignment horizontal="center"/>
    </xf>
    <xf xfId="0" numFmtId="14" applyNumberFormat="1" borderId="2" applyBorder="1" fontId="5" applyFont="1" fillId="6" applyFill="1" applyAlignment="1">
      <alignment horizontal="center"/>
    </xf>
    <xf xfId="0" numFmtId="166" applyNumberFormat="1" borderId="2" applyBorder="1" fontId="11" applyFont="1" fillId="6" applyFill="1" applyAlignment="1">
      <alignment horizontal="left"/>
    </xf>
    <xf xfId="0" numFmtId="0" borderId="2" applyBorder="1" fontId="11" applyFont="1" fillId="6" applyFill="1" applyAlignment="1">
      <alignment horizontal="center"/>
    </xf>
    <xf xfId="0" numFmtId="0" borderId="2" applyBorder="1" fontId="5" applyFont="1" fillId="6" applyFill="1" applyAlignment="1">
      <alignment horizontal="center"/>
    </xf>
    <xf xfId="0" numFmtId="1" applyNumberFormat="1" borderId="24" applyBorder="1" fontId="5" applyFont="1" fillId="6" applyFill="1" applyAlignment="1">
      <alignment horizontal="center"/>
    </xf>
    <xf xfId="0" numFmtId="4" applyNumberFormat="1" borderId="24" applyBorder="1" fontId="5" applyFont="1" fillId="6" applyFill="1" applyAlignment="1">
      <alignment horizontal="center"/>
    </xf>
    <xf xfId="0" numFmtId="4" applyNumberFormat="1" borderId="2" applyBorder="1" fontId="5" applyFont="1" fillId="6" applyFill="1" applyAlignment="1">
      <alignment horizontal="center"/>
    </xf>
    <xf xfId="0" numFmtId="4" applyNumberFormat="1" borderId="25" applyBorder="1" fontId="5" applyFont="1" fillId="6" applyFill="1" applyAlignment="1">
      <alignment horizontal="center"/>
    </xf>
    <xf xfId="0" numFmtId="1" applyNumberFormat="1" borderId="2" applyBorder="1" fontId="5" applyFont="1" fillId="6" applyFill="1" applyAlignment="1">
      <alignment horizontal="center"/>
    </xf>
    <xf xfId="0" numFmtId="172" applyNumberFormat="1" borderId="2" applyBorder="1" fontId="5" applyFont="1" fillId="6" applyFill="1" applyAlignment="1">
      <alignment horizontal="center"/>
    </xf>
    <xf xfId="0" numFmtId="166" applyNumberFormat="1" borderId="2" applyBorder="1" fontId="5" applyFont="1" fillId="6" applyFill="1" applyAlignment="1">
      <alignment horizontal="center"/>
    </xf>
    <xf xfId="0" numFmtId="169" applyNumberFormat="1" borderId="2" applyBorder="1" fontId="5" applyFont="1" fillId="6" applyFill="1" applyAlignment="1">
      <alignment horizontal="center"/>
    </xf>
    <xf xfId="0" numFmtId="170" applyNumberFormat="1" borderId="3" applyBorder="1" fontId="5" applyFont="1" fillId="6" applyFill="1" applyAlignment="1">
      <alignment horizontal="center"/>
    </xf>
    <xf xfId="0" numFmtId="166" applyNumberFormat="1" borderId="2" applyBorder="1" fontId="1" applyFont="1" fillId="3" applyFill="1" applyAlignment="1">
      <alignment horizontal="left"/>
    </xf>
    <xf xfId="0" numFmtId="1" applyNumberFormat="1" borderId="0" fontId="0" fillId="0" applyAlignment="1">
      <alignment horizontal="center"/>
    </xf>
    <xf xfId="0" numFmtId="14" applyNumberFormat="1" borderId="2" applyBorder="1" fontId="3" applyFont="1" fillId="6" applyFill="1" applyAlignment="1">
      <alignment horizontal="center"/>
    </xf>
    <xf xfId="0" numFmtId="166" applyNumberFormat="1" borderId="2" applyBorder="1" fontId="5" applyFont="1" fillId="5" applyFill="1" applyAlignment="1">
      <alignment horizontal="left"/>
    </xf>
    <xf xfId="0" numFmtId="1" applyNumberFormat="1" borderId="2" applyBorder="1" fontId="3" applyFont="1" fillId="6" applyFill="1" applyAlignment="1">
      <alignment horizontal="center"/>
    </xf>
    <xf xfId="0" numFmtId="4" applyNumberFormat="1" borderId="2" applyBorder="1" fontId="3" applyFont="1" fillId="6" applyFill="1" applyAlignment="1">
      <alignment horizontal="center"/>
    </xf>
    <xf xfId="0" numFmtId="3" applyNumberFormat="1" borderId="2" applyBorder="1" fontId="3" applyFont="1" fillId="6" applyFill="1" applyAlignment="1">
      <alignment horizontal="center"/>
    </xf>
    <xf xfId="0" numFmtId="0" borderId="30" applyBorder="1" fontId="1" applyFont="1" fillId="13" applyFill="1" applyAlignment="1">
      <alignment horizontal="center" wrapText="1"/>
    </xf>
    <xf xfId="0" numFmtId="0" borderId="2" applyBorder="1" fontId="6" applyFont="1" fillId="13" applyFill="1" applyAlignment="1">
      <alignment horizontal="left" wrapText="1"/>
    </xf>
    <xf xfId="0" numFmtId="0" borderId="23" applyBorder="1" fontId="6" applyFont="1" fillId="13" applyFill="1" applyAlignment="1">
      <alignment horizontal="center" wrapText="1"/>
    </xf>
    <xf xfId="0" numFmtId="7" applyNumberFormat="1" borderId="23" applyBorder="1" fontId="6" applyFont="1" fillId="13" applyFill="1" applyAlignment="1">
      <alignment horizontal="center" wrapText="1"/>
    </xf>
    <xf xfId="0" numFmtId="14" applyNumberFormat="1" borderId="1" applyBorder="1" fontId="1" applyFont="1" fillId="0" applyAlignment="1">
      <alignment horizontal="left" wrapText="1"/>
    </xf>
    <xf xfId="0" numFmtId="173" applyNumberFormat="1" borderId="28" applyBorder="1" fontId="5" applyFont="1" fillId="5" applyFill="1" applyAlignment="1">
      <alignment horizontal="center"/>
    </xf>
    <xf xfId="0" numFmtId="0" borderId="3" applyBorder="1" fontId="1" applyFont="1" fillId="13" applyFill="1" applyAlignment="1">
      <alignment horizontal="right"/>
    </xf>
    <xf xfId="0" numFmtId="0" borderId="3" applyBorder="1" fontId="1" applyFont="1" fillId="13" applyFill="1" applyAlignment="1">
      <alignment horizontal="right"/>
    </xf>
    <xf xfId="0" numFmtId="4" applyNumberFormat="1" borderId="9" applyBorder="1" fontId="1" applyFont="1" fillId="13" applyFill="1" applyAlignment="1">
      <alignment horizontal="right"/>
    </xf>
    <xf xfId="0" numFmtId="4" applyNumberFormat="1" borderId="9" applyBorder="1" fontId="1" applyFont="1" fillId="19" applyFill="1" applyAlignment="1">
      <alignment horizontal="right"/>
    </xf>
    <xf xfId="0" numFmtId="7" applyNumberFormat="1" borderId="9" applyBorder="1" fontId="1" applyFont="1" fillId="19" applyFill="1" applyAlignment="1">
      <alignment horizontal="right"/>
    </xf>
    <xf xfId="0" numFmtId="1" applyNumberFormat="1" borderId="9" applyBorder="1" fontId="1" applyFont="1" fillId="19" applyFill="1" applyAlignment="1">
      <alignment horizontal="right"/>
    </xf>
    <xf xfId="0" numFmtId="173" applyNumberFormat="1" borderId="25" applyBorder="1" fontId="5" applyFont="1" fillId="5" applyFill="1" applyAlignment="1">
      <alignment horizontal="center"/>
    </xf>
    <xf xfId="0" numFmtId="0" borderId="2" applyBorder="1" fontId="1" applyFont="1" fillId="13" applyFill="1" applyAlignment="1">
      <alignment horizontal="right"/>
    </xf>
    <xf xfId="0" numFmtId="0" borderId="2" applyBorder="1" fontId="1" applyFont="1" fillId="13" applyFill="1" applyAlignment="1">
      <alignment horizontal="right"/>
    </xf>
    <xf xfId="0" numFmtId="3" applyNumberFormat="1" borderId="2" applyBorder="1" fontId="1" applyFont="1" fillId="13" applyFill="1" applyAlignment="1">
      <alignment horizontal="right"/>
    </xf>
    <xf xfId="0" numFmtId="7" applyNumberFormat="1" borderId="2" applyBorder="1" fontId="1" applyFont="1" fillId="13" applyFill="1" applyAlignment="1">
      <alignment horizontal="right"/>
    </xf>
    <xf xfId="0" numFmtId="1" applyNumberFormat="1" borderId="2" applyBorder="1" fontId="1" applyFont="1" fillId="13" applyFill="1" applyAlignment="1">
      <alignment horizontal="right"/>
    </xf>
    <xf xfId="0" numFmtId="173" applyNumberFormat="1" borderId="25" applyBorder="1" fontId="5" applyFont="1" fillId="6" applyFill="1" applyAlignment="1">
      <alignment horizontal="center"/>
    </xf>
    <xf xfId="0" numFmtId="0" borderId="2" applyBorder="1" fontId="5" applyFont="1" fillId="6" applyFill="1" applyAlignment="1">
      <alignment horizontal="right"/>
    </xf>
    <xf xfId="0" numFmtId="0" borderId="2" applyBorder="1" fontId="5" applyFont="1" fillId="6" applyFill="1" applyAlignment="1">
      <alignment horizontal="right"/>
    </xf>
    <xf xfId="0" numFmtId="4" applyNumberFormat="1" borderId="2" applyBorder="1" fontId="5" applyFont="1" fillId="6" applyFill="1" applyAlignment="1">
      <alignment horizontal="right"/>
    </xf>
    <xf xfId="0" numFmtId="3" applyNumberFormat="1" borderId="2" applyBorder="1" fontId="5" applyFont="1" fillId="6" applyFill="1" applyAlignment="1">
      <alignment horizontal="right"/>
    </xf>
    <xf xfId="0" numFmtId="7" applyNumberFormat="1" borderId="2" applyBorder="1" fontId="5" applyFont="1" fillId="6" applyFill="1" applyAlignment="1">
      <alignment horizontal="right"/>
    </xf>
    <xf xfId="0" numFmtId="1" applyNumberFormat="1" borderId="2" applyBorder="1" fontId="5" applyFont="1" fillId="6" applyFill="1" applyAlignment="1">
      <alignment horizontal="right"/>
    </xf>
    <xf xfId="0" numFmtId="166" applyNumberFormat="1" borderId="3" applyBorder="1" fontId="5" applyFont="1" fillId="6" applyFill="1" applyAlignment="1">
      <alignment horizontal="center"/>
    </xf>
    <xf xfId="0" numFmtId="7" applyNumberFormat="1" borderId="3" applyBorder="1" fontId="1" applyFont="1" fillId="13" applyFill="1" applyAlignment="1">
      <alignment horizontal="right"/>
    </xf>
    <xf xfId="0" numFmtId="1" applyNumberFormat="1" borderId="3" applyBorder="1" fontId="1" applyFont="1" fillId="13" applyFill="1" applyAlignment="1">
      <alignment horizontal="right"/>
    </xf>
    <xf xfId="0" numFmtId="14" applyNumberFormat="1" borderId="2" applyBorder="1" fontId="1" applyFont="1" fillId="6" applyFill="1" applyAlignment="1">
      <alignment horizontal="center"/>
    </xf>
    <xf xfId="0" numFmtId="166" applyNumberFormat="1" borderId="2" applyBorder="1" fontId="6" applyFont="1" fillId="6" applyFill="1" applyAlignment="1">
      <alignment horizontal="left"/>
    </xf>
    <xf xfId="0" numFmtId="0" borderId="2" applyBorder="1" fontId="6" applyFont="1" fillId="6" applyFill="1" applyAlignment="1">
      <alignment horizontal="center"/>
    </xf>
    <xf xfId="0" numFmtId="0" borderId="2" applyBorder="1" fontId="1" applyFont="1" fillId="6" applyFill="1" applyAlignment="1">
      <alignment horizontal="center"/>
    </xf>
    <xf xfId="0" numFmtId="1" applyNumberFormat="1" borderId="24" applyBorder="1" fontId="1" applyFont="1" fillId="6" applyFill="1" applyAlignment="1">
      <alignment horizontal="center"/>
    </xf>
    <xf xfId="0" numFmtId="4" applyNumberFormat="1" borderId="24" applyBorder="1" fontId="1" applyFont="1" fillId="6" applyFill="1" applyAlignment="1">
      <alignment horizontal="center"/>
    </xf>
    <xf xfId="0" numFmtId="4" applyNumberFormat="1" borderId="2" applyBorder="1" fontId="1" applyFont="1" fillId="6" applyFill="1" applyAlignment="1">
      <alignment horizontal="center"/>
    </xf>
    <xf xfId="0" numFmtId="3" applyNumberFormat="1" borderId="2" applyBorder="1" fontId="1" applyFont="1" fillId="6" applyFill="1" applyAlignment="1">
      <alignment horizontal="center"/>
    </xf>
    <xf xfId="0" numFmtId="1" applyNumberFormat="1" borderId="2" applyBorder="1" fontId="1" applyFont="1" fillId="6" applyFill="1" applyAlignment="1">
      <alignment horizontal="center"/>
    </xf>
    <xf xfId="0" numFmtId="172" applyNumberFormat="1" borderId="2" applyBorder="1" fontId="1" applyFont="1" fillId="6" applyFill="1" applyAlignment="1">
      <alignment horizontal="center"/>
    </xf>
    <xf xfId="0" numFmtId="169" applyNumberFormat="1" borderId="2" applyBorder="1" fontId="1" applyFont="1" fillId="6" applyFill="1" applyAlignment="1">
      <alignment horizontal="center"/>
    </xf>
    <xf xfId="0" numFmtId="0" borderId="2" applyBorder="1" fontId="1" applyFont="1" fillId="6" applyFill="1" applyAlignment="1">
      <alignment horizontal="right"/>
    </xf>
    <xf xfId="0" numFmtId="0" borderId="2" applyBorder="1" fontId="1" applyFont="1" fillId="6" applyFill="1" applyAlignment="1">
      <alignment horizontal="right"/>
    </xf>
    <xf xfId="0" numFmtId="4" applyNumberFormat="1" borderId="2" applyBorder="1" fontId="1" applyFont="1" fillId="6" applyFill="1" applyAlignment="1">
      <alignment horizontal="right"/>
    </xf>
    <xf xfId="0" numFmtId="7" applyNumberFormat="1" borderId="2" applyBorder="1" fontId="1" applyFont="1" fillId="6" applyFill="1" applyAlignment="1">
      <alignment horizontal="right"/>
    </xf>
    <xf xfId="0" numFmtId="1" applyNumberFormat="1" borderId="2" applyBorder="1" fontId="1" applyFont="1" fillId="6" applyFill="1" applyAlignment="1">
      <alignment horizontal="right"/>
    </xf>
    <xf xfId="0" numFmtId="7" applyNumberFormat="1" borderId="2" applyBorder="1" fontId="1" applyFont="1" fillId="13" applyFill="1" applyAlignment="1">
      <alignment horizontal="center"/>
    </xf>
    <xf xfId="0" numFmtId="7" applyNumberFormat="1" borderId="3" applyBorder="1" fontId="1" applyFont="1" fillId="13" applyFill="1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0" borderId="2" applyBorder="1" fontId="6" applyFont="1" fillId="3" applyFill="1" applyAlignment="1">
      <alignment horizontal="left"/>
    </xf>
    <xf xfId="0" numFmtId="166" applyNumberFormat="1" borderId="3" applyBorder="1" fontId="1" applyFont="1" fillId="3" applyFill="1" applyAlignment="1">
      <alignment horizontal="left"/>
    </xf>
    <xf xfId="0" numFmtId="7" applyNumberFormat="1" borderId="1" applyBorder="1" fontId="1" applyFont="1" fillId="0" applyAlignment="1">
      <alignment horizontal="right"/>
    </xf>
    <xf xfId="0" numFmtId="7" applyNumberFormat="1" borderId="0" fontId="0" fillId="0" applyAlignment="1">
      <alignment horizontal="right"/>
    </xf>
    <xf xfId="0" numFmtId="171" applyNumberFormat="1" borderId="11" applyBorder="1" fontId="1" applyFont="1" fillId="0" applyAlignment="1">
      <alignment horizontal="center" wrapText="1"/>
    </xf>
    <xf xfId="0" numFmtId="3" applyNumberFormat="1" borderId="11" applyBorder="1" fontId="1" applyFont="1" fillId="0" applyAlignment="1">
      <alignment horizontal="center" wrapText="1"/>
    </xf>
    <xf xfId="0" numFmtId="7" applyNumberFormat="1" borderId="11" applyBorder="1" fontId="1" applyFont="1" fillId="0" applyAlignment="1">
      <alignment horizontal="center" wrapText="1"/>
    </xf>
    <xf xfId="0" numFmtId="14" applyNumberFormat="1" borderId="1" applyBorder="1" fontId="1" applyFont="1" fillId="0" applyAlignment="1">
      <alignment horizontal="right"/>
    </xf>
    <xf xfId="0" numFmtId="171" applyNumberFormat="1" borderId="2" applyBorder="1" fontId="1" applyFont="1" fillId="13" applyFill="1" applyAlignment="1">
      <alignment horizontal="right"/>
    </xf>
    <xf xfId="0" numFmtId="171" applyNumberFormat="1" borderId="2" applyBorder="1" fontId="1" applyFont="1" fillId="3" applyFill="1" applyAlignment="1">
      <alignment horizontal="right"/>
    </xf>
    <xf xfId="0" numFmtId="171" applyNumberFormat="1" borderId="16" applyBorder="1" fontId="1" applyFont="1" fillId="0" applyAlignment="1">
      <alignment horizontal="right"/>
    </xf>
    <xf xfId="0" numFmtId="171" applyNumberFormat="1" borderId="17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171" applyNumberFormat="1" borderId="2" applyBorder="1" fontId="1" applyFont="1" fillId="2" applyFill="1" applyAlignment="1">
      <alignment horizontal="right"/>
    </xf>
    <xf xfId="0" numFmtId="171" applyNumberFormat="1" borderId="0" fontId="0" fillId="0" applyAlignment="1">
      <alignment horizontal="right"/>
    </xf>
    <xf xfId="0" numFmtId="0" borderId="3" applyBorder="1" fontId="1" applyFont="1" fillId="5" applyFill="1" applyAlignment="1">
      <alignment horizontal="left" wrapText="1"/>
    </xf>
    <xf xfId="0" numFmtId="0" borderId="3" applyBorder="1" fontId="1" applyFont="1" fillId="5" applyFill="1" applyAlignment="1">
      <alignment horizontal="center" wrapText="1"/>
    </xf>
    <xf xfId="0" numFmtId="171" applyNumberFormat="1" borderId="2" applyBorder="1" fontId="8" applyFont="1" fillId="3" applyFill="1" applyAlignment="1">
      <alignment horizontal="right"/>
    </xf>
    <xf xfId="0" numFmtId="171" applyNumberFormat="1" borderId="2" applyBorder="1" fontId="8" applyFont="1" fillId="20" applyFill="1" applyAlignment="1">
      <alignment horizontal="right"/>
    </xf>
    <xf xfId="0" numFmtId="0" borderId="11" applyBorder="1" fontId="1" applyFont="1" fillId="0" applyAlignment="1">
      <alignment horizontal="left"/>
    </xf>
    <xf xfId="0" numFmtId="171" applyNumberFormat="1" borderId="11" applyBorder="1" fontId="8" applyFont="1" fillId="0" applyAlignment="1">
      <alignment horizontal="right"/>
    </xf>
    <xf xfId="0" numFmtId="0" borderId="2" applyBorder="1" fontId="5" applyFont="1" fillId="14" applyFill="1" applyAlignment="1">
      <alignment horizontal="left"/>
    </xf>
    <xf xfId="0" numFmtId="166" applyNumberFormat="1" borderId="3" applyBorder="1" fontId="1" applyFont="1" fillId="13" applyFill="1" applyAlignment="1">
      <alignment horizontal="center" wrapText="1"/>
    </xf>
    <xf xfId="0" numFmtId="166" applyNumberFormat="1" borderId="2" applyBorder="1" fontId="1" applyFont="1" fillId="13" applyFill="1" applyAlignment="1">
      <alignment horizontal="right"/>
    </xf>
    <xf xfId="0" numFmtId="166" applyNumberFormat="1" borderId="11" applyBorder="1" fontId="8" applyFont="1" fillId="0" applyAlignment="1">
      <alignment horizontal="left" wrapText="1"/>
    </xf>
    <xf xfId="0" numFmtId="170" applyNumberFormat="1" borderId="2" applyBorder="1" fontId="12" applyFont="1" fillId="3" applyFill="1" applyAlignment="1">
      <alignment horizontal="center"/>
    </xf>
    <xf xfId="0" numFmtId="3" applyNumberFormat="1" borderId="20" applyBorder="1" fontId="7" applyFont="1" fillId="2" applyFill="1" applyAlignment="1">
      <alignment horizontal="center"/>
    </xf>
    <xf xfId="0" numFmtId="169" applyNumberFormat="1" borderId="20" applyBorder="1" fontId="1" applyFont="1" fillId="2" applyFill="1" applyAlignment="1">
      <alignment horizontal="right"/>
    </xf>
    <xf xfId="0" numFmtId="169" applyNumberFormat="1" borderId="21" applyBorder="1" fontId="1" applyFont="1" fillId="2" applyFill="1" applyAlignment="1">
      <alignment horizontal="right"/>
    </xf>
    <xf xfId="0" numFmtId="3" applyNumberFormat="1" borderId="19" applyBorder="1" fontId="7" applyFont="1" fillId="2" applyFill="1" applyAlignment="1">
      <alignment horizontal="center"/>
    </xf>
    <xf xfId="0" numFmtId="3" applyNumberFormat="1" borderId="19" applyBorder="1" fontId="3" applyFont="1" fillId="5" applyFill="1" applyAlignment="1">
      <alignment horizontal="center"/>
    </xf>
    <xf xfId="0" numFmtId="3" applyNumberFormat="1" borderId="21" applyBorder="1" fontId="3" applyFont="1" fillId="5" applyFill="1" applyAlignment="1">
      <alignment horizontal="center"/>
    </xf>
    <xf xfId="0" numFmtId="3" applyNumberFormat="1" borderId="21" applyBorder="1" fontId="7" applyFont="1" fillId="2" applyFill="1" applyAlignment="1">
      <alignment horizontal="center"/>
    </xf>
    <xf xfId="0" numFmtId="0" borderId="34" applyBorder="1" fontId="6" applyFont="1" fillId="3" applyFill="1" applyAlignment="1">
      <alignment horizontal="left"/>
    </xf>
    <xf xfId="0" numFmtId="169" applyNumberFormat="1" borderId="35" applyBorder="1" fontId="1" applyFont="1" fillId="3" applyFill="1" applyAlignment="1">
      <alignment horizontal="center"/>
    </xf>
    <xf xfId="0" numFmtId="166" applyNumberFormat="1" borderId="2" applyBorder="1" fontId="1" applyFont="1" fillId="2" applyFill="1" applyAlignment="1">
      <alignment horizontal="center"/>
    </xf>
    <xf xfId="0" numFmtId="0" borderId="12" applyBorder="1" fontId="1" applyFont="1" fillId="3" applyFill="1" applyAlignment="1">
      <alignment horizontal="left"/>
    </xf>
    <xf xfId="0" numFmtId="0" borderId="2" applyBorder="1" fontId="4" applyFont="1" fillId="21" applyFill="1" applyAlignment="1">
      <alignment horizontal="center" wrapText="1"/>
    </xf>
    <xf xfId="0" numFmtId="3" applyNumberFormat="1" borderId="2" applyBorder="1" fontId="1" applyFont="1" fillId="21" applyFill="1" applyAlignment="1">
      <alignment horizontal="center"/>
    </xf>
    <xf xfId="0" numFmtId="0" borderId="19" applyBorder="1" fontId="1" applyFont="1" fillId="3" applyFill="1" applyAlignment="1">
      <alignment horizontal="left"/>
    </xf>
    <xf xfId="0" numFmtId="0" borderId="20" applyBorder="1" fontId="1" applyFont="1" fillId="3" applyFill="1" applyAlignment="1">
      <alignment horizontal="left"/>
    </xf>
    <xf xfId="0" numFmtId="0" borderId="2" applyBorder="1" fontId="1" applyFont="1" fillId="2" applyFill="1" applyAlignment="1">
      <alignment horizontal="center"/>
    </xf>
    <xf xfId="0" numFmtId="170" applyNumberFormat="1" borderId="1" applyBorder="1" fontId="1" applyFont="1" fillId="0" applyAlignment="1">
      <alignment horizontal="center"/>
    </xf>
    <xf xfId="0" numFmtId="0" borderId="2" applyBorder="1" fontId="1" applyFont="1" fillId="21" applyFill="1" applyAlignment="1">
      <alignment horizontal="center"/>
    </xf>
    <xf xfId="0" numFmtId="0" borderId="2" applyBorder="1" fontId="1" applyFont="1" fillId="21" applyFill="1" applyAlignment="1">
      <alignment horizontal="center"/>
    </xf>
    <xf xfId="0" numFmtId="170" applyNumberFormat="1" borderId="2" applyBorder="1" fontId="1" applyFont="1" fillId="7" applyFill="1" applyAlignment="1">
      <alignment horizontal="right"/>
    </xf>
    <xf xfId="0" numFmtId="169" applyNumberFormat="1" borderId="2" applyBorder="1" fontId="1" applyFont="1" fillId="7" applyFill="1" applyAlignment="1">
      <alignment horizontal="right"/>
    </xf>
    <xf xfId="0" numFmtId="0" borderId="2" applyBorder="1" fontId="8" applyFont="1" fillId="22" applyFill="1" applyAlignment="1">
      <alignment horizontal="center" wrapText="1"/>
    </xf>
    <xf xfId="0" numFmtId="172" applyNumberFormat="1" borderId="2" applyBorder="1" fontId="8" applyFont="1" fillId="22" applyFill="1" applyAlignment="1">
      <alignment horizontal="center"/>
    </xf>
    <xf xfId="0" numFmtId="3" applyNumberFormat="1" borderId="2" applyBorder="1" fontId="1" applyFont="1" fillId="7" applyFill="1" applyAlignment="1">
      <alignment horizontal="right"/>
    </xf>
    <xf xfId="0" numFmtId="0" borderId="2" applyBorder="1" fontId="1" applyFont="1" fillId="22" applyFill="1" applyAlignment="1">
      <alignment horizontal="center" wrapText="1"/>
    </xf>
    <xf xfId="0" numFmtId="3" applyNumberFormat="1" borderId="2" applyBorder="1" fontId="1" applyFont="1" fillId="22" applyFill="1" applyAlignment="1">
      <alignment horizontal="left"/>
    </xf>
    <xf xfId="0" numFmtId="3" applyNumberFormat="1" borderId="2" applyBorder="1" fontId="1" applyFont="1" fillId="22" applyFill="1" applyAlignment="1">
      <alignment horizontal="center"/>
    </xf>
    <xf xfId="0" numFmtId="0" borderId="1" applyBorder="1" fontId="7" applyFont="1" fillId="0" applyAlignment="1">
      <alignment horizontal="left"/>
    </xf>
    <xf xfId="0" numFmtId="0" borderId="36" applyBorder="1" fontId="1" applyFont="1" fillId="3" applyFill="1" applyAlignment="1">
      <alignment horizontal="left"/>
    </xf>
    <xf xfId="0" numFmtId="171" applyNumberFormat="1" borderId="35" applyBorder="1" fontId="1" applyFont="1" fillId="3" applyFill="1" applyAlignment="1">
      <alignment horizontal="right"/>
    </xf>
    <xf xfId="0" numFmtId="171" applyNumberFormat="1" borderId="13" applyBorder="1" fontId="1" applyFont="1" fillId="3" applyFill="1" applyAlignment="1">
      <alignment horizontal="right"/>
    </xf>
    <xf xfId="0" numFmtId="0" borderId="37" applyBorder="1" fontId="13" applyFont="1" fillId="3" applyFill="1" applyAlignment="1">
      <alignment horizontal="left"/>
    </xf>
    <xf xfId="0" numFmtId="166" applyNumberFormat="1" borderId="37" applyBorder="1" fontId="13" applyFont="1" fillId="3" applyFill="1" applyAlignment="1">
      <alignment horizontal="center"/>
    </xf>
    <xf xfId="0" numFmtId="169" applyNumberFormat="1" borderId="38" applyBorder="1" fontId="1" applyFont="1" fillId="3" applyFill="1" applyAlignment="1">
      <alignment horizontal="center"/>
    </xf>
    <xf xfId="0" numFmtId="0" borderId="39" applyBorder="1" fontId="13" applyFont="1" fillId="0" applyAlignment="1">
      <alignment horizontal="left"/>
    </xf>
    <xf xfId="0" numFmtId="171" applyNumberFormat="1" borderId="39" applyBorder="1" fontId="13" applyFont="1" fillId="0" applyAlignment="1">
      <alignment horizontal="center"/>
    </xf>
    <xf xfId="0" numFmtId="172" applyNumberFormat="1" borderId="37" applyBorder="1" fontId="13" applyFont="1" fillId="3" applyFill="1" applyAlignment="1">
      <alignment horizontal="center"/>
    </xf>
    <xf xfId="0" numFmtId="1" applyNumberFormat="1" borderId="37" applyBorder="1" fontId="13" applyFont="1" fillId="3" applyFill="1" applyAlignment="1">
      <alignment horizontal="center"/>
    </xf>
    <xf xfId="0" numFmtId="0" borderId="2" applyBorder="1" fontId="1" applyFont="1" fillId="2" applyFill="1" applyAlignment="1">
      <alignment horizontal="left"/>
    </xf>
    <xf xfId="0" numFmtId="0" borderId="37" applyBorder="1" fontId="13" applyFont="1" fillId="2" applyFill="1" applyAlignment="1">
      <alignment horizontal="left"/>
    </xf>
    <xf xfId="0" numFmtId="172" applyNumberFormat="1" borderId="37" applyBorder="1" fontId="13" applyFont="1" fillId="2" applyFill="1" applyAlignment="1">
      <alignment horizontal="center"/>
    </xf>
    <xf xfId="0" numFmtId="4" applyNumberFormat="1" borderId="37" applyBorder="1" fontId="13" applyFont="1" fillId="3" applyFill="1" applyAlignment="1">
      <alignment horizontal="center"/>
    </xf>
    <xf xfId="0" numFmtId="169" applyNumberFormat="1" borderId="37" applyBorder="1" fontId="13" applyFont="1" fillId="3" applyFill="1" applyAlignment="1">
      <alignment horizontal="center"/>
    </xf>
    <xf xfId="0" numFmtId="171" applyNumberFormat="1" borderId="40" applyBorder="1" fontId="1" applyFont="1" fillId="3" applyFill="1" applyAlignment="1">
      <alignment horizontal="right"/>
    </xf>
    <xf xfId="0" numFmtId="0" borderId="2" applyBorder="1" fontId="13" applyFont="1" fillId="2" applyFill="1" applyAlignment="1">
      <alignment horizontal="left"/>
    </xf>
    <xf xfId="0" numFmtId="166" applyNumberFormat="1" borderId="2" applyBorder="1" fontId="13" applyFont="1" fillId="2" applyFill="1" applyAlignment="1">
      <alignment horizontal="center"/>
    </xf>
    <xf xfId="0" numFmtId="0" borderId="1" applyBorder="1" fontId="14" applyFont="1" fillId="0" applyAlignment="1">
      <alignment horizontal="left"/>
    </xf>
    <xf xfId="0" numFmtId="170" applyNumberFormat="1" borderId="35" applyBorder="1" fontId="1" applyFont="1" fillId="3" applyFill="1" applyAlignment="1">
      <alignment horizontal="right"/>
    </xf>
    <xf xfId="0" numFmtId="0" borderId="34" applyBorder="1" fontId="1" applyFont="1" fillId="3" applyFill="1" applyAlignment="1">
      <alignment horizontal="left"/>
    </xf>
    <xf xfId="0" numFmtId="172" applyNumberFormat="1" borderId="13" applyBorder="1" fontId="1" applyFont="1" fillId="3" applyFill="1" applyAlignment="1">
      <alignment horizontal="right"/>
    </xf>
    <xf xfId="0" numFmtId="4" applyNumberFormat="1" borderId="13" applyBorder="1" fontId="1" applyFont="1" fillId="3" applyFill="1" applyAlignment="1">
      <alignment horizontal="right"/>
    </xf>
    <xf xfId="0" numFmtId="166" applyNumberFormat="1" borderId="13" applyBorder="1" fontId="1" applyFont="1" fillId="3" applyFill="1" applyAlignment="1">
      <alignment horizontal="right"/>
    </xf>
    <xf xfId="0" numFmtId="166" applyNumberFormat="1" borderId="23" applyBorder="1" fontId="1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sharedStrings.xml" Type="http://schemas.openxmlformats.org/officeDocument/2006/relationships/sharedStrings" Id="rId20"/><Relationship Target="styles.xml" Type="http://schemas.openxmlformats.org/officeDocument/2006/relationships/styles" Id="rId21"/><Relationship Target="theme/theme1.xml" Type="http://schemas.openxmlformats.org/officeDocument/2006/relationships/theme" Id="rId22"/></Relationships>
</file>

<file path=xl/tables/table1.xml><?xml version="1.0" encoding="utf-8"?>
<table xmlns="http://schemas.openxmlformats.org/spreadsheetml/2006/main" ref="A1:AA9" displayName="Table2" name="Table2" id="1" totalsRowShown="0">
  <autoFilter ref="A1:AA9">
    <filterColumn hiddenButton="1" colId="0"/>
    <filterColumn hiddenButton="1" colId="1"/>
    <filterColumn hiddenButton="1" colId="2"/>
    <filterColumn hiddenButton="1" colId="3"/>
    <filterColumn hiddenButton="1" colId="4"/>
    <filterColumn hiddenButton="1" colId="5"/>
    <filterColumn hiddenButton="1" colId="6"/>
    <filterColumn hiddenButton="1" colId="7"/>
    <filterColumn hiddenButton="1" colId="8"/>
    <filterColumn hiddenButton="1" colId="9"/>
    <filterColumn hiddenButton="1" colId="10"/>
    <filterColumn hiddenButton="1" colId="11"/>
    <filterColumn hiddenButton="1" colId="12"/>
    <filterColumn hiddenButton="1" colId="13"/>
    <filterColumn hiddenButton="1" colId="14"/>
    <filterColumn hiddenButton="1" colId="15"/>
    <filterColumn hiddenButton="1" colId="16"/>
    <filterColumn hiddenButton="1" colId="17"/>
    <filterColumn hiddenButton="1" colId="18"/>
    <filterColumn hiddenButton="1" colId="19"/>
    <filterColumn hiddenButton="1" colId="20"/>
    <filterColumn hiddenButton="1" colId="21"/>
    <filterColumn hiddenButton="1" colId="22"/>
    <filterColumn hiddenButton="1" colId="23"/>
    <filterColumn hiddenButton="1" colId="24"/>
    <filterColumn hiddenButton="1" colId="25"/>
    <filterColumn hiddenButton="1" colId="26"/>
  </autoFilter>
  <tableColumns count="27">
    <tableColumn name="Funder" id="1"/>
    <tableColumn name=" 8/21" id="2"/>
    <tableColumn name=" 8/28" id="3"/>
    <tableColumn name=" 9/1" id="4"/>
    <tableColumn name=" 9/8" id="5"/>
    <tableColumn name=" 9/15" id="6"/>
    <tableColumn name=" 9/22" id="7"/>
    <tableColumn name=" 9/29" id="8"/>
    <tableColumn name=" 10/6" id="9"/>
    <tableColumn name=" 10/13" id="10"/>
    <tableColumn name=" 10/20" id="11"/>
    <tableColumn name=" 10/27" id="12"/>
    <tableColumn name=" 11/3" id="13"/>
    <tableColumn name=" 11/10" id="14"/>
    <tableColumn name=" 11/17" id="15"/>
    <tableColumn name=" 11/24" id="16"/>
    <tableColumn name=" 12/1" id="17"/>
    <tableColumn name=" 12/8" id="18"/>
    <tableColumn name=" 12/15" id="19"/>
    <tableColumn name=" 12/22" id="20"/>
    <tableColumn name=" 12/29" id="21"/>
    <tableColumn name="1/5" id="22"/>
    <tableColumn name="1/122" id="23"/>
    <tableColumn name="1/19" id="24"/>
    <tableColumn name="1/26" id="25"/>
    <tableColumn name="2/2" id="26"/>
    <tableColumn name="Total" id="2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48" width="12.719285714285713" customWidth="1" bestFit="1"/>
    <col min="2" max="2" style="89" width="25.005" customWidth="1" bestFit="1"/>
    <col min="3" max="3" style="21" width="10.862142857142858" customWidth="1" bestFit="1"/>
    <col min="4" max="4" style="21" width="11.862142857142858" customWidth="1" bestFit="1"/>
    <col min="5" max="5" style="21" width="12.862142857142858" customWidth="1" bestFit="1"/>
    <col min="6" max="6" style="21" width="7.147857142857143" customWidth="1" bestFit="1"/>
    <col min="7" max="7" style="171" width="7.576428571428571" customWidth="1" bestFit="1"/>
    <col min="8" max="8" style="249" width="7.576428571428571" customWidth="1" bestFit="1"/>
    <col min="9" max="9" style="249" width="8.862142857142858" customWidth="1" bestFit="1"/>
    <col min="10" max="10" style="157" width="7.719285714285714" customWidth="1" bestFit="1"/>
    <col min="11" max="11" style="28" width="9.576428571428572" customWidth="1" bestFit="1"/>
    <col min="12" max="12" style="157" width="11.005" customWidth="1" bestFit="1"/>
    <col min="13" max="13" style="157" width="11.147857142857141" customWidth="1" bestFit="1"/>
    <col min="14" max="14" style="171" width="8.005" customWidth="1" bestFit="1"/>
    <col min="15" max="15" style="171" width="8.290714285714287" customWidth="1" bestFit="1"/>
    <col min="16" max="16" style="157" width="8.147857142857141" customWidth="1" bestFit="1"/>
    <col min="17" max="17" style="28" width="11.290714285714287" customWidth="1" bestFit="1"/>
    <col min="18" max="18" style="21" width="8.576428571428572" customWidth="1" bestFit="1"/>
    <col min="19" max="19" style="21" width="8.576428571428572" customWidth="1" bestFit="1"/>
    <col min="20" max="20" style="157" width="8.576428571428572" customWidth="1" bestFit="1"/>
    <col min="21" max="21" style="157" width="8.576428571428572" customWidth="1" bestFit="1"/>
    <col min="22" max="22" style="157" width="9.862142857142858" customWidth="1" bestFit="1"/>
    <col min="23" max="23" style="157" width="12.576428571428572" customWidth="1" bestFit="1"/>
    <col min="24" max="24" style="157" width="8.147857142857141" customWidth="1" bestFit="1"/>
    <col min="25" max="25" style="157" width="8.576428571428572" customWidth="1" bestFit="1"/>
    <col min="26" max="26" style="157" width="8.576428571428572" customWidth="1" bestFit="1"/>
    <col min="27" max="27" style="157" width="10.290714285714287" customWidth="1" bestFit="1"/>
    <col min="28" max="28" style="157" width="10.862142857142858" customWidth="1" bestFit="1"/>
    <col min="29" max="29" style="157" width="8.862142857142858" customWidth="1" bestFit="1"/>
    <col min="30" max="30" style="157" width="9.576428571428572" customWidth="1" bestFit="1"/>
    <col min="31" max="31" style="157" width="9.576428571428572" customWidth="1" bestFit="1"/>
    <col min="32" max="32" style="157" width="10.147857142857141" customWidth="1" bestFit="1"/>
    <col min="33" max="33" style="21" width="12.43357142857143" customWidth="1" bestFit="1" hidden="1"/>
    <col min="34" max="34" style="21" width="12.43357142857143" customWidth="1" bestFit="1" hidden="1"/>
    <col min="35" max="35" style="21" width="12.43357142857143" customWidth="1" bestFit="1" hidden="1"/>
    <col min="36" max="36" style="21" width="12.43357142857143" customWidth="1" bestFit="1" hidden="1"/>
    <col min="37" max="37" style="21" width="12.43357142857143" customWidth="1" bestFit="1" hidden="1"/>
    <col min="38" max="38" style="21" width="12.43357142857143" customWidth="1" bestFit="1" hidden="1"/>
    <col min="39" max="39" style="21" width="12.43357142857143" customWidth="1" bestFit="1" hidden="1"/>
    <col min="40" max="40" style="21" width="12.43357142857143" customWidth="1" bestFit="1" hidden="1"/>
    <col min="41" max="41" style="21" width="12.43357142857143" customWidth="1" bestFit="1" hidden="1"/>
    <col min="42" max="42" style="21" width="12.43357142857143" customWidth="1" bestFit="1" hidden="1"/>
    <col min="43" max="43" style="21" width="12.43357142857143" customWidth="1" bestFit="1" hidden="1"/>
    <col min="44" max="44" style="21" width="12.43357142857143" customWidth="1" bestFit="1" hidden="1"/>
    <col min="45" max="45" style="21" width="12.43357142857143" customWidth="1" bestFit="1" hidden="1"/>
    <col min="46" max="46" style="249" width="12.43357142857143" customWidth="1" bestFit="1" hidden="1"/>
    <col min="47" max="47" style="249" width="12.43357142857143" customWidth="1" bestFit="1" hidden="1"/>
    <col min="48" max="48" style="249" width="8.147857142857141" customWidth="1" bestFit="1"/>
    <col min="49" max="49" style="249" width="8.147857142857141" customWidth="1" bestFit="1"/>
    <col min="50" max="50" style="249" width="8.147857142857141" customWidth="1" bestFit="1"/>
    <col min="51" max="51" style="249" width="8.147857142857141" customWidth="1" bestFit="1"/>
    <col min="52" max="52" style="249" width="8.147857142857141" customWidth="1" bestFit="1"/>
    <col min="53" max="53" style="249" width="8.147857142857141" customWidth="1" bestFit="1"/>
    <col min="54" max="54" style="249" width="8.147857142857141" customWidth="1" bestFit="1"/>
    <col min="55" max="55" style="171" width="8.147857142857141" customWidth="1" bestFit="1"/>
    <col min="56" max="56" style="171" width="8.147857142857141" customWidth="1" bestFit="1"/>
    <col min="57" max="57" style="171" width="8.147857142857141" customWidth="1" bestFit="1"/>
    <col min="58" max="58" style="157" width="12.576428571428572" customWidth="1" bestFit="1"/>
    <col min="59" max="59" style="157" width="9.147857142857141" customWidth="1" bestFit="1"/>
    <col min="60" max="60" style="157" width="9.576428571428572" customWidth="1" bestFit="1"/>
    <col min="61" max="61" style="157" width="11.576428571428572" customWidth="1" bestFit="1"/>
    <col min="62" max="62" style="157" width="12.576428571428572" customWidth="1" bestFit="1"/>
    <col min="63" max="63" style="157" width="12.576428571428572" customWidth="1" bestFit="1"/>
    <col min="64" max="64" style="157" width="12.005" customWidth="1" bestFit="1"/>
    <col min="65" max="65" style="21" width="12.43357142857143" customWidth="1" bestFit="1"/>
    <col min="66" max="66" style="21" width="12.43357142857143" customWidth="1" bestFit="1"/>
    <col min="67" max="67" style="248" width="12.43357142857143" customWidth="1" bestFit="1"/>
  </cols>
  <sheetData>
    <row x14ac:dyDescent="0.25" r="1" customHeight="1" ht="27.5">
      <c r="A1" s="251" t="s">
        <v>58</v>
      </c>
      <c r="B1" s="252">
        <v>0.03</v>
      </c>
      <c r="C1" s="253" t="s">
        <v>58</v>
      </c>
      <c r="D1" s="253" t="s">
        <v>58</v>
      </c>
      <c r="E1" s="253" t="s">
        <v>58</v>
      </c>
      <c r="F1" s="253" t="s">
        <v>58</v>
      </c>
      <c r="G1" s="254" t="s">
        <v>58</v>
      </c>
      <c r="H1" s="255" t="s">
        <v>58</v>
      </c>
      <c r="I1" s="255" t="s">
        <v>58</v>
      </c>
      <c r="J1" s="253" t="s">
        <v>58</v>
      </c>
      <c r="K1" s="256" t="s">
        <v>58</v>
      </c>
      <c r="L1" s="253" t="s">
        <v>58</v>
      </c>
      <c r="M1" s="253" t="s">
        <v>58</v>
      </c>
      <c r="N1" s="254" t="s">
        <v>58</v>
      </c>
      <c r="O1" s="254" t="s">
        <v>58</v>
      </c>
      <c r="P1" s="253" t="s">
        <v>58</v>
      </c>
      <c r="Q1" s="256" t="s">
        <v>58</v>
      </c>
      <c r="R1" s="253" t="s">
        <v>58</v>
      </c>
      <c r="S1" s="253" t="s">
        <v>58</v>
      </c>
      <c r="T1" s="253" t="s">
        <v>58</v>
      </c>
      <c r="U1" s="253" t="s">
        <v>58</v>
      </c>
      <c r="V1" s="253" t="s">
        <v>58</v>
      </c>
      <c r="W1" s="253" t="s">
        <v>58</v>
      </c>
      <c r="X1" s="253" t="s">
        <v>58</v>
      </c>
      <c r="Y1" s="253" t="s">
        <v>58</v>
      </c>
      <c r="Z1" s="253" t="s">
        <v>58</v>
      </c>
      <c r="AA1" s="253" t="s">
        <v>58</v>
      </c>
      <c r="AB1" s="253" t="s">
        <v>58</v>
      </c>
      <c r="AC1" s="253" t="s">
        <v>58</v>
      </c>
      <c r="AD1" s="253" t="s">
        <v>58</v>
      </c>
      <c r="AE1" s="253" t="s">
        <v>58</v>
      </c>
      <c r="AF1" s="253" t="s">
        <v>58</v>
      </c>
      <c r="AG1" s="253" t="s">
        <v>58</v>
      </c>
      <c r="AH1" s="253" t="s">
        <v>58</v>
      </c>
      <c r="AI1" s="253" t="s">
        <v>58</v>
      </c>
      <c r="AJ1" s="253" t="s">
        <v>58</v>
      </c>
      <c r="AK1" s="253" t="s">
        <v>58</v>
      </c>
      <c r="AL1" s="253" t="s">
        <v>58</v>
      </c>
      <c r="AM1" s="253" t="s">
        <v>58</v>
      </c>
      <c r="AN1" s="253" t="s">
        <v>58</v>
      </c>
      <c r="AO1" s="253" t="s">
        <v>58</v>
      </c>
      <c r="AP1" s="253" t="s">
        <v>58</v>
      </c>
      <c r="AQ1" s="253" t="s">
        <v>58</v>
      </c>
      <c r="AR1" s="253" t="s">
        <v>58</v>
      </c>
      <c r="AS1" s="253" t="s">
        <v>58</v>
      </c>
      <c r="AT1" s="255" t="s">
        <v>58</v>
      </c>
      <c r="AU1" s="255" t="s">
        <v>58</v>
      </c>
      <c r="AV1" s="255" t="s">
        <v>58</v>
      </c>
      <c r="AW1" s="255" t="s">
        <v>58</v>
      </c>
      <c r="AX1" s="255" t="s">
        <v>58</v>
      </c>
      <c r="AY1" s="255" t="s">
        <v>58</v>
      </c>
      <c r="AZ1" s="255" t="s">
        <v>58</v>
      </c>
      <c r="BA1" s="254"/>
      <c r="BB1" s="254"/>
      <c r="BC1" s="254"/>
      <c r="BD1" s="254"/>
      <c r="BE1" s="254"/>
      <c r="BF1" s="253" t="s">
        <v>58</v>
      </c>
      <c r="BG1" s="253" t="s">
        <v>58</v>
      </c>
      <c r="BH1" s="253" t="s">
        <v>58</v>
      </c>
      <c r="BI1" s="253" t="s">
        <v>58</v>
      </c>
      <c r="BJ1" s="253" t="s">
        <v>58</v>
      </c>
      <c r="BK1" s="253" t="s">
        <v>58</v>
      </c>
      <c r="BL1" s="253" t="s">
        <v>58</v>
      </c>
      <c r="BM1" s="253" t="s">
        <v>58</v>
      </c>
      <c r="BN1" s="253" t="s">
        <v>58</v>
      </c>
      <c r="BO1" s="251" t="s">
        <v>64</v>
      </c>
    </row>
    <row x14ac:dyDescent="0.25" r="2" customHeight="1" ht="74.5" customFormat="1" s="6">
      <c r="A2" s="257" t="s">
        <v>65</v>
      </c>
      <c r="B2" s="258" t="s">
        <v>66</v>
      </c>
      <c r="C2" s="259" t="s">
        <v>67</v>
      </c>
      <c r="D2" s="259" t="s">
        <v>68</v>
      </c>
      <c r="E2" s="259" t="s">
        <v>69</v>
      </c>
      <c r="F2" s="259" t="s">
        <v>70</v>
      </c>
      <c r="G2" s="260" t="s">
        <v>71</v>
      </c>
      <c r="H2" s="261" t="s">
        <v>72</v>
      </c>
      <c r="I2" s="261" t="s">
        <v>73</v>
      </c>
      <c r="J2" s="262" t="s">
        <v>74</v>
      </c>
      <c r="K2" s="263" t="s">
        <v>75</v>
      </c>
      <c r="L2" s="262" t="s">
        <v>73</v>
      </c>
      <c r="M2" s="262" t="s">
        <v>76</v>
      </c>
      <c r="N2" s="260" t="s">
        <v>77</v>
      </c>
      <c r="O2" s="260" t="s">
        <v>78</v>
      </c>
      <c r="P2" s="264" t="s">
        <v>79</v>
      </c>
      <c r="Q2" s="263" t="s">
        <v>80</v>
      </c>
      <c r="R2" s="265" t="s">
        <v>81</v>
      </c>
      <c r="S2" s="265" t="s">
        <v>82</v>
      </c>
      <c r="T2" s="266" t="s">
        <v>83</v>
      </c>
      <c r="U2" s="266" t="s">
        <v>84</v>
      </c>
      <c r="V2" s="267" t="s">
        <v>85</v>
      </c>
      <c r="W2" s="267" t="s">
        <v>86</v>
      </c>
      <c r="X2" s="266" t="s">
        <v>87</v>
      </c>
      <c r="Y2" s="266" t="s">
        <v>88</v>
      </c>
      <c r="Z2" s="266" t="s">
        <v>89</v>
      </c>
      <c r="AA2" s="266" t="s">
        <v>90</v>
      </c>
      <c r="AB2" s="267" t="s">
        <v>91</v>
      </c>
      <c r="AC2" s="267" t="s">
        <v>92</v>
      </c>
      <c r="AD2" s="267" t="s">
        <v>93</v>
      </c>
      <c r="AE2" s="267" t="s">
        <v>94</v>
      </c>
      <c r="AF2" s="265" t="s">
        <v>95</v>
      </c>
      <c r="AG2" s="268" t="s">
        <v>96</v>
      </c>
      <c r="AH2" s="268" t="s">
        <v>97</v>
      </c>
      <c r="AI2" s="268" t="s">
        <v>98</v>
      </c>
      <c r="AJ2" s="268" t="s">
        <v>99</v>
      </c>
      <c r="AK2" s="268" t="s">
        <v>100</v>
      </c>
      <c r="AL2" s="268" t="s">
        <v>101</v>
      </c>
      <c r="AM2" s="268" t="s">
        <v>102</v>
      </c>
      <c r="AN2" s="268" t="s">
        <v>103</v>
      </c>
      <c r="AO2" s="268" t="s">
        <v>104</v>
      </c>
      <c r="AP2" s="268" t="s">
        <v>105</v>
      </c>
      <c r="AQ2" s="268" t="s">
        <v>106</v>
      </c>
      <c r="AR2" s="268" t="s">
        <v>107</v>
      </c>
      <c r="AS2" s="268" t="s">
        <v>108</v>
      </c>
      <c r="AT2" s="269" t="s">
        <v>109</v>
      </c>
      <c r="AU2" s="269" t="s">
        <v>110</v>
      </c>
      <c r="AV2" s="200" t="s">
        <v>111</v>
      </c>
      <c r="AW2" s="200" t="s">
        <v>112</v>
      </c>
      <c r="AX2" s="200" t="s">
        <v>113</v>
      </c>
      <c r="AY2" s="200" t="s">
        <v>114</v>
      </c>
      <c r="AZ2" s="200" t="s">
        <v>115</v>
      </c>
      <c r="BA2" s="200" t="s">
        <v>116</v>
      </c>
      <c r="BB2" s="200" t="s">
        <v>117</v>
      </c>
      <c r="BC2" s="270" t="s">
        <v>355</v>
      </c>
      <c r="BD2" s="270" t="s">
        <v>356</v>
      </c>
      <c r="BE2" s="270" t="s">
        <v>357</v>
      </c>
      <c r="BF2" s="267" t="s">
        <v>119</v>
      </c>
      <c r="BG2" s="267" t="s">
        <v>120</v>
      </c>
      <c r="BH2" s="267" t="s">
        <v>121</v>
      </c>
      <c r="BI2" s="267" t="s">
        <v>122</v>
      </c>
      <c r="BJ2" s="267" t="s">
        <v>123</v>
      </c>
      <c r="BK2" s="267" t="s">
        <v>124</v>
      </c>
      <c r="BL2" s="267" t="s">
        <v>125</v>
      </c>
      <c r="BM2" s="271" t="s">
        <v>126</v>
      </c>
      <c r="BN2" s="271" t="s">
        <v>127</v>
      </c>
      <c r="BO2" s="272" t="s">
        <v>128</v>
      </c>
    </row>
    <row x14ac:dyDescent="0.25" r="3" customHeight="1" ht="17.25">
      <c r="A3" s="273">
        <v>25568.79196759259</v>
      </c>
      <c r="B3" s="274" t="s">
        <v>358</v>
      </c>
      <c r="C3" s="275" t="s">
        <v>359</v>
      </c>
      <c r="D3" s="113" t="s">
        <v>360</v>
      </c>
      <c r="E3" s="113" t="s">
        <v>149</v>
      </c>
      <c r="F3" s="113" t="s">
        <v>258</v>
      </c>
      <c r="G3" s="276">
        <v>714</v>
      </c>
      <c r="H3" s="277">
        <v>1.34</v>
      </c>
      <c r="I3" s="278">
        <v>0.15</v>
      </c>
      <c r="J3" s="279">
        <f>H3+I3</f>
      </c>
      <c r="K3" s="280">
        <v>12000</v>
      </c>
      <c r="L3" s="123">
        <f>K3*I3</f>
      </c>
      <c r="M3" s="123">
        <f>K3*J3</f>
      </c>
      <c r="N3" s="281">
        <v>60</v>
      </c>
      <c r="O3" s="16"/>
      <c r="P3" s="282">
        <f>IF(ISBLANK(N3),O3/4.3,N3/20)</f>
      </c>
      <c r="Q3" s="280">
        <v>3000</v>
      </c>
      <c r="R3" s="283" t="s">
        <v>301</v>
      </c>
      <c r="S3" s="280"/>
      <c r="T3" s="256">
        <f>IF(ISBLANK(R3),0,X3)</f>
      </c>
      <c r="U3" s="256">
        <f>IF(ISBLANK(S3),0,X3)</f>
      </c>
      <c r="V3" s="284">
        <f>IFERROR(Q3/K3,0)</f>
      </c>
      <c r="W3" s="123">
        <f>IFERROR(L3*V3,0)</f>
      </c>
      <c r="X3" s="256">
        <f>IFERROR(Q3+W3,0)</f>
      </c>
      <c r="Y3" s="256">
        <f>IFERROR(M3*V3,0)</f>
      </c>
      <c r="Z3" s="256">
        <f>Y3-(Y3*$B$1)</f>
      </c>
      <c r="AA3" s="285">
        <f>IFERROR(Z3/X3,0)</f>
      </c>
      <c r="AB3" s="286">
        <f>IFERROR(IF(ISBLANK(N3),Y3/O3,Y3/N3),0)</f>
      </c>
      <c r="AC3" s="286">
        <f>IFERROR(-1*(AB3*B$1),0)</f>
      </c>
      <c r="AD3" s="286">
        <f>IFERROR(SUM(AB3:AC3),0)</f>
      </c>
      <c r="AE3" s="286">
        <f>IF(ISBLANK(N3),AD3,AD3*5)</f>
      </c>
      <c r="AF3" s="287">
        <f>SUM(AG3:BE3)</f>
      </c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78">
        <v>72.7</v>
      </c>
      <c r="AU3" s="278">
        <v>290.81</v>
      </c>
      <c r="AV3" s="278">
        <v>290.81</v>
      </c>
      <c r="AW3" s="278">
        <v>363.51</v>
      </c>
      <c r="AX3" s="278">
        <v>363.51</v>
      </c>
      <c r="AY3" s="278">
        <v>363.51</v>
      </c>
      <c r="AZ3" s="278">
        <v>290.81</v>
      </c>
      <c r="BA3" s="278">
        <v>290.81</v>
      </c>
      <c r="BB3" s="278">
        <v>218.1</v>
      </c>
      <c r="BC3" s="281"/>
      <c r="BD3" s="281"/>
      <c r="BE3" s="281"/>
      <c r="BF3" s="286">
        <f>Z3-AF3</f>
      </c>
      <c r="BG3" s="284">
        <f>IFERROR(AF3/Z3,0)</f>
      </c>
      <c r="BH3" s="284">
        <f>IFERROR(AF3/X3,0)</f>
      </c>
      <c r="BI3" s="284">
        <f>IFERROR(X3/SUM(X$3:X$4),0)</f>
      </c>
      <c r="BJ3" s="284">
        <f>IFERROR(BF3/SUM(BF$3:BF200),0)</f>
      </c>
      <c r="BK3" s="288">
        <f>BF3/'R&amp;H Portfolio'!Q$10</f>
      </c>
      <c r="BL3" s="286">
        <f>BI3*P3</f>
      </c>
      <c r="BM3" s="289"/>
      <c r="BN3" s="290">
        <f>IF(BM3="YES", BF3, "")</f>
      </c>
      <c r="BO3" s="17"/>
    </row>
    <row x14ac:dyDescent="0.25" r="4" customHeight="1" ht="16">
      <c r="A4" s="291">
        <v>25568.79196759259</v>
      </c>
      <c r="B4" s="292" t="s">
        <v>361</v>
      </c>
      <c r="C4" s="293"/>
      <c r="D4" s="294" t="s">
        <v>362</v>
      </c>
      <c r="E4" s="294" t="s">
        <v>363</v>
      </c>
      <c r="F4" s="294" t="s">
        <v>155</v>
      </c>
      <c r="G4" s="295">
        <v>702</v>
      </c>
      <c r="H4" s="296">
        <v>1.349</v>
      </c>
      <c r="I4" s="297">
        <v>0.15</v>
      </c>
      <c r="J4" s="298">
        <f>H4+I4</f>
      </c>
      <c r="K4" s="299">
        <v>140000</v>
      </c>
      <c r="L4" s="289">
        <f>K4*I4</f>
      </c>
      <c r="M4" s="289">
        <f>K4*J4</f>
      </c>
      <c r="N4" s="300"/>
      <c r="O4" s="300">
        <v>24</v>
      </c>
      <c r="P4" s="301">
        <f>IF(ISBLANK(N4),O4/4.3,N4/20)</f>
      </c>
      <c r="Q4" s="299">
        <v>5000</v>
      </c>
      <c r="R4" s="294" t="s">
        <v>133</v>
      </c>
      <c r="S4" s="299"/>
      <c r="T4" s="299">
        <f>IF(ISBLANK(R4),0,X4)</f>
      </c>
      <c r="U4" s="299">
        <f>IF(ISBLANK(S4),0,X4)</f>
      </c>
      <c r="V4" s="302">
        <f>IFERROR(Q4/K4,0)</f>
      </c>
      <c r="W4" s="289">
        <f>IFERROR(L4*V4,0)</f>
      </c>
      <c r="X4" s="299">
        <f>IFERROR(Q4+W4,0)</f>
      </c>
      <c r="Y4" s="299">
        <f>IFERROR(M4*V4,0)</f>
      </c>
      <c r="Z4" s="299">
        <f>Y4-(Y4*$B$1)</f>
      </c>
      <c r="AA4" s="303">
        <f>IFERROR(Z4/X4,0)</f>
      </c>
      <c r="AB4" s="290">
        <f>IFERROR(IF(ISBLANK(N4),Y4/O4,Y4/N4),0)</f>
      </c>
      <c r="AC4" s="290">
        <f>IFERROR(-1*(AB4*B$1),0)</f>
      </c>
      <c r="AD4" s="290">
        <f>IFERROR(SUM(AB4:AC4),0)</f>
      </c>
      <c r="AE4" s="290">
        <f>IF(ISBLANK(N4),AD4,AD4*5)</f>
      </c>
      <c r="AF4" s="304">
        <f>SUM(AG4:BE4)</f>
      </c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7"/>
      <c r="AU4" s="297"/>
      <c r="AV4" s="297"/>
      <c r="AW4" s="297">
        <v>302.92</v>
      </c>
      <c r="AX4" s="297">
        <v>302.92</v>
      </c>
      <c r="AY4" s="297">
        <v>302.93</v>
      </c>
      <c r="AZ4" s="297">
        <v>302.92</v>
      </c>
      <c r="BA4" s="297">
        <v>302.92</v>
      </c>
      <c r="BB4" s="297"/>
      <c r="BC4" s="300"/>
      <c r="BD4" s="300"/>
      <c r="BE4" s="300"/>
      <c r="BF4" s="290">
        <f>Z4-AF4</f>
      </c>
      <c r="BG4" s="302">
        <f>IFERROR(AF4/Z4,0)</f>
      </c>
      <c r="BH4" s="302">
        <f>IFERROR(AF4/X4,0)</f>
      </c>
      <c r="BI4" s="305">
        <f>IFERROR(X4/SUM(X$3:X$4),0)</f>
      </c>
      <c r="BJ4" s="302">
        <f>IFERROR(BF4/SUM(BF$3:BF201),0)</f>
      </c>
      <c r="BK4" s="306">
        <f>BF4/'R&amp;H Portfolio'!Q$10</f>
      </c>
      <c r="BL4" s="290">
        <f>BI4*P4</f>
      </c>
      <c r="BM4" s="307" t="s">
        <v>364</v>
      </c>
      <c r="BN4" s="290">
        <f>IF(BM4="YES", BF4, "")</f>
      </c>
      <c r="BO4" s="291">
        <v>25568.79196759259</v>
      </c>
    </row>
    <row x14ac:dyDescent="0.25" r="5" customHeight="1" ht="13">
      <c r="A5" s="308">
        <v>25568.79196759259</v>
      </c>
      <c r="B5" s="309" t="s">
        <v>365</v>
      </c>
      <c r="C5" s="225" t="s">
        <v>366</v>
      </c>
      <c r="D5" s="310" t="s">
        <v>367</v>
      </c>
      <c r="E5" s="310" t="s">
        <v>368</v>
      </c>
      <c r="F5" s="310" t="s">
        <v>160</v>
      </c>
      <c r="G5" s="311">
        <v>738</v>
      </c>
      <c r="H5" s="312">
        <v>1.34</v>
      </c>
      <c r="I5" s="313">
        <v>0.15</v>
      </c>
      <c r="J5" s="314">
        <f>H5+I5</f>
      </c>
      <c r="K5" s="315">
        <v>15000</v>
      </c>
      <c r="L5" s="316">
        <f>K5*I5</f>
      </c>
      <c r="M5" s="316">
        <f>K5*J5</f>
      </c>
      <c r="N5" s="317">
        <v>60</v>
      </c>
      <c r="O5" s="317"/>
      <c r="P5" s="318">
        <f>IF(ISBLANK(N5),O5/4.3,N5/20)</f>
      </c>
      <c r="Q5" s="315">
        <v>3000</v>
      </c>
      <c r="R5" s="315"/>
      <c r="S5" s="319" t="s">
        <v>82</v>
      </c>
      <c r="T5" s="320">
        <f>IF(ISBLANK(R5),0,X5)</f>
      </c>
      <c r="U5" s="320">
        <f>IF(ISBLANK(S5),0,X5)</f>
      </c>
      <c r="V5" s="321">
        <f>IFERROR(Q5/K5,0)</f>
      </c>
      <c r="W5" s="316">
        <f>IFERROR(L5*V5,0)</f>
      </c>
      <c r="X5" s="322">
        <f>IFERROR(Q5+W5,0)</f>
      </c>
      <c r="Y5" s="322">
        <f>IFERROR(M5*V5,0)</f>
      </c>
      <c r="Z5" s="322">
        <f>Y5-(Y5*$B$1)</f>
      </c>
      <c r="AA5" s="323">
        <f>IFERROR(Z5/X5,0)</f>
      </c>
      <c r="AB5" s="324">
        <f>IFERROR(IF(ISBLANK(N5),Y5/O5,Y5/N5),0)</f>
      </c>
      <c r="AC5" s="324">
        <f>IFERROR(-1*(AB5*B$1),0)</f>
      </c>
      <c r="AD5" s="324">
        <f>IFERROR(SUM(AB5:AC5),0)</f>
      </c>
      <c r="AE5" s="324">
        <f>IF(ISBLANK(N5),AD5,AD5*5)</f>
      </c>
      <c r="AF5" s="325">
        <f>SUM(AG5:BE5)</f>
      </c>
      <c r="AG5" s="319"/>
      <c r="AH5" s="319"/>
      <c r="AI5" s="319"/>
      <c r="AJ5" s="319"/>
      <c r="AK5" s="319"/>
      <c r="AL5" s="319"/>
      <c r="AM5" s="319"/>
      <c r="AN5" s="319"/>
      <c r="AO5" s="319"/>
      <c r="AP5" s="319"/>
      <c r="AQ5" s="319"/>
      <c r="AR5" s="319"/>
      <c r="AS5" s="319"/>
      <c r="AT5" s="313"/>
      <c r="AU5" s="313"/>
      <c r="AV5" s="313"/>
      <c r="AW5" s="313"/>
      <c r="AX5" s="313"/>
      <c r="AY5" s="313">
        <v>363.51</v>
      </c>
      <c r="AZ5" s="313">
        <v>290.81</v>
      </c>
      <c r="BA5" s="313">
        <v>363.51</v>
      </c>
      <c r="BB5" s="313">
        <v>436.21</v>
      </c>
      <c r="BC5" s="317"/>
      <c r="BD5" s="317"/>
      <c r="BE5" s="317"/>
      <c r="BF5" s="324">
        <f>Z5-AF5</f>
      </c>
      <c r="BG5" s="321">
        <f>IFERROR(AF5/Z5,0)</f>
      </c>
      <c r="BH5" s="321">
        <f>IFERROR(AF5/X5,0)</f>
      </c>
      <c r="BI5" s="321">
        <f>IFERROR(X5/SUM(X$5:X$5),0)</f>
      </c>
      <c r="BJ5" s="321">
        <f>IFERROR(BF5/SUM(BF$3:BF202),0)</f>
      </c>
      <c r="BK5" s="288">
        <f>BF5/'R&amp;H Portfolio'!Q$10</f>
      </c>
      <c r="BL5" s="324">
        <f>BI5*P5</f>
      </c>
      <c r="BM5" s="289"/>
      <c r="BN5" s="290">
        <f>IF(BM5="YES", BF5, "")</f>
      </c>
      <c r="BO5" s="17"/>
    </row>
    <row x14ac:dyDescent="0.25" r="6" customHeight="1" ht="15">
      <c r="A6" s="17"/>
      <c r="B6" s="326"/>
      <c r="C6" s="275"/>
      <c r="D6" s="3"/>
      <c r="E6" s="3"/>
      <c r="F6" s="3"/>
      <c r="G6" s="276"/>
      <c r="H6" s="18"/>
      <c r="I6" s="18"/>
      <c r="J6" s="279">
        <f>H6+I6</f>
      </c>
      <c r="K6" s="280"/>
      <c r="L6" s="123">
        <f>K6*I6</f>
      </c>
      <c r="M6" s="123">
        <f>K6*J6</f>
      </c>
      <c r="N6" s="16"/>
      <c r="O6" s="16"/>
      <c r="P6" s="282">
        <f>IF(ISBLANK(N6),O6/4.3,N6/20)</f>
      </c>
      <c r="Q6" s="280"/>
      <c r="R6" s="280"/>
      <c r="S6" s="280"/>
      <c r="T6" s="256">
        <f>IF(ISBLANK(R6),0,X6)</f>
      </c>
      <c r="U6" s="256">
        <f>IF(ISBLANK(S6),0,X6)</f>
      </c>
      <c r="V6" s="284">
        <f>IFERROR(Q6/K6,0)</f>
      </c>
      <c r="W6" s="123">
        <f>IFERROR(L6*V6,0)</f>
      </c>
      <c r="X6" s="256">
        <f>IFERROR(Q6+W6,0)</f>
      </c>
      <c r="Y6" s="256">
        <f>IFERROR(M6*V6,0)</f>
      </c>
      <c r="Z6" s="256">
        <f>Y6-(Y6*$B$1)</f>
      </c>
      <c r="AA6" s="285">
        <f>IFERROR(Z6/X6,0)</f>
      </c>
      <c r="AB6" s="286">
        <f>IFERROR(IF(ISBLANK(N6),Y6/O6,Y6/N6),0)</f>
      </c>
      <c r="AC6" s="286">
        <f>IFERROR(-1*(AB6*B$1),0)</f>
      </c>
      <c r="AD6" s="286">
        <f>IFERROR(SUM(AB6:AC6),0)</f>
      </c>
      <c r="AE6" s="286">
        <f>IF(ISBLANK(N6),AD6,AD6*5)</f>
      </c>
      <c r="AF6" s="287">
        <f>SUM(AG6:BE6)</f>
      </c>
      <c r="AG6" s="283"/>
      <c r="AH6" s="283"/>
      <c r="AI6" s="283"/>
      <c r="AJ6" s="283"/>
      <c r="AK6" s="283"/>
      <c r="AL6" s="283"/>
      <c r="AM6" s="283"/>
      <c r="AN6" s="283"/>
      <c r="AO6" s="283"/>
      <c r="AP6" s="283"/>
      <c r="AQ6" s="283"/>
      <c r="AR6" s="283"/>
      <c r="AS6" s="283"/>
      <c r="AT6" s="278"/>
      <c r="AU6" s="278"/>
      <c r="AV6" s="278"/>
      <c r="AW6" s="278"/>
      <c r="AX6" s="278"/>
      <c r="AY6" s="278"/>
      <c r="AZ6" s="278"/>
      <c r="BA6" s="278"/>
      <c r="BB6" s="278"/>
      <c r="BC6" s="281"/>
      <c r="BD6" s="281"/>
      <c r="BE6" s="281"/>
      <c r="BF6" s="286">
        <f>Z6-AF6</f>
      </c>
      <c r="BG6" s="284">
        <f>IFERROR(AF6/Z6,0)</f>
      </c>
      <c r="BH6" s="284">
        <f>IFERROR(AF6/X6,0)</f>
      </c>
      <c r="BI6" s="284">
        <f>IFERROR(X6/SUM(X$6:X$20),0)</f>
      </c>
      <c r="BJ6" s="284">
        <f>IFERROR(BF6/SUM(BF$3:BF203),0)</f>
      </c>
      <c r="BK6" s="288">
        <f>BF6/'R&amp;H Portfolio'!Q$10</f>
      </c>
      <c r="BL6" s="286">
        <f>BI6*P6</f>
      </c>
      <c r="BM6" s="137"/>
      <c r="BN6" s="327">
        <f>IF(BM6="YES", BF6, "")</f>
      </c>
      <c r="BO6" s="17"/>
    </row>
    <row x14ac:dyDescent="0.25" r="7" customHeight="1" ht="15">
      <c r="A7" s="17"/>
      <c r="B7" s="326"/>
      <c r="C7" s="275"/>
      <c r="D7" s="3"/>
      <c r="E7" s="3"/>
      <c r="F7" s="3"/>
      <c r="G7" s="276"/>
      <c r="H7" s="18"/>
      <c r="I7" s="18"/>
      <c r="J7" s="279">
        <f>H7+I7</f>
      </c>
      <c r="K7" s="280"/>
      <c r="L7" s="123">
        <f>K7*I7</f>
      </c>
      <c r="M7" s="123">
        <f>K7*J7</f>
      </c>
      <c r="N7" s="16"/>
      <c r="O7" s="16"/>
      <c r="P7" s="282">
        <f>IF(ISBLANK(N7),O7/4.3,N7/20)</f>
      </c>
      <c r="Q7" s="280"/>
      <c r="R7" s="280"/>
      <c r="S7" s="280"/>
      <c r="T7" s="256">
        <f>IF(ISBLANK(R7),0,X7)</f>
      </c>
      <c r="U7" s="256">
        <f>IF(ISBLANK(S7),0,X7)</f>
      </c>
      <c r="V7" s="284">
        <f>IFERROR(Q7/K7,0)</f>
      </c>
      <c r="W7" s="123">
        <f>IFERROR(L7*V7,0)</f>
      </c>
      <c r="X7" s="256">
        <f>IFERROR(Q7+W7,0)</f>
      </c>
      <c r="Y7" s="256">
        <f>IFERROR(M7*V7,0)</f>
      </c>
      <c r="Z7" s="256">
        <f>Y7-(Y7*$B$1)</f>
      </c>
      <c r="AA7" s="285">
        <f>IFERROR(Z7/X7,0)</f>
      </c>
      <c r="AB7" s="286">
        <f>IFERROR(IF(ISBLANK(N7),Y7/O7,Y7/N7),0)</f>
      </c>
      <c r="AC7" s="286">
        <f>IFERROR(-1*(AB7*B$1),0)</f>
      </c>
      <c r="AD7" s="286">
        <f>IFERROR(SUM(AB7:AC7),0)</f>
      </c>
      <c r="AE7" s="286">
        <f>IF(ISBLANK(N7),AD7,AD7*5)</f>
      </c>
      <c r="AF7" s="287">
        <f>SUM(AG7:BE7)</f>
      </c>
      <c r="AG7" s="283"/>
      <c r="AH7" s="283"/>
      <c r="AI7" s="283"/>
      <c r="AJ7" s="283"/>
      <c r="AK7" s="283"/>
      <c r="AL7" s="283"/>
      <c r="AM7" s="283"/>
      <c r="AN7" s="283"/>
      <c r="AO7" s="283"/>
      <c r="AP7" s="283"/>
      <c r="AQ7" s="283"/>
      <c r="AR7" s="283"/>
      <c r="AS7" s="283"/>
      <c r="AT7" s="278"/>
      <c r="AU7" s="278"/>
      <c r="AV7" s="278"/>
      <c r="AW7" s="278"/>
      <c r="AX7" s="278"/>
      <c r="AY7" s="278"/>
      <c r="AZ7" s="278"/>
      <c r="BA7" s="278"/>
      <c r="BB7" s="278"/>
      <c r="BC7" s="281"/>
      <c r="BD7" s="281"/>
      <c r="BE7" s="281"/>
      <c r="BF7" s="286">
        <f>Z7-AF7</f>
      </c>
      <c r="BG7" s="284">
        <f>IFERROR(AF7/Z7,0)</f>
      </c>
      <c r="BH7" s="284">
        <f>IFERROR(AF7/X7,0)</f>
      </c>
      <c r="BI7" s="284">
        <f>IFERROR(X7/SUM(X$6:X$20),0)</f>
      </c>
      <c r="BJ7" s="284">
        <f>IFERROR(BF7/SUM(BF$3:BF204),0)</f>
      </c>
      <c r="BK7" s="288">
        <f>BF7/'R&amp;H Portfolio'!Q$10</f>
      </c>
      <c r="BL7" s="286">
        <f>BI7*P7</f>
      </c>
      <c r="BM7" s="137"/>
      <c r="BN7" s="327">
        <f>IF(BM7="YES", BF7, "")</f>
      </c>
      <c r="BO7" s="17"/>
    </row>
    <row x14ac:dyDescent="0.25" r="8" customHeight="1" ht="15">
      <c r="A8" s="17"/>
      <c r="B8" s="326"/>
      <c r="C8" s="275"/>
      <c r="D8" s="3"/>
      <c r="E8" s="3"/>
      <c r="F8" s="3"/>
      <c r="G8" s="276"/>
      <c r="H8" s="18"/>
      <c r="I8" s="18"/>
      <c r="J8" s="279">
        <f>H8+I8</f>
      </c>
      <c r="K8" s="280"/>
      <c r="L8" s="123">
        <f>K8*I8</f>
      </c>
      <c r="M8" s="123">
        <f>K8*J8</f>
      </c>
      <c r="N8" s="16"/>
      <c r="O8" s="16"/>
      <c r="P8" s="282">
        <f>IF(ISBLANK(N8),O8/4.3,N8/20)</f>
      </c>
      <c r="Q8" s="280"/>
      <c r="R8" s="280"/>
      <c r="S8" s="280"/>
      <c r="T8" s="256">
        <f>IF(ISBLANK(R8),0,X8)</f>
      </c>
      <c r="U8" s="256">
        <f>IF(ISBLANK(S8),0,X8)</f>
      </c>
      <c r="V8" s="284">
        <f>IFERROR(Q8/K8,0)</f>
      </c>
      <c r="W8" s="123">
        <f>IFERROR(L8*V8,0)</f>
      </c>
      <c r="X8" s="256">
        <f>IFERROR(Q8+W8,0)</f>
      </c>
      <c r="Y8" s="256">
        <f>IFERROR(M8*V8,0)</f>
      </c>
      <c r="Z8" s="256">
        <f>Y8-(Y8*$B$1)</f>
      </c>
      <c r="AA8" s="285">
        <f>IFERROR(Z8/X8,0)</f>
      </c>
      <c r="AB8" s="286">
        <f>IFERROR(IF(ISBLANK(N8),Y8/O8,Y8/N8),0)</f>
      </c>
      <c r="AC8" s="286">
        <f>IFERROR(-1*(AB8*B$1),0)</f>
      </c>
      <c r="AD8" s="286">
        <f>IFERROR(SUM(AB8:AC8),0)</f>
      </c>
      <c r="AE8" s="286">
        <f>IF(ISBLANK(N8),AD8,AD8*5)</f>
      </c>
      <c r="AF8" s="287">
        <f>SUM(AG8:BE8)</f>
      </c>
      <c r="AG8" s="283"/>
      <c r="AH8" s="283"/>
      <c r="AI8" s="283"/>
      <c r="AJ8" s="283"/>
      <c r="AK8" s="283"/>
      <c r="AL8" s="283"/>
      <c r="AM8" s="283"/>
      <c r="AN8" s="283"/>
      <c r="AO8" s="283"/>
      <c r="AP8" s="283"/>
      <c r="AQ8" s="283"/>
      <c r="AR8" s="283"/>
      <c r="AS8" s="283"/>
      <c r="AT8" s="278"/>
      <c r="AU8" s="278"/>
      <c r="AV8" s="278"/>
      <c r="AW8" s="278"/>
      <c r="AX8" s="278"/>
      <c r="AY8" s="278"/>
      <c r="AZ8" s="278"/>
      <c r="BA8" s="278"/>
      <c r="BB8" s="278"/>
      <c r="BC8" s="281"/>
      <c r="BD8" s="281"/>
      <c r="BE8" s="281"/>
      <c r="BF8" s="286">
        <f>Z8-AF8</f>
      </c>
      <c r="BG8" s="284">
        <f>IFERROR(AF8/Z8,0)</f>
      </c>
      <c r="BH8" s="284">
        <f>IFERROR(AF8/X8,0)</f>
      </c>
      <c r="BI8" s="284">
        <f>IFERROR(X8/SUM(X$6:X$20),0)</f>
      </c>
      <c r="BJ8" s="284">
        <f>IFERROR(BF8/SUM(BF$3:BF205),0)</f>
      </c>
      <c r="BK8" s="288">
        <f>BF8/'R&amp;H Portfolio'!Q$10</f>
      </c>
      <c r="BL8" s="286">
        <f>BI8*P8</f>
      </c>
      <c r="BM8" s="137"/>
      <c r="BN8" s="327">
        <f>IF(BM8="YES", BF8, "")</f>
      </c>
      <c r="BO8" s="17"/>
    </row>
    <row x14ac:dyDescent="0.25" r="9" customHeight="1" ht="15">
      <c r="A9" s="17"/>
      <c r="B9" s="326"/>
      <c r="C9" s="275"/>
      <c r="D9" s="3"/>
      <c r="E9" s="3"/>
      <c r="F9" s="3"/>
      <c r="G9" s="276"/>
      <c r="H9" s="18"/>
      <c r="I9" s="18"/>
      <c r="J9" s="279">
        <f>H9+I9</f>
      </c>
      <c r="K9" s="280"/>
      <c r="L9" s="123">
        <f>K9*I9</f>
      </c>
      <c r="M9" s="123">
        <f>K9*J9</f>
      </c>
      <c r="N9" s="16"/>
      <c r="O9" s="16"/>
      <c r="P9" s="282">
        <f>IF(ISBLANK(N9),O9/4.3,N9/20)</f>
      </c>
      <c r="Q9" s="280"/>
      <c r="R9" s="280"/>
      <c r="S9" s="280"/>
      <c r="T9" s="256">
        <f>IF(ISBLANK(R9),0,X9)</f>
      </c>
      <c r="U9" s="256">
        <f>IF(ISBLANK(S9),0,X9)</f>
      </c>
      <c r="V9" s="284">
        <f>IFERROR(Q9/K9,0)</f>
      </c>
      <c r="W9" s="123">
        <f>IFERROR(L9*V9,0)</f>
      </c>
      <c r="X9" s="256">
        <f>IFERROR(Q9+W9,0)</f>
      </c>
      <c r="Y9" s="256">
        <f>IFERROR(M9*V9,0)</f>
      </c>
      <c r="Z9" s="256">
        <f>Y9-(Y9*$B$1)</f>
      </c>
      <c r="AA9" s="285">
        <f>IFERROR(Z9/X9,0)</f>
      </c>
      <c r="AB9" s="286">
        <f>IFERROR(IF(ISBLANK(N9),Y9/O9,Y9/N9),0)</f>
      </c>
      <c r="AC9" s="286">
        <f>IFERROR(-1*(AB9*B$1),0)</f>
      </c>
      <c r="AD9" s="286">
        <f>IFERROR(SUM(AB9:AC9),0)</f>
      </c>
      <c r="AE9" s="286">
        <f>IF(ISBLANK(N9),AD9,AD9*5)</f>
      </c>
      <c r="AF9" s="287">
        <f>SUM(AG9:BE9)</f>
      </c>
      <c r="AG9" s="283"/>
      <c r="AH9" s="283"/>
      <c r="AI9" s="283"/>
      <c r="AJ9" s="283"/>
      <c r="AK9" s="283"/>
      <c r="AL9" s="283"/>
      <c r="AM9" s="283"/>
      <c r="AN9" s="283"/>
      <c r="AO9" s="283"/>
      <c r="AP9" s="283"/>
      <c r="AQ9" s="283"/>
      <c r="AR9" s="283"/>
      <c r="AS9" s="283"/>
      <c r="AT9" s="278"/>
      <c r="AU9" s="278"/>
      <c r="AV9" s="278"/>
      <c r="AW9" s="278"/>
      <c r="AX9" s="278"/>
      <c r="AY9" s="278"/>
      <c r="AZ9" s="278"/>
      <c r="BA9" s="278"/>
      <c r="BB9" s="278"/>
      <c r="BC9" s="281"/>
      <c r="BD9" s="281"/>
      <c r="BE9" s="281"/>
      <c r="BF9" s="286">
        <f>Z9-AF9</f>
      </c>
      <c r="BG9" s="284">
        <f>IFERROR(AF9/Z9,0)</f>
      </c>
      <c r="BH9" s="284">
        <f>IFERROR(AF9/X9,0)</f>
      </c>
      <c r="BI9" s="284">
        <f>IFERROR(X9/SUM(X$6:X$20),0)</f>
      </c>
      <c r="BJ9" s="284">
        <f>IFERROR(BF9/SUM(BF$3:BF206),0)</f>
      </c>
      <c r="BK9" s="288">
        <f>BF9/'R&amp;H Portfolio'!Q$10</f>
      </c>
      <c r="BL9" s="286">
        <f>BI9*P9</f>
      </c>
      <c r="BM9" s="137"/>
      <c r="BN9" s="327">
        <f>IF(BM9="YES", BF9, "")</f>
      </c>
      <c r="BO9" s="17"/>
    </row>
    <row x14ac:dyDescent="0.25" r="10" customHeight="1" ht="15">
      <c r="A10" s="17"/>
      <c r="B10" s="326"/>
      <c r="C10" s="275"/>
      <c r="D10" s="3"/>
      <c r="E10" s="3"/>
      <c r="F10" s="3"/>
      <c r="G10" s="276"/>
      <c r="H10" s="18"/>
      <c r="I10" s="18"/>
      <c r="J10" s="279">
        <f>H10+I10</f>
      </c>
      <c r="K10" s="280"/>
      <c r="L10" s="123">
        <f>K10*I10</f>
      </c>
      <c r="M10" s="123">
        <f>K10*J10</f>
      </c>
      <c r="N10" s="16"/>
      <c r="O10" s="16"/>
      <c r="P10" s="282">
        <f>IF(ISBLANK(N10),O10/4.3,N10/20)</f>
      </c>
      <c r="Q10" s="280"/>
      <c r="R10" s="280"/>
      <c r="S10" s="280"/>
      <c r="T10" s="256">
        <f>IF(ISBLANK(R10),0,X10)</f>
      </c>
      <c r="U10" s="256">
        <f>IF(ISBLANK(S10),0,X10)</f>
      </c>
      <c r="V10" s="284">
        <f>IFERROR(Q10/K10,0)</f>
      </c>
      <c r="W10" s="123">
        <f>IFERROR(L10*V10,0)</f>
      </c>
      <c r="X10" s="256">
        <f>IFERROR(Q10+W10,0)</f>
      </c>
      <c r="Y10" s="256">
        <f>IFERROR(M10*V10,0)</f>
      </c>
      <c r="Z10" s="256">
        <f>Y10-(Y10*$B$1)</f>
      </c>
      <c r="AA10" s="285">
        <f>IFERROR(Z10/X10,0)</f>
      </c>
      <c r="AB10" s="286">
        <f>IFERROR(IF(ISBLANK(N10),Y10/O10,Y10/N10),0)</f>
      </c>
      <c r="AC10" s="286">
        <f>IFERROR(-1*(AB10*B$1),0)</f>
      </c>
      <c r="AD10" s="286">
        <f>IFERROR(SUM(AB10:AC10),0)</f>
      </c>
      <c r="AE10" s="286">
        <f>IF(ISBLANK(N10),AD10,AD10*5)</f>
      </c>
      <c r="AF10" s="287">
        <f>SUM(AG10:BE10)</f>
      </c>
      <c r="AG10" s="283"/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3"/>
      <c r="AS10" s="283"/>
      <c r="AT10" s="278"/>
      <c r="AU10" s="278"/>
      <c r="AV10" s="278"/>
      <c r="AW10" s="278"/>
      <c r="AX10" s="278"/>
      <c r="AY10" s="278"/>
      <c r="AZ10" s="278"/>
      <c r="BA10" s="278"/>
      <c r="BB10" s="278"/>
      <c r="BC10" s="281"/>
      <c r="BD10" s="281"/>
      <c r="BE10" s="281"/>
      <c r="BF10" s="286">
        <f>Z10-AF10</f>
      </c>
      <c r="BG10" s="284">
        <f>IFERROR(AF10/Z10,0)</f>
      </c>
      <c r="BH10" s="284">
        <f>IFERROR(AF10/X10,0)</f>
      </c>
      <c r="BI10" s="284">
        <f>IFERROR(X10/SUM(X$6:X$20),0)</f>
      </c>
      <c r="BJ10" s="284">
        <f>IFERROR(BF10/SUM(BF$3:BF207),0)</f>
      </c>
      <c r="BK10" s="288">
        <f>BF10/'R&amp;H Portfolio'!Q$10</f>
      </c>
      <c r="BL10" s="286">
        <f>BI10*P10</f>
      </c>
      <c r="BM10" s="137"/>
      <c r="BN10" s="327">
        <f>IF(BM10="YES", BF10, "")</f>
      </c>
      <c r="BO10" s="17"/>
    </row>
    <row x14ac:dyDescent="0.25" r="11" customHeight="1" ht="15">
      <c r="A11" s="17"/>
      <c r="B11" s="326"/>
      <c r="C11" s="275"/>
      <c r="D11" s="3"/>
      <c r="E11" s="3"/>
      <c r="F11" s="3"/>
      <c r="G11" s="276"/>
      <c r="H11" s="18"/>
      <c r="I11" s="18"/>
      <c r="J11" s="279">
        <f>H11+I11</f>
      </c>
      <c r="K11" s="280"/>
      <c r="L11" s="123">
        <f>K11*I11</f>
      </c>
      <c r="M11" s="123">
        <f>K11*J11</f>
      </c>
      <c r="N11" s="16"/>
      <c r="O11" s="16"/>
      <c r="P11" s="282">
        <f>IF(ISBLANK(N11),O11/4.3,N11/20)</f>
      </c>
      <c r="Q11" s="280"/>
      <c r="R11" s="280"/>
      <c r="S11" s="280"/>
      <c r="T11" s="256">
        <f>IF(ISBLANK(R11),0,X11)</f>
      </c>
      <c r="U11" s="256">
        <f>IF(ISBLANK(S11),0,X11)</f>
      </c>
      <c r="V11" s="284">
        <f>IFERROR(Q11/K11,0)</f>
      </c>
      <c r="W11" s="123">
        <f>IFERROR(L11*V11,0)</f>
      </c>
      <c r="X11" s="256">
        <f>IFERROR(Q11+W11,0)</f>
      </c>
      <c r="Y11" s="256">
        <f>IFERROR(M11*V11,0)</f>
      </c>
      <c r="Z11" s="256">
        <f>Y11-(Y11*$B$1)</f>
      </c>
      <c r="AA11" s="285">
        <f>IFERROR(Z11/X11,0)</f>
      </c>
      <c r="AB11" s="286">
        <f>IFERROR(IF(ISBLANK(N11),Y11/O11,Y11/N11),0)</f>
      </c>
      <c r="AC11" s="286">
        <f>IFERROR(-1*(AB11*B$1),0)</f>
      </c>
      <c r="AD11" s="286">
        <f>IFERROR(SUM(AB11:AC11),0)</f>
      </c>
      <c r="AE11" s="286">
        <f>IF(ISBLANK(N11),AD11,AD11*5)</f>
      </c>
      <c r="AF11" s="287">
        <f>SUM(AG11:BE11)</f>
      </c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83"/>
      <c r="AR11" s="283"/>
      <c r="AS11" s="283"/>
      <c r="AT11" s="278"/>
      <c r="AU11" s="278"/>
      <c r="AV11" s="278"/>
      <c r="AW11" s="278"/>
      <c r="AX11" s="278"/>
      <c r="AY11" s="278"/>
      <c r="AZ11" s="278"/>
      <c r="BA11" s="278"/>
      <c r="BB11" s="278"/>
      <c r="BC11" s="281"/>
      <c r="BD11" s="281"/>
      <c r="BE11" s="281"/>
      <c r="BF11" s="286">
        <f>Z11-AF11</f>
      </c>
      <c r="BG11" s="284">
        <f>IFERROR(AF11/Z11,0)</f>
      </c>
      <c r="BH11" s="284">
        <f>IFERROR(AF11/X11,0)</f>
      </c>
      <c r="BI11" s="284">
        <f>IFERROR(X11/SUM(X$6:X$20),0)</f>
      </c>
      <c r="BJ11" s="284">
        <f>IFERROR(BF11/SUM(BF$3:BF208),0)</f>
      </c>
      <c r="BK11" s="288">
        <f>BF11/'R&amp;H Portfolio'!Q$10</f>
      </c>
      <c r="BL11" s="286">
        <f>BI11*P11</f>
      </c>
      <c r="BM11" s="137"/>
      <c r="BN11" s="327">
        <f>IF(BM11="YES", BF11, "")</f>
      </c>
      <c r="BO11" s="328" t="s">
        <v>171</v>
      </c>
    </row>
    <row x14ac:dyDescent="0.25" r="12" customHeight="1" ht="15">
      <c r="A12" s="17"/>
      <c r="B12" s="326"/>
      <c r="C12" s="275"/>
      <c r="D12" s="3"/>
      <c r="E12" s="3"/>
      <c r="F12" s="3"/>
      <c r="G12" s="276"/>
      <c r="H12" s="18"/>
      <c r="I12" s="18"/>
      <c r="J12" s="279">
        <f>H12+I12</f>
      </c>
      <c r="K12" s="280"/>
      <c r="L12" s="123">
        <f>K12*I12</f>
      </c>
      <c r="M12" s="123">
        <f>K12*J12</f>
      </c>
      <c r="N12" s="16"/>
      <c r="O12" s="16"/>
      <c r="P12" s="282">
        <f>IF(ISBLANK(N12),O12/4.3,N12/20)</f>
      </c>
      <c r="Q12" s="280"/>
      <c r="R12" s="280"/>
      <c r="S12" s="280"/>
      <c r="T12" s="256">
        <f>IF(ISBLANK(R12),0,X12)</f>
      </c>
      <c r="U12" s="256">
        <f>IF(ISBLANK(S12),0,X12)</f>
      </c>
      <c r="V12" s="284">
        <f>IFERROR(Q12/K12,0)</f>
      </c>
      <c r="W12" s="123">
        <f>IFERROR(L12*V12,0)</f>
      </c>
      <c r="X12" s="256">
        <f>IFERROR(Q12+W12,0)</f>
      </c>
      <c r="Y12" s="256">
        <f>IFERROR(M12*V12,0)</f>
      </c>
      <c r="Z12" s="256">
        <f>Y12-(Y12*$B$1)</f>
      </c>
      <c r="AA12" s="285">
        <f>IFERROR(Z12/X12,0)</f>
      </c>
      <c r="AB12" s="286">
        <f>IFERROR(IF(ISBLANK(N12),Y12/O12,Y12/N12),0)</f>
      </c>
      <c r="AC12" s="286">
        <f>IFERROR(-1*(AB12*B$1),0)</f>
      </c>
      <c r="AD12" s="286">
        <f>IFERROR(SUM(AB12:AC12),0)</f>
      </c>
      <c r="AE12" s="286">
        <f>IF(ISBLANK(N12),AD12,AD12*5)</f>
      </c>
      <c r="AF12" s="287">
        <f>SUM(AG12:BE12)</f>
      </c>
      <c r="AG12" s="283"/>
      <c r="AH12" s="28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83"/>
      <c r="AT12" s="278"/>
      <c r="AU12" s="278"/>
      <c r="AV12" s="278"/>
      <c r="AW12" s="278"/>
      <c r="AX12" s="278"/>
      <c r="AY12" s="278"/>
      <c r="AZ12" s="278"/>
      <c r="BA12" s="278"/>
      <c r="BB12" s="278"/>
      <c r="BC12" s="281"/>
      <c r="BD12" s="281"/>
      <c r="BE12" s="281"/>
      <c r="BF12" s="286">
        <f>Z12-AF12</f>
      </c>
      <c r="BG12" s="284">
        <f>IFERROR(AF12/Z12,0)</f>
      </c>
      <c r="BH12" s="284">
        <f>IFERROR(AF12/X12,0)</f>
      </c>
      <c r="BI12" s="284">
        <f>IFERROR(X12/SUM(X$6:X$20),0)</f>
      </c>
      <c r="BJ12" s="284">
        <f>IFERROR(BF12/SUM(BF$3:BF209),0)</f>
      </c>
      <c r="BK12" s="288">
        <f>BF12/'R&amp;H Portfolio'!Q$10</f>
      </c>
      <c r="BL12" s="286">
        <f>BI12*P12</f>
      </c>
      <c r="BM12" s="137"/>
      <c r="BN12" s="327">
        <f>IF(BM12="YES", BF12, "")</f>
      </c>
      <c r="BO12" s="17"/>
    </row>
    <row x14ac:dyDescent="0.25" r="13" customHeight="1" ht="16">
      <c r="A13" s="17"/>
      <c r="B13" s="326"/>
      <c r="C13" s="3"/>
      <c r="D13" s="3"/>
      <c r="E13" s="3"/>
      <c r="F13" s="3"/>
      <c r="G13" s="276"/>
      <c r="H13" s="18"/>
      <c r="I13" s="18"/>
      <c r="J13" s="279">
        <f>H13+I13</f>
      </c>
      <c r="K13" s="280"/>
      <c r="L13" s="123">
        <f>K13*I13</f>
      </c>
      <c r="M13" s="123">
        <f>K13*J13</f>
      </c>
      <c r="N13" s="16"/>
      <c r="O13" s="16"/>
      <c r="P13" s="282">
        <f>IF(ISBLANK(N13),O13/4.3,N13/20)</f>
      </c>
      <c r="Q13" s="280"/>
      <c r="R13" s="280"/>
      <c r="S13" s="280"/>
      <c r="T13" s="256"/>
      <c r="U13" s="256">
        <f>IF(ISBLANK(S13),0,X13)</f>
      </c>
      <c r="V13" s="284">
        <f>IFERROR(Q13/K13,0)</f>
      </c>
      <c r="W13" s="123">
        <f>IFERROR(L13*V13,0)</f>
      </c>
      <c r="X13" s="256">
        <f>IFERROR(Q13+W13,0)</f>
      </c>
      <c r="Y13" s="256">
        <f>IFERROR(M13*V13,0)</f>
      </c>
      <c r="Z13" s="256">
        <f>Y13-(Y13*$B$1)</f>
      </c>
      <c r="AA13" s="285">
        <f>IFERROR(Z13/X13,0)</f>
      </c>
      <c r="AB13" s="286">
        <f>IFERROR(IF(ISBLANK(N13),Y13/O13,Y13/N13),0)</f>
      </c>
      <c r="AC13" s="286">
        <f>IFERROR(-1*(AB13*B$1),0)</f>
      </c>
      <c r="AD13" s="286">
        <f>IFERROR(SUM(AB13:AC13),0)</f>
      </c>
      <c r="AE13" s="286">
        <f>IF(ISBLANK(N13),AD13,AD13*5)</f>
      </c>
      <c r="AF13" s="287">
        <f>SUM(AG13:BE13)</f>
      </c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3"/>
      <c r="AT13" s="278"/>
      <c r="AU13" s="278"/>
      <c r="AV13" s="278"/>
      <c r="AW13" s="278"/>
      <c r="AX13" s="278"/>
      <c r="AY13" s="278"/>
      <c r="AZ13" s="278"/>
      <c r="BA13" s="278"/>
      <c r="BB13" s="278"/>
      <c r="BC13" s="281"/>
      <c r="BD13" s="281"/>
      <c r="BE13" s="281"/>
      <c r="BF13" s="286">
        <f>Z13-AF13</f>
      </c>
      <c r="BG13" s="284">
        <f>IFERROR(AF13/Z13,0)</f>
      </c>
      <c r="BH13" s="284">
        <f>IFERROR(AF13/X13,0)</f>
      </c>
      <c r="BI13" s="284">
        <f>IFERROR(X13/SUM(X$6:X$20),0)</f>
      </c>
      <c r="BJ13" s="284">
        <f>IFERROR(BF13/SUM(BF$3:BF210),0)</f>
      </c>
      <c r="BK13" s="288">
        <f>BF13/'R&amp;H Portfolio'!Q$10</f>
      </c>
      <c r="BL13" s="286">
        <f>BI13*P13</f>
      </c>
      <c r="BM13" s="137"/>
      <c r="BN13" s="327">
        <f>IF(BM13="YES", BF13, "")</f>
      </c>
      <c r="BO13" s="17"/>
    </row>
    <row x14ac:dyDescent="0.25" r="14" customHeight="1" ht="15">
      <c r="A14" s="17"/>
      <c r="B14" s="326"/>
      <c r="C14" s="3"/>
      <c r="D14" s="3"/>
      <c r="E14" s="3"/>
      <c r="F14" s="3"/>
      <c r="G14" s="276"/>
      <c r="H14" s="18"/>
      <c r="I14" s="18"/>
      <c r="J14" s="279">
        <f>H14+I14</f>
      </c>
      <c r="K14" s="280"/>
      <c r="L14" s="123">
        <f>K14*I14</f>
      </c>
      <c r="M14" s="123">
        <f>K14*J14</f>
      </c>
      <c r="N14" s="16"/>
      <c r="O14" s="16"/>
      <c r="P14" s="282">
        <f>IF(ISBLANK(N14),O14/4.3,N14/20)</f>
      </c>
      <c r="Q14" s="280"/>
      <c r="R14" s="280"/>
      <c r="S14" s="280"/>
      <c r="T14" s="256">
        <f>IF(ISBLANK(R14),0,X14)</f>
      </c>
      <c r="U14" s="256">
        <f>IF(ISBLANK(S14),0,X14)</f>
      </c>
      <c r="V14" s="284">
        <f>IFERROR(Q14/K14,0)</f>
      </c>
      <c r="W14" s="123">
        <f>IFERROR(L14*V14,0)</f>
      </c>
      <c r="X14" s="256">
        <f>IFERROR(Q14+W14,0)</f>
      </c>
      <c r="Y14" s="256">
        <f>IFERROR(M14*V14,0)</f>
      </c>
      <c r="Z14" s="256">
        <f>Y14-(Y14*$B$1)</f>
      </c>
      <c r="AA14" s="285">
        <f>IFERROR(Z14/X14,0)</f>
      </c>
      <c r="AB14" s="286">
        <f>IFERROR(IF(ISBLANK(N14),Y14/O14,Y14/N14),0)</f>
      </c>
      <c r="AC14" s="286">
        <f>IFERROR(-1*(AB14*B$1),0)</f>
      </c>
      <c r="AD14" s="286">
        <f>IFERROR(SUM(AB14:AC14),0)</f>
      </c>
      <c r="AE14" s="286">
        <f>IF(ISBLANK(N14),AD14,AD14*5)</f>
      </c>
      <c r="AF14" s="287">
        <f>SUM(AG14:BE14)</f>
      </c>
      <c r="AG14" s="283"/>
      <c r="AH14" s="283"/>
      <c r="AI14" s="283"/>
      <c r="AJ14" s="283"/>
      <c r="AK14" s="283"/>
      <c r="AL14" s="283"/>
      <c r="AM14" s="283"/>
      <c r="AN14" s="283"/>
      <c r="AO14" s="283"/>
      <c r="AP14" s="283"/>
      <c r="AQ14" s="283"/>
      <c r="AR14" s="283"/>
      <c r="AS14" s="283"/>
      <c r="AT14" s="278"/>
      <c r="AU14" s="278"/>
      <c r="AV14" s="278"/>
      <c r="AW14" s="278"/>
      <c r="AX14" s="278"/>
      <c r="AY14" s="278"/>
      <c r="AZ14" s="278"/>
      <c r="BA14" s="278"/>
      <c r="BB14" s="278"/>
      <c r="BC14" s="281"/>
      <c r="BD14" s="281"/>
      <c r="BE14" s="281"/>
      <c r="BF14" s="286">
        <f>Z14-AF14</f>
      </c>
      <c r="BG14" s="284">
        <f>IFERROR(AF14/Z14,0)</f>
      </c>
      <c r="BH14" s="284">
        <f>IFERROR(AF14/X14,0)</f>
      </c>
      <c r="BI14" s="284">
        <f>IFERROR(X14/SUM(X$6:X$20),0)</f>
      </c>
      <c r="BJ14" s="284">
        <f>IFERROR(BF14/SUM(BF$3:BF211),0)</f>
      </c>
      <c r="BK14" s="288">
        <f>BF14/'R&amp;H Portfolio'!Q$10</f>
      </c>
      <c r="BL14" s="286">
        <f>BI14*P14</f>
      </c>
      <c r="BM14" s="137"/>
      <c r="BN14" s="327">
        <f>IF(BM14="YES", BF14, "")</f>
      </c>
      <c r="BO14" s="17"/>
    </row>
    <row x14ac:dyDescent="0.25" r="15" customHeight="1" ht="15">
      <c r="A15" s="17"/>
      <c r="B15" s="326"/>
      <c r="C15" s="275"/>
      <c r="D15" s="3"/>
      <c r="E15" s="3"/>
      <c r="F15" s="3"/>
      <c r="G15" s="276"/>
      <c r="H15" s="18"/>
      <c r="I15" s="18"/>
      <c r="J15" s="279">
        <f>H15+I15</f>
      </c>
      <c r="K15" s="280"/>
      <c r="L15" s="123">
        <f>K15*I15</f>
      </c>
      <c r="M15" s="123">
        <f>K15*J15</f>
      </c>
      <c r="N15" s="16"/>
      <c r="O15" s="16"/>
      <c r="P15" s="282">
        <f>IF(ISBLANK(N15),O15/4.3,N15/20)</f>
      </c>
      <c r="Q15" s="280"/>
      <c r="R15" s="280"/>
      <c r="S15" s="280"/>
      <c r="T15" s="256">
        <f>IF(ISBLANK(R15),0,X15)</f>
      </c>
      <c r="U15" s="256">
        <f>IF(ISBLANK(S15),0,X15)</f>
      </c>
      <c r="V15" s="284">
        <f>IFERROR(Q15/K15,0)</f>
      </c>
      <c r="W15" s="123">
        <f>IFERROR(L15*V15,0)</f>
      </c>
      <c r="X15" s="256">
        <f>IFERROR(Q15+W15,0)</f>
      </c>
      <c r="Y15" s="256">
        <f>IFERROR(M15*V15,0)</f>
      </c>
      <c r="Z15" s="256">
        <f>Y15-(Y15*$B$1)</f>
      </c>
      <c r="AA15" s="285">
        <f>IFERROR(Z15/X15,0)</f>
      </c>
      <c r="AB15" s="286">
        <f>IFERROR(IF(ISBLANK(N15),Y15/O15,Y15/N15),0)</f>
      </c>
      <c r="AC15" s="286">
        <f>IFERROR(-1*(AB15*B$1),0)</f>
      </c>
      <c r="AD15" s="286">
        <f>IFERROR(SUM(AB15:AC15),0)</f>
      </c>
      <c r="AE15" s="286">
        <f>IF(ISBLANK(N15),AD15,AD15*5)</f>
      </c>
      <c r="AF15" s="287">
        <f>SUM(AG15:AZ15)</f>
      </c>
      <c r="AG15" s="283"/>
      <c r="AH15" s="283"/>
      <c r="AI15" s="283"/>
      <c r="AJ15" s="283"/>
      <c r="AK15" s="283"/>
      <c r="AL15" s="283"/>
      <c r="AM15" s="283"/>
      <c r="AN15" s="283"/>
      <c r="AO15" s="283"/>
      <c r="AP15" s="283"/>
      <c r="AQ15" s="283"/>
      <c r="AR15" s="283"/>
      <c r="AS15" s="283"/>
      <c r="AT15" s="278"/>
      <c r="AU15" s="278"/>
      <c r="AV15" s="278"/>
      <c r="AW15" s="278"/>
      <c r="AX15" s="278"/>
      <c r="AY15" s="278"/>
      <c r="AZ15" s="278"/>
      <c r="BA15" s="278"/>
      <c r="BB15" s="278"/>
      <c r="BC15" s="281"/>
      <c r="BD15" s="281"/>
      <c r="BE15" s="281"/>
      <c r="BF15" s="286">
        <f>Z15-AF15</f>
      </c>
      <c r="BG15" s="284">
        <f>IFERROR(AF15/Z15,0)</f>
      </c>
      <c r="BH15" s="284">
        <f>IFERROR(AF15/X15,0)</f>
      </c>
      <c r="BI15" s="284">
        <f>IFERROR(X15/SUM(X$6:X$20),0)</f>
      </c>
      <c r="BJ15" s="284">
        <f>IFERROR(BF15/SUM(BF$3:BF212),0)</f>
      </c>
      <c r="BK15" s="288">
        <f>BF15/'R&amp;H Portfolio'!Q$10</f>
      </c>
      <c r="BL15" s="286">
        <f>BI15*P15</f>
      </c>
      <c r="BM15" s="137"/>
      <c r="BN15" s="327">
        <f>IF(BM15="YES", BF15, "")</f>
      </c>
      <c r="BO15" s="17"/>
    </row>
    <row x14ac:dyDescent="0.25" r="16" customHeight="1" ht="15">
      <c r="A16" s="17"/>
      <c r="B16" s="326"/>
      <c r="C16" s="275"/>
      <c r="D16" s="3"/>
      <c r="E16" s="3"/>
      <c r="F16" s="3"/>
      <c r="G16" s="276"/>
      <c r="H16" s="18"/>
      <c r="I16" s="18"/>
      <c r="J16" s="279">
        <f>H16+I16</f>
      </c>
      <c r="K16" s="280"/>
      <c r="L16" s="123">
        <f>K16*I16</f>
      </c>
      <c r="M16" s="123">
        <f>K16*J16</f>
      </c>
      <c r="N16" s="16"/>
      <c r="O16" s="16"/>
      <c r="P16" s="282">
        <f>IF(ISBLANK(N16),O16/4.3,N16/20)</f>
      </c>
      <c r="Q16" s="280"/>
      <c r="R16" s="280"/>
      <c r="S16" s="280"/>
      <c r="T16" s="256">
        <f>IF(ISBLANK(R16),0,X16)</f>
      </c>
      <c r="U16" s="256">
        <f>IF(ISBLANK(S16),0,X16)</f>
      </c>
      <c r="V16" s="284">
        <f>IFERROR(Q16/K16,0)</f>
      </c>
      <c r="W16" s="123">
        <f>IFERROR(L16*V16,0)</f>
      </c>
      <c r="X16" s="256">
        <f>IFERROR(Q16+W16,0)</f>
      </c>
      <c r="Y16" s="256">
        <f>IFERROR(M16*V16,0)</f>
      </c>
      <c r="Z16" s="256">
        <f>Y16-(Y16*$B$1)</f>
      </c>
      <c r="AA16" s="285">
        <f>IFERROR(Z16/X16,0)</f>
      </c>
      <c r="AB16" s="286">
        <f>IFERROR(IF(ISBLANK(N16),Y16/O16,Y16/N16),0)</f>
      </c>
      <c r="AC16" s="286">
        <f>IFERROR(-1*(AB16*B$1),0)</f>
      </c>
      <c r="AD16" s="286">
        <f>IFERROR(SUM(AB16:AC16),0)</f>
      </c>
      <c r="AE16" s="286">
        <f>IF(ISBLANK(N16),AD16,AD16*5)</f>
      </c>
      <c r="AF16" s="287">
        <f>SUM(AG16:AZ16)</f>
      </c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78"/>
      <c r="AU16" s="278"/>
      <c r="AV16" s="278"/>
      <c r="AW16" s="278"/>
      <c r="AX16" s="278"/>
      <c r="AY16" s="278"/>
      <c r="AZ16" s="278"/>
      <c r="BA16" s="278"/>
      <c r="BB16" s="278"/>
      <c r="BC16" s="281"/>
      <c r="BD16" s="281"/>
      <c r="BE16" s="281"/>
      <c r="BF16" s="286">
        <f>Z16-AF16</f>
      </c>
      <c r="BG16" s="284">
        <f>IFERROR(AF16/Y16,0)</f>
      </c>
      <c r="BH16" s="284">
        <f>IFERROR(AF16/X16,0)</f>
      </c>
      <c r="BI16" s="284">
        <f>IFERROR(X16/SUM(X$6:X$20),0)</f>
      </c>
      <c r="BJ16" s="284">
        <f>IFERROR(BF16/SUM(BF$3:BF213),0)</f>
      </c>
      <c r="BK16" s="288">
        <f>BF16/'R&amp;H Portfolio'!Q$10</f>
      </c>
      <c r="BL16" s="286">
        <f>BI16*P16</f>
      </c>
      <c r="BM16" s="137"/>
      <c r="BN16" s="327">
        <f>IF(BM16="YES", BF16, "")</f>
      </c>
      <c r="BO16" s="17"/>
    </row>
    <row x14ac:dyDescent="0.25" r="17" customHeight="1" ht="15">
      <c r="A17" s="17"/>
      <c r="B17" s="326"/>
      <c r="C17" s="275"/>
      <c r="D17" s="3"/>
      <c r="E17" s="3"/>
      <c r="F17" s="3"/>
      <c r="G17" s="276"/>
      <c r="H17" s="18"/>
      <c r="I17" s="18"/>
      <c r="J17" s="279">
        <f>H17+I17</f>
      </c>
      <c r="K17" s="280"/>
      <c r="L17" s="123">
        <f>K17*I17</f>
      </c>
      <c r="M17" s="123">
        <f>K17*J17</f>
      </c>
      <c r="N17" s="16"/>
      <c r="O17" s="16"/>
      <c r="P17" s="282">
        <f>IF(ISBLANK(N17),O17/4.3,N17/20)</f>
      </c>
      <c r="Q17" s="280"/>
      <c r="R17" s="280"/>
      <c r="S17" s="280"/>
      <c r="T17" s="256">
        <f>IF(ISBLANK(R17),0,X17)</f>
      </c>
      <c r="U17" s="256">
        <f>IF(ISBLANK(S17),0,X17)</f>
      </c>
      <c r="V17" s="284">
        <f>IFERROR(Q17/K17,0)</f>
      </c>
      <c r="W17" s="123">
        <f>IFERROR(L17*V17,0)</f>
      </c>
      <c r="X17" s="256">
        <f>IFERROR(Q17+W17,0)</f>
      </c>
      <c r="Y17" s="256">
        <f>IFERROR(M17*V17,0)</f>
      </c>
      <c r="Z17" s="256">
        <f>Y17-(Y17*$B$1)</f>
      </c>
      <c r="AA17" s="285">
        <f>IFERROR(Z17/X17,0)</f>
      </c>
      <c r="AB17" s="286">
        <f>IFERROR(IF(ISBLANK(N17),Y17/O17,Y17/N17),0)</f>
      </c>
      <c r="AC17" s="286">
        <f>IFERROR(-1*(AB17*B$1),0)</f>
      </c>
      <c r="AD17" s="286">
        <f>IFERROR(SUM(AB17:AC17),0)</f>
      </c>
      <c r="AE17" s="286">
        <f>IF(ISBLANK(N17),AD17,AD17*5)</f>
      </c>
      <c r="AF17" s="287">
        <f>SUM(AG17:AZ17)</f>
      </c>
      <c r="AG17" s="283"/>
      <c r="AH17" s="283"/>
      <c r="AI17" s="283"/>
      <c r="AJ17" s="283"/>
      <c r="AK17" s="283"/>
      <c r="AL17" s="283"/>
      <c r="AM17" s="283"/>
      <c r="AN17" s="283"/>
      <c r="AO17" s="283"/>
      <c r="AP17" s="283"/>
      <c r="AQ17" s="283"/>
      <c r="AR17" s="283"/>
      <c r="AS17" s="283"/>
      <c r="AT17" s="278"/>
      <c r="AU17" s="278"/>
      <c r="AV17" s="278"/>
      <c r="AW17" s="278"/>
      <c r="AX17" s="278"/>
      <c r="AY17" s="278"/>
      <c r="AZ17" s="278"/>
      <c r="BA17" s="278"/>
      <c r="BB17" s="278"/>
      <c r="BC17" s="281"/>
      <c r="BD17" s="281"/>
      <c r="BE17" s="281"/>
      <c r="BF17" s="286">
        <f>Z17-AF17</f>
      </c>
      <c r="BG17" s="284">
        <f>IFERROR(AF17/Y17,0)</f>
      </c>
      <c r="BH17" s="284">
        <f>IFERROR(AF17/X17,0)</f>
      </c>
      <c r="BI17" s="284">
        <f>IFERROR(X17/SUM(X$6:X$20),0)</f>
      </c>
      <c r="BJ17" s="284">
        <f>IFERROR(BF17/SUM(BF$3:BF214),0)</f>
      </c>
      <c r="BK17" s="288">
        <f>BF17/'R&amp;H Portfolio'!Q$10</f>
      </c>
      <c r="BL17" s="286">
        <f>BI17*P17</f>
      </c>
      <c r="BM17" s="137"/>
      <c r="BN17" s="327">
        <f>IF(BM17="YES", BF17, "")</f>
      </c>
      <c r="BO17" s="17"/>
    </row>
    <row x14ac:dyDescent="0.25" r="18" customHeight="1" ht="15">
      <c r="A18" s="17"/>
      <c r="B18" s="326"/>
      <c r="C18" s="275"/>
      <c r="D18" s="3"/>
      <c r="E18" s="3"/>
      <c r="F18" s="3"/>
      <c r="G18" s="276"/>
      <c r="H18" s="18"/>
      <c r="I18" s="18"/>
      <c r="J18" s="279">
        <f>H18+I18</f>
      </c>
      <c r="K18" s="280"/>
      <c r="L18" s="123">
        <f>K18*I18</f>
      </c>
      <c r="M18" s="123">
        <f>K18*J18</f>
      </c>
      <c r="N18" s="16"/>
      <c r="O18" s="16"/>
      <c r="P18" s="282">
        <f>IF(ISBLANK(N18),O18/4.3,N18/20)</f>
      </c>
      <c r="Q18" s="280"/>
      <c r="R18" s="280"/>
      <c r="S18" s="280"/>
      <c r="T18" s="256">
        <f>IF(ISBLANK(R18),0,X18)</f>
      </c>
      <c r="U18" s="256">
        <f>IF(ISBLANK(S18),0,X18)</f>
      </c>
      <c r="V18" s="284">
        <f>IFERROR(Q18/K18,0)</f>
      </c>
      <c r="W18" s="123">
        <f>IFERROR(L18*V18,0)</f>
      </c>
      <c r="X18" s="256">
        <f>IFERROR(Q18+W18,0)</f>
      </c>
      <c r="Y18" s="256">
        <f>IFERROR(M18*V18,0)</f>
      </c>
      <c r="Z18" s="256">
        <f>Y18-(Y18*$B$1)</f>
      </c>
      <c r="AA18" s="285">
        <f>IFERROR(Z18/X18,0)</f>
      </c>
      <c r="AB18" s="286">
        <f>IFERROR(IF(ISBLANK(N18),Y18/O18,Y18/N18),0)</f>
      </c>
      <c r="AC18" s="286">
        <f>IFERROR(-1*(AB18*B$1),0)</f>
      </c>
      <c r="AD18" s="286">
        <f>IFERROR(SUM(AB18:AC18),0)</f>
      </c>
      <c r="AE18" s="286">
        <f>IF(ISBLANK(N18),AD18,AD18*5)</f>
      </c>
      <c r="AF18" s="287">
        <f>SUM(AG18:AZ18)</f>
      </c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83"/>
      <c r="AR18" s="283"/>
      <c r="AS18" s="283"/>
      <c r="AT18" s="278"/>
      <c r="AU18" s="278"/>
      <c r="AV18" s="278"/>
      <c r="AW18" s="278"/>
      <c r="AX18" s="278"/>
      <c r="AY18" s="278"/>
      <c r="AZ18" s="278"/>
      <c r="BA18" s="278"/>
      <c r="BB18" s="278"/>
      <c r="BC18" s="281"/>
      <c r="BD18" s="281"/>
      <c r="BE18" s="281"/>
      <c r="BF18" s="286">
        <f>Z18-AF18</f>
      </c>
      <c r="BG18" s="321">
        <f>IFERROR(AF18/Y18,0)</f>
      </c>
      <c r="BH18" s="284">
        <f>IFERROR(AF18/X18,0)</f>
      </c>
      <c r="BI18" s="284">
        <f>IFERROR(X18/SUM(X$6:X$20),0)</f>
      </c>
      <c r="BJ18" s="284">
        <f>IFERROR(BF18/SUM(BF$3:BF215),0)</f>
      </c>
      <c r="BK18" s="288">
        <f>BF18/'R&amp;H Portfolio'!Q$10</f>
      </c>
      <c r="BL18" s="286">
        <f>BI18*P18</f>
      </c>
      <c r="BM18" s="137"/>
      <c r="BN18" s="327">
        <f>IF(BM18="YES", BF18, "")</f>
      </c>
      <c r="BO18" s="17"/>
    </row>
    <row x14ac:dyDescent="0.25" r="19" customHeight="1" ht="15">
      <c r="A19" s="17"/>
      <c r="B19" s="326"/>
      <c r="C19" s="275"/>
      <c r="D19" s="3"/>
      <c r="E19" s="3"/>
      <c r="F19" s="3"/>
      <c r="G19" s="276"/>
      <c r="H19" s="18"/>
      <c r="I19" s="18"/>
      <c r="J19" s="279">
        <f>H19+I19</f>
      </c>
      <c r="K19" s="280"/>
      <c r="L19" s="123">
        <f>K19*I19</f>
      </c>
      <c r="M19" s="123">
        <f>K19*J19</f>
      </c>
      <c r="N19" s="16"/>
      <c r="O19" s="16"/>
      <c r="P19" s="282">
        <f>IF(ISBLANK(N19),O19/4.3,N19/20)</f>
      </c>
      <c r="Q19" s="280"/>
      <c r="R19" s="280"/>
      <c r="S19" s="280"/>
      <c r="T19" s="256">
        <f>IF(ISBLANK(R19),0,X19)</f>
      </c>
      <c r="U19" s="256">
        <f>IF(ISBLANK(S19),0,X19)</f>
      </c>
      <c r="V19" s="284">
        <f>IFERROR(Q19/K19,0)</f>
      </c>
      <c r="W19" s="123">
        <f>IFERROR(L19*V19,0)</f>
      </c>
      <c r="X19" s="256">
        <f>IFERROR(Q19+W19,0)</f>
      </c>
      <c r="Y19" s="256">
        <f>IFERROR(M19*V19,0)</f>
      </c>
      <c r="Z19" s="256">
        <f>Y19-(Y19*$B$1)</f>
      </c>
      <c r="AA19" s="285">
        <f>IFERROR(Z19/X19,0)</f>
      </c>
      <c r="AB19" s="286">
        <f>IFERROR(IF(ISBLANK(N19),Y19/O19,Y19/N19),0)</f>
      </c>
      <c r="AC19" s="286">
        <f>IFERROR(-1*(AB19*B$1),0)</f>
      </c>
      <c r="AD19" s="286">
        <f>IFERROR(SUM(AB19:AC19),0)</f>
      </c>
      <c r="AE19" s="286">
        <f>IF(ISBLANK(N19),AD19,AD19*5)</f>
      </c>
      <c r="AF19" s="287">
        <f>SUM(AG19:AZ19)</f>
      </c>
      <c r="AG19" s="283"/>
      <c r="AH19" s="283"/>
      <c r="AI19" s="283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78"/>
      <c r="AU19" s="278"/>
      <c r="AV19" s="278"/>
      <c r="AW19" s="278"/>
      <c r="AX19" s="278"/>
      <c r="AY19" s="278"/>
      <c r="AZ19" s="278"/>
      <c r="BA19" s="278"/>
      <c r="BB19" s="278"/>
      <c r="BC19" s="281"/>
      <c r="BD19" s="281"/>
      <c r="BE19" s="281"/>
      <c r="BF19" s="286">
        <f>Z19-AF19</f>
      </c>
      <c r="BG19" s="321">
        <f>IFERROR(AF19/Y19,0)</f>
      </c>
      <c r="BH19" s="284">
        <f>IFERROR(AF19/X19,0)</f>
      </c>
      <c r="BI19" s="284">
        <f>IFERROR(X19/SUM(X$6:X$20),0)</f>
      </c>
      <c r="BJ19" s="284">
        <f>IFERROR(BF19/SUM(BF$3:BF216),0)</f>
      </c>
      <c r="BK19" s="288">
        <f>BF19/'R&amp;H Portfolio'!Q$10</f>
      </c>
      <c r="BL19" s="286">
        <f>BI19*P19</f>
      </c>
      <c r="BM19" s="137"/>
      <c r="BN19" s="327">
        <f>IF(BM19="YES", BF19, "")</f>
      </c>
      <c r="BO19" s="17"/>
    </row>
    <row x14ac:dyDescent="0.25" r="20" customHeight="1" ht="15">
      <c r="A20" s="17"/>
      <c r="B20" s="326"/>
      <c r="C20" s="275"/>
      <c r="D20" s="3"/>
      <c r="E20" s="3"/>
      <c r="F20" s="3"/>
      <c r="G20" s="276"/>
      <c r="H20" s="18"/>
      <c r="I20" s="18"/>
      <c r="J20" s="279">
        <f>H20+I20</f>
      </c>
      <c r="K20" s="280"/>
      <c r="L20" s="123">
        <f>K20*I20</f>
      </c>
      <c r="M20" s="123">
        <f>K20*J20</f>
      </c>
      <c r="N20" s="16"/>
      <c r="O20" s="16"/>
      <c r="P20" s="282">
        <f>IF(ISBLANK(N20),O20/4.3,N20/20)</f>
      </c>
      <c r="Q20" s="280"/>
      <c r="R20" s="280"/>
      <c r="S20" s="280"/>
      <c r="T20" s="256">
        <f>IF(ISBLANK(R20),0,X20)</f>
      </c>
      <c r="U20" s="256">
        <f>IF(ISBLANK(S20),0,X20)</f>
      </c>
      <c r="V20" s="284">
        <f>IFERROR(Q20/K20,0)</f>
      </c>
      <c r="W20" s="123">
        <f>IFERROR(L20*V20,0)</f>
      </c>
      <c r="X20" s="256">
        <f>IFERROR(Q20+W20,0)</f>
      </c>
      <c r="Y20" s="256">
        <f>IFERROR(M20*V20,0)</f>
      </c>
      <c r="Z20" s="256">
        <f>Y20-(Y20*$B$1)</f>
      </c>
      <c r="AA20" s="285">
        <f>IFERROR(Z20/X20,0)</f>
      </c>
      <c r="AB20" s="286">
        <f>IFERROR(IF(ISBLANK(N20),Y20/O20,Y20/N20),0)</f>
      </c>
      <c r="AC20" s="286">
        <f>IFERROR(-1*(AB20*B$1),0)</f>
      </c>
      <c r="AD20" s="286">
        <f>IFERROR(SUM(AB20:AC20),0)</f>
      </c>
      <c r="AE20" s="286">
        <f>IF(ISBLANK(N20),AD20,AD20*5)</f>
      </c>
      <c r="AF20" s="287">
        <f>SUM(AG20:AZ20)</f>
      </c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78"/>
      <c r="AU20" s="278"/>
      <c r="AV20" s="278"/>
      <c r="AW20" s="278"/>
      <c r="AX20" s="278"/>
      <c r="AY20" s="278"/>
      <c r="AZ20" s="278"/>
      <c r="BA20" s="278"/>
      <c r="BB20" s="278"/>
      <c r="BC20" s="281"/>
      <c r="BD20" s="281"/>
      <c r="BE20" s="281"/>
      <c r="BF20" s="286">
        <f>Z20-AF20</f>
      </c>
      <c r="BG20" s="321">
        <f>IFERROR(AF20/Y20,0)</f>
      </c>
      <c r="BH20" s="284">
        <f>IFERROR(AF20/X20,0)</f>
      </c>
      <c r="BI20" s="284">
        <f>IFERROR(X20/SUM(X$6:X$20),0)</f>
      </c>
      <c r="BJ20" s="284">
        <f>IFERROR(BF20/SUM(BF$3:BF217),0)</f>
      </c>
      <c r="BK20" s="288">
        <f>BF20/'R&amp;H Portfolio'!Q$10</f>
      </c>
      <c r="BL20" s="286">
        <f>BI20*P20</f>
      </c>
      <c r="BM20" s="137"/>
      <c r="BN20" s="327">
        <f>IF(BM20="YES", BF20, "")</f>
      </c>
      <c r="BO20" s="17"/>
    </row>
    <row x14ac:dyDescent="0.25" r="21" customHeight="1" ht="15">
      <c r="A21" s="17"/>
      <c r="B21" s="326"/>
      <c r="C21" s="275"/>
      <c r="D21" s="3"/>
      <c r="E21" s="3"/>
      <c r="F21" s="3"/>
      <c r="G21" s="276"/>
      <c r="H21" s="18"/>
      <c r="I21" s="18"/>
      <c r="J21" s="279">
        <f>H21+I21</f>
      </c>
      <c r="K21" s="280"/>
      <c r="L21" s="123">
        <f>K21*I21</f>
      </c>
      <c r="M21" s="123">
        <f>K21*J21</f>
      </c>
      <c r="N21" s="16"/>
      <c r="O21" s="16"/>
      <c r="P21" s="282">
        <f>IF(ISBLANK(N21),O21/4.3,N21/20)</f>
      </c>
      <c r="Q21" s="280"/>
      <c r="R21" s="3"/>
      <c r="S21" s="3"/>
      <c r="T21" s="256">
        <f>IF(ISBLANK(R21),0,X21)</f>
      </c>
      <c r="U21" s="256">
        <f>IF(ISBLANK(S21),0,X21)</f>
      </c>
      <c r="V21" s="284">
        <f>IFERROR(Q21/K21,0)</f>
      </c>
      <c r="W21" s="123">
        <f>IFERROR(L21*V21,0)</f>
      </c>
      <c r="X21" s="256">
        <f>IFERROR(Q21+W21,0)</f>
      </c>
      <c r="Y21" s="256">
        <f>IFERROR(M21*V21,0)</f>
      </c>
      <c r="Z21" s="256">
        <f>Y21-(Y21*$B$1)</f>
      </c>
      <c r="AA21" s="285">
        <f>IFERROR(Z21/X21,0)</f>
      </c>
      <c r="AB21" s="286">
        <f>IFERROR(IF(ISBLANK(N21),Y21/O21,Y21/N21),0)</f>
      </c>
      <c r="AC21" s="286">
        <f>IFERROR(-1*(AB21*B$1),0)</f>
      </c>
      <c r="AD21" s="286">
        <f>IFERROR(SUM(AB21:AC21),0)</f>
      </c>
      <c r="AE21" s="286">
        <f>IF(ISBLANK(N21),AD21,AD21*5)</f>
      </c>
      <c r="AF21" s="287">
        <f>SUM(AG21:AZ21)</f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18"/>
      <c r="AU21" s="18"/>
      <c r="AV21" s="18"/>
      <c r="AW21" s="18"/>
      <c r="AX21" s="18"/>
      <c r="AY21" s="18"/>
      <c r="AZ21" s="18"/>
      <c r="BA21" s="18"/>
      <c r="BB21" s="18"/>
      <c r="BC21" s="16"/>
      <c r="BD21" s="16"/>
      <c r="BE21" s="16"/>
      <c r="BF21" s="286">
        <f>Z21-AF21</f>
      </c>
      <c r="BG21" s="321">
        <f>IFERROR(AF21/Y21,0)</f>
      </c>
      <c r="BH21" s="284">
        <f>IFERROR(AF21/X21,0)</f>
      </c>
      <c r="BI21" s="284">
        <f>IFERROR(X21/SUM(X$3:X$12),0)</f>
      </c>
      <c r="BJ21" s="284">
        <f>IFERROR(BF21/SUM(BF$3:BF218),0)</f>
      </c>
      <c r="BK21" s="288">
        <f>BF21/'R&amp;H Portfolio'!Q$10</f>
      </c>
      <c r="BL21" s="286">
        <f>BI21*P21</f>
      </c>
      <c r="BM21" s="137"/>
      <c r="BN21" s="327">
        <f>IF(BM21="YES", BF21, "")</f>
      </c>
      <c r="BO21" s="17"/>
    </row>
    <row x14ac:dyDescent="0.25" r="22" customHeight="1" ht="15">
      <c r="A22" s="17"/>
      <c r="B22" s="326"/>
      <c r="C22" s="275"/>
      <c r="D22" s="3"/>
      <c r="E22" s="3"/>
      <c r="F22" s="3"/>
      <c r="G22" s="276"/>
      <c r="H22" s="18"/>
      <c r="I22" s="18"/>
      <c r="J22" s="279">
        <f>H22+I22</f>
      </c>
      <c r="K22" s="280"/>
      <c r="L22" s="123">
        <f>K22*I22</f>
      </c>
      <c r="M22" s="123">
        <f>K22*J22</f>
      </c>
      <c r="N22" s="16"/>
      <c r="O22" s="16"/>
      <c r="P22" s="282">
        <f>IF(ISBLANK(N22),O22/4.3,N22/20)</f>
      </c>
      <c r="Q22" s="280"/>
      <c r="R22" s="3"/>
      <c r="S22" s="3"/>
      <c r="T22" s="256">
        <f>IF(ISBLANK(R22),0,X22)</f>
      </c>
      <c r="U22" s="256">
        <f>IF(ISBLANK(S22),0,X22)</f>
      </c>
      <c r="V22" s="284">
        <f>IFERROR(Q22/K22,0)</f>
      </c>
      <c r="W22" s="123">
        <f>IFERROR(L22*V22,0)</f>
      </c>
      <c r="X22" s="256">
        <f>IFERROR(Q22+W22,0)</f>
      </c>
      <c r="Y22" s="256">
        <f>IFERROR(M22*V22,0)</f>
      </c>
      <c r="Z22" s="256">
        <f>Y22-(Y22*$B$1)</f>
      </c>
      <c r="AA22" s="285">
        <f>IFERROR(Z22/X22,0)</f>
      </c>
      <c r="AB22" s="286">
        <f>IFERROR(IF(ISBLANK(N22),Y22/O22,Y22/N22),0)</f>
      </c>
      <c r="AC22" s="286">
        <f>IFERROR(-1*(AB22*B$1),0)</f>
      </c>
      <c r="AD22" s="286">
        <f>IFERROR(SUM(AB22:AC22),0)</f>
      </c>
      <c r="AE22" s="286">
        <f>IF(ISBLANK(N22),AD22,AD22*5)</f>
      </c>
      <c r="AF22" s="287">
        <f>SUM(AG22:AZ22)</f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18"/>
      <c r="AU22" s="18"/>
      <c r="AV22" s="18"/>
      <c r="AW22" s="18"/>
      <c r="AX22" s="18"/>
      <c r="AY22" s="18"/>
      <c r="AZ22" s="18"/>
      <c r="BA22" s="18"/>
      <c r="BB22" s="18"/>
      <c r="BC22" s="16"/>
      <c r="BD22" s="16"/>
      <c r="BE22" s="16"/>
      <c r="BF22" s="286">
        <f>Z22-AF22</f>
      </c>
      <c r="BG22" s="321">
        <f>IFERROR(AF22/Y22,0)</f>
      </c>
      <c r="BH22" s="284">
        <f>IFERROR(AF22/X22,0)</f>
      </c>
      <c r="BI22" s="284">
        <f>IFERROR(X22/SUM(X$3:X$12),0)</f>
      </c>
      <c r="BJ22" s="284">
        <f>IFERROR(BF22/SUM(BF$3:BF219),0)</f>
      </c>
      <c r="BK22" s="288">
        <f>BF22/'R&amp;H Portfolio'!Q$10</f>
      </c>
      <c r="BL22" s="286">
        <f>BI22*P22</f>
      </c>
      <c r="BM22" s="137"/>
      <c r="BN22" s="327">
        <f>IF(BM22="YES", BF22, "")</f>
      </c>
      <c r="BO22" s="17"/>
    </row>
    <row x14ac:dyDescent="0.25" r="23" customHeight="1" ht="15">
      <c r="A23" s="17"/>
      <c r="B23" s="326"/>
      <c r="C23" s="275"/>
      <c r="D23" s="3"/>
      <c r="E23" s="3"/>
      <c r="F23" s="3"/>
      <c r="G23" s="276"/>
      <c r="H23" s="18"/>
      <c r="I23" s="18"/>
      <c r="J23" s="279">
        <f>H23+I23</f>
      </c>
      <c r="K23" s="280"/>
      <c r="L23" s="123">
        <f>K23*I23</f>
      </c>
      <c r="M23" s="123">
        <f>K23*J23</f>
      </c>
      <c r="N23" s="16"/>
      <c r="O23" s="16"/>
      <c r="P23" s="282">
        <f>IF(ISBLANK(N23),O23/4.3,N23/20)</f>
      </c>
      <c r="Q23" s="280"/>
      <c r="R23" s="3"/>
      <c r="S23" s="3"/>
      <c r="T23" s="256">
        <f>IF(ISBLANK(R23),0,X23)</f>
      </c>
      <c r="U23" s="256">
        <f>IF(ISBLANK(S23),0,X23)</f>
      </c>
      <c r="V23" s="284">
        <f>IFERROR(Q23/K23,0)</f>
      </c>
      <c r="W23" s="123">
        <f>IFERROR(L23*V23,0)</f>
      </c>
      <c r="X23" s="256">
        <f>IFERROR(Q23+W23,0)</f>
      </c>
      <c r="Y23" s="256">
        <f>IFERROR(M23*V23,0)</f>
      </c>
      <c r="Z23" s="256">
        <f>Y23-(Y23*$B$1)</f>
      </c>
      <c r="AA23" s="285">
        <f>IFERROR(Z23/X23,0)</f>
      </c>
      <c r="AB23" s="286">
        <f>IFERROR(IF(ISBLANK(N23),Y23/O23,Y23/N23),0)</f>
      </c>
      <c r="AC23" s="286">
        <f>IFERROR(-1*(AB23*B$1),0)</f>
      </c>
      <c r="AD23" s="286">
        <f>IFERROR(SUM(AB23:AC23),0)</f>
      </c>
      <c r="AE23" s="286">
        <f>IF(ISBLANK(N23),AD23,AD23*5)</f>
      </c>
      <c r="AF23" s="287">
        <f>SUM(AG23:AZ23)</f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18"/>
      <c r="AU23" s="18"/>
      <c r="AV23" s="18"/>
      <c r="AW23" s="18"/>
      <c r="AX23" s="18"/>
      <c r="AY23" s="18"/>
      <c r="AZ23" s="18"/>
      <c r="BA23" s="18"/>
      <c r="BB23" s="18"/>
      <c r="BC23" s="16"/>
      <c r="BD23" s="16"/>
      <c r="BE23" s="16"/>
      <c r="BF23" s="286">
        <f>Z23-AF23</f>
      </c>
      <c r="BG23" s="321">
        <f>IFERROR(AF23/Y23,0)</f>
      </c>
      <c r="BH23" s="284">
        <f>IFERROR(AF23/X23,0)</f>
      </c>
      <c r="BI23" s="284">
        <f>IFERROR(X23/SUM(X$3:X$12),0)</f>
      </c>
      <c r="BJ23" s="284">
        <f>IFERROR(BF23/SUM(BF$3:BF220),0)</f>
      </c>
      <c r="BK23" s="288">
        <f>BF23/'R&amp;H Portfolio'!Q$10</f>
      </c>
      <c r="BL23" s="286">
        <f>BI23*P23</f>
      </c>
      <c r="BM23" s="137"/>
      <c r="BN23" s="327">
        <f>IF(BM23="YES", BF23, "")</f>
      </c>
      <c r="BO23" s="17"/>
    </row>
    <row x14ac:dyDescent="0.25" r="24" customHeight="1" ht="15">
      <c r="A24" s="17"/>
      <c r="B24" s="326"/>
      <c r="C24" s="275"/>
      <c r="D24" s="3"/>
      <c r="E24" s="3"/>
      <c r="F24" s="3"/>
      <c r="G24" s="276"/>
      <c r="H24" s="18"/>
      <c r="I24" s="18"/>
      <c r="J24" s="279">
        <f>H24+I24</f>
      </c>
      <c r="K24" s="280"/>
      <c r="L24" s="123">
        <f>K24*I24</f>
      </c>
      <c r="M24" s="123">
        <f>K24*J24</f>
      </c>
      <c r="N24" s="16"/>
      <c r="O24" s="16"/>
      <c r="P24" s="282">
        <f>IF(ISBLANK(N24),O24/4.3,N24/20)</f>
      </c>
      <c r="Q24" s="280"/>
      <c r="R24" s="3"/>
      <c r="S24" s="3"/>
      <c r="T24" s="256">
        <f>IF(ISBLANK(R24),0,X24)</f>
      </c>
      <c r="U24" s="256">
        <f>IF(ISBLANK(S24),0,X24)</f>
      </c>
      <c r="V24" s="284">
        <f>IFERROR(Q24/K24,0)</f>
      </c>
      <c r="W24" s="123">
        <f>IFERROR(L24*V24,0)</f>
      </c>
      <c r="X24" s="256">
        <f>IFERROR(Q24+W24,0)</f>
      </c>
      <c r="Y24" s="256">
        <f>IFERROR(M24*V24,0)</f>
      </c>
      <c r="Z24" s="256">
        <f>Y24-(Y24*$B$1)</f>
      </c>
      <c r="AA24" s="285">
        <f>IFERROR(Z24/X24,0)</f>
      </c>
      <c r="AB24" s="286">
        <f>IFERROR(IF(ISBLANK(N24),Y24/O24,Y24/N24),0)</f>
      </c>
      <c r="AC24" s="286">
        <f>IFERROR(-1*(AB24*B$1),0)</f>
      </c>
      <c r="AD24" s="286">
        <f>IFERROR(SUM(AB24:AC24),0)</f>
      </c>
      <c r="AE24" s="286">
        <f>IF(ISBLANK(N24),AD24,AD24*5)</f>
      </c>
      <c r="AF24" s="287">
        <f>SUM(AG24:AZ24)</f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18"/>
      <c r="AU24" s="18"/>
      <c r="AV24" s="18"/>
      <c r="AW24" s="18"/>
      <c r="AX24" s="18"/>
      <c r="AY24" s="18"/>
      <c r="AZ24" s="18"/>
      <c r="BA24" s="18"/>
      <c r="BB24" s="18"/>
      <c r="BC24" s="16"/>
      <c r="BD24" s="16"/>
      <c r="BE24" s="16"/>
      <c r="BF24" s="286">
        <f>Z24-AF24</f>
      </c>
      <c r="BG24" s="321">
        <f>IFERROR(AF24/Y24,0)</f>
      </c>
      <c r="BH24" s="284">
        <f>IFERROR(AF24/X24,0)</f>
      </c>
      <c r="BI24" s="284">
        <f>IFERROR(X24/SUM(X$3:X$12),0)</f>
      </c>
      <c r="BJ24" s="284">
        <f>IFERROR(BF24/SUM(BF$3:BF221),0)</f>
      </c>
      <c r="BK24" s="288">
        <f>BF24/'R&amp;H Portfolio'!Q$10</f>
      </c>
      <c r="BL24" s="286">
        <f>BI24*P24</f>
      </c>
      <c r="BM24" s="137"/>
      <c r="BN24" s="327">
        <f>IF(BM24="YES", BF24, "")</f>
      </c>
      <c r="BO24" s="17"/>
    </row>
    <row x14ac:dyDescent="0.25" r="25" customHeight="1" ht="15">
      <c r="A25" s="17"/>
      <c r="B25" s="326"/>
      <c r="C25" s="275"/>
      <c r="D25" s="3"/>
      <c r="E25" s="3"/>
      <c r="F25" s="3"/>
      <c r="G25" s="276"/>
      <c r="H25" s="18"/>
      <c r="I25" s="18"/>
      <c r="J25" s="279">
        <f>H25+I25</f>
      </c>
      <c r="K25" s="280"/>
      <c r="L25" s="123">
        <f>K25*I25</f>
      </c>
      <c r="M25" s="123">
        <f>K25*J25</f>
      </c>
      <c r="N25" s="16"/>
      <c r="O25" s="16"/>
      <c r="P25" s="282">
        <f>IF(ISBLANK(N25),O25/4.3,N25/20)</f>
      </c>
      <c r="Q25" s="280"/>
      <c r="R25" s="3"/>
      <c r="S25" s="3"/>
      <c r="T25" s="256">
        <f>IF(ISBLANK(R25),0,X25)</f>
      </c>
      <c r="U25" s="256">
        <f>IF(ISBLANK(S25),0,X25)</f>
      </c>
      <c r="V25" s="284">
        <f>IFERROR(Q25/K25,0)</f>
      </c>
      <c r="W25" s="123">
        <f>IFERROR(L25*V25,0)</f>
      </c>
      <c r="X25" s="256">
        <f>IFERROR(Q25+W25,0)</f>
      </c>
      <c r="Y25" s="256">
        <f>IFERROR(M25*V25,0)</f>
      </c>
      <c r="Z25" s="256">
        <f>Y25-(Y25*$B$1)</f>
      </c>
      <c r="AA25" s="285">
        <f>IFERROR(Z25/X25,0)</f>
      </c>
      <c r="AB25" s="286">
        <f>IFERROR(IF(ISBLANK(N25),Y25/O25,Y25/N25),0)</f>
      </c>
      <c r="AC25" s="286">
        <f>IFERROR(-1*(AB25*B$1),0)</f>
      </c>
      <c r="AD25" s="286">
        <f>IFERROR(SUM(AB25:AC25),0)</f>
      </c>
      <c r="AE25" s="286">
        <f>IF(ISBLANK(N25),AD25,AD25*5)</f>
      </c>
      <c r="AF25" s="287">
        <f>SUM(AG25:AZ25)</f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18"/>
      <c r="AU25" s="18"/>
      <c r="AV25" s="18"/>
      <c r="AW25" s="18"/>
      <c r="AX25" s="18"/>
      <c r="AY25" s="18"/>
      <c r="AZ25" s="18"/>
      <c r="BA25" s="18"/>
      <c r="BB25" s="18"/>
      <c r="BC25" s="16"/>
      <c r="BD25" s="16"/>
      <c r="BE25" s="16"/>
      <c r="BF25" s="286">
        <f>Z25-AF25</f>
      </c>
      <c r="BG25" s="321">
        <f>IFERROR(AF25/Y25,0)</f>
      </c>
      <c r="BH25" s="284">
        <f>IFERROR(AF25/X25,0)</f>
      </c>
      <c r="BI25" s="284">
        <f>IFERROR(X25/SUM(X$3:X$12),0)</f>
      </c>
      <c r="BJ25" s="284">
        <f>IFERROR(BF25/SUM(BF$3:BF222),0)</f>
      </c>
      <c r="BK25" s="288">
        <f>BF25/'R&amp;H Portfolio'!Q$10</f>
      </c>
      <c r="BL25" s="286">
        <f>BI25*P25</f>
      </c>
      <c r="BM25" s="137"/>
      <c r="BN25" s="327">
        <f>IF(BM25="YES", BF25, "")</f>
      </c>
      <c r="BO25" s="17"/>
    </row>
    <row x14ac:dyDescent="0.25" r="26" customHeight="1" ht="15">
      <c r="A26" s="17"/>
      <c r="B26" s="326"/>
      <c r="C26" s="275"/>
      <c r="D26" s="3"/>
      <c r="E26" s="3"/>
      <c r="F26" s="3"/>
      <c r="G26" s="276"/>
      <c r="H26" s="18"/>
      <c r="I26" s="18"/>
      <c r="J26" s="279">
        <f>H26+I26</f>
      </c>
      <c r="K26" s="280"/>
      <c r="L26" s="123">
        <f>K26*I26</f>
      </c>
      <c r="M26" s="123">
        <f>K26*J26</f>
      </c>
      <c r="N26" s="16"/>
      <c r="O26" s="16"/>
      <c r="P26" s="282">
        <f>IF(ISBLANK(N26),O26/4.3,N26/20)</f>
      </c>
      <c r="Q26" s="280"/>
      <c r="R26" s="3"/>
      <c r="S26" s="3"/>
      <c r="T26" s="256">
        <f>IF(ISBLANK(R26),0,X26)</f>
      </c>
      <c r="U26" s="256">
        <f>IF(ISBLANK(S26),0,X26)</f>
      </c>
      <c r="V26" s="284">
        <f>IFERROR(Q26/K26,0)</f>
      </c>
      <c r="W26" s="123">
        <f>IFERROR(L26*V26,0)</f>
      </c>
      <c r="X26" s="256">
        <f>IFERROR(Q26+W26,0)</f>
      </c>
      <c r="Y26" s="256">
        <f>IFERROR(M26*V26,0)</f>
      </c>
      <c r="Z26" s="256">
        <f>Y26-(Y26*$B$1)</f>
      </c>
      <c r="AA26" s="285">
        <f>IFERROR(Z26/X26,0)</f>
      </c>
      <c r="AB26" s="286">
        <f>IFERROR(IF(ISBLANK(N26),Y26/O26,Y26/N26),0)</f>
      </c>
      <c r="AC26" s="286">
        <f>IFERROR(-1*(AB26*B$1),0)</f>
      </c>
      <c r="AD26" s="286">
        <f>IFERROR(SUM(AB26:AC26),0)</f>
      </c>
      <c r="AE26" s="286">
        <f>IF(ISBLANK(N26),AD26,AD26*5)</f>
      </c>
      <c r="AF26" s="287">
        <f>SUM(AG26:AZ26)</f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18"/>
      <c r="AU26" s="18"/>
      <c r="AV26" s="18"/>
      <c r="AW26" s="18"/>
      <c r="AX26" s="18"/>
      <c r="AY26" s="18"/>
      <c r="AZ26" s="18"/>
      <c r="BA26" s="18"/>
      <c r="BB26" s="18"/>
      <c r="BC26" s="16"/>
      <c r="BD26" s="16"/>
      <c r="BE26" s="16"/>
      <c r="BF26" s="286">
        <f>Z26-AF26</f>
      </c>
      <c r="BG26" s="321">
        <f>IFERROR(AF26/Y26,0)</f>
      </c>
      <c r="BH26" s="284">
        <f>IFERROR(AF26/X26,0)</f>
      </c>
      <c r="BI26" s="284">
        <f>IFERROR(X26/SUM(X$3:X$12),0)</f>
      </c>
      <c r="BJ26" s="284">
        <f>IFERROR(BF26/SUM(BF$3:BF223),0)</f>
      </c>
      <c r="BK26" s="288">
        <f>BF26/'R&amp;H Portfolio'!Q$10</f>
      </c>
      <c r="BL26" s="286">
        <f>BI26*P26</f>
      </c>
      <c r="BM26" s="137"/>
      <c r="BN26" s="327">
        <f>IF(BM26="YES", BF26, "")</f>
      </c>
      <c r="BO26" s="17"/>
    </row>
    <row x14ac:dyDescent="0.25" r="27" customHeight="1" ht="15">
      <c r="A27" s="17"/>
      <c r="B27" s="326"/>
      <c r="C27" s="275"/>
      <c r="D27" s="3"/>
      <c r="E27" s="3"/>
      <c r="F27" s="3"/>
      <c r="G27" s="276"/>
      <c r="H27" s="18"/>
      <c r="I27" s="18"/>
      <c r="J27" s="279">
        <f>H27+I27</f>
      </c>
      <c r="K27" s="280"/>
      <c r="L27" s="123">
        <f>K27*I27</f>
      </c>
      <c r="M27" s="123">
        <f>K27*J27</f>
      </c>
      <c r="N27" s="16"/>
      <c r="O27" s="16"/>
      <c r="P27" s="282">
        <f>IF(ISBLANK(N27),O27/4.3,N27/20)</f>
      </c>
      <c r="Q27" s="280"/>
      <c r="R27" s="3"/>
      <c r="S27" s="3"/>
      <c r="T27" s="256">
        <f>IF(ISBLANK(R27),0,X27)</f>
      </c>
      <c r="U27" s="256">
        <f>IF(ISBLANK(S27),0,X27)</f>
      </c>
      <c r="V27" s="284">
        <f>IFERROR(Q27/K27,0)</f>
      </c>
      <c r="W27" s="123">
        <f>IFERROR(L27*V27,0)</f>
      </c>
      <c r="X27" s="256">
        <f>IFERROR(Q27+W27,0)</f>
      </c>
      <c r="Y27" s="256">
        <f>IFERROR(M27*V27,0)</f>
      </c>
      <c r="Z27" s="256">
        <f>Y27-(Y27*$B$1)</f>
      </c>
      <c r="AA27" s="285">
        <f>IFERROR(Z27/X27,0)</f>
      </c>
      <c r="AB27" s="286">
        <f>IFERROR(IF(ISBLANK(N27),Y27/O27,Y27/N27),0)</f>
      </c>
      <c r="AC27" s="286">
        <f>IFERROR(-1*(AB27*B$1),0)</f>
      </c>
      <c r="AD27" s="286">
        <f>IFERROR(SUM(AB27:AC27),0)</f>
      </c>
      <c r="AE27" s="286">
        <f>IF(ISBLANK(N27),AD27,AD27*5)</f>
      </c>
      <c r="AF27" s="287">
        <f>SUM(AG27:AZ27)</f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18"/>
      <c r="AU27" s="18"/>
      <c r="AV27" s="18"/>
      <c r="AW27" s="18"/>
      <c r="AX27" s="18"/>
      <c r="AY27" s="18"/>
      <c r="AZ27" s="18"/>
      <c r="BA27" s="18"/>
      <c r="BB27" s="18"/>
      <c r="BC27" s="16"/>
      <c r="BD27" s="16"/>
      <c r="BE27" s="16"/>
      <c r="BF27" s="286">
        <f>Z27-AF27</f>
      </c>
      <c r="BG27" s="321">
        <f>IFERROR(AF27/Y27,0)</f>
      </c>
      <c r="BH27" s="284">
        <f>IFERROR(AF27/X27,0)</f>
      </c>
      <c r="BI27" s="284">
        <f>IFERROR(X27/SUM(X$3:X$12),0)</f>
      </c>
      <c r="BJ27" s="284">
        <f>IFERROR(BF27/SUM(BF$3:BF224),0)</f>
      </c>
      <c r="BK27" s="288">
        <f>BF27/'R&amp;H Portfolio'!Q$10</f>
      </c>
      <c r="BL27" s="286">
        <f>BI27*P27</f>
      </c>
      <c r="BM27" s="137"/>
      <c r="BN27" s="327">
        <f>IF(BM27="YES", BF27, "")</f>
      </c>
      <c r="BO27" s="17"/>
    </row>
    <row x14ac:dyDescent="0.25" r="28" customHeight="1" ht="15">
      <c r="A28" s="17"/>
      <c r="B28" s="326"/>
      <c r="C28" s="275"/>
      <c r="D28" s="3"/>
      <c r="E28" s="3"/>
      <c r="F28" s="3"/>
      <c r="G28" s="276"/>
      <c r="H28" s="18"/>
      <c r="I28" s="18"/>
      <c r="J28" s="279">
        <f>H28+I28</f>
      </c>
      <c r="K28" s="280"/>
      <c r="L28" s="123">
        <f>K28*I28</f>
      </c>
      <c r="M28" s="123">
        <f>K28*J28</f>
      </c>
      <c r="N28" s="16"/>
      <c r="O28" s="16"/>
      <c r="P28" s="282">
        <f>IF(ISBLANK(N28),O28/4.3,N28/20)</f>
      </c>
      <c r="Q28" s="280"/>
      <c r="R28" s="3"/>
      <c r="S28" s="3"/>
      <c r="T28" s="256">
        <f>IF(ISBLANK(R28),0,X28)</f>
      </c>
      <c r="U28" s="256">
        <f>IF(ISBLANK(S28),0,X28)</f>
      </c>
      <c r="V28" s="284">
        <f>IFERROR(Q28/K28,0)</f>
      </c>
      <c r="W28" s="123">
        <f>IFERROR(L28*V28,0)</f>
      </c>
      <c r="X28" s="256">
        <f>IFERROR(Q28+W28,0)</f>
      </c>
      <c r="Y28" s="256">
        <f>IFERROR(M28*V28,0)</f>
      </c>
      <c r="Z28" s="256">
        <f>Y28-(Y28*$B$1)</f>
      </c>
      <c r="AA28" s="285">
        <f>IFERROR(Z28/X28,0)</f>
      </c>
      <c r="AB28" s="286">
        <f>IFERROR(IF(ISBLANK(N28),Y28/O28,Y28/N28),0)</f>
      </c>
      <c r="AC28" s="286">
        <f>IFERROR(-1*(AB28*B$1),0)</f>
      </c>
      <c r="AD28" s="286">
        <f>IFERROR(SUM(AB28:AC28),0)</f>
      </c>
      <c r="AE28" s="286">
        <f>IF(ISBLANK(N28),AD28,AD28*5)</f>
      </c>
      <c r="AF28" s="287">
        <f>SUM(AG28:AZ28)</f>
      </c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18"/>
      <c r="AU28" s="18"/>
      <c r="AV28" s="18"/>
      <c r="AW28" s="18"/>
      <c r="AX28" s="18"/>
      <c r="AY28" s="18"/>
      <c r="AZ28" s="18"/>
      <c r="BA28" s="18"/>
      <c r="BB28" s="18"/>
      <c r="BC28" s="16"/>
      <c r="BD28" s="16"/>
      <c r="BE28" s="16"/>
      <c r="BF28" s="286">
        <f>Z28-AF28</f>
      </c>
      <c r="BG28" s="321">
        <f>IFERROR(AF28/Y28,0)</f>
      </c>
      <c r="BH28" s="284">
        <f>IFERROR(AF28/X28,0)</f>
      </c>
      <c r="BI28" s="284">
        <f>IFERROR(X28/SUM(X$3:X$12),0)</f>
      </c>
      <c r="BJ28" s="284">
        <f>IFERROR(BF28/SUM(BF$3:BF225),0)</f>
      </c>
      <c r="BK28" s="288">
        <f>BF28/'R&amp;H Portfolio'!Q$10</f>
      </c>
      <c r="BL28" s="286">
        <f>BI28*P28</f>
      </c>
      <c r="BM28" s="137"/>
      <c r="BN28" s="327">
        <f>IF(BM28="YES", BF28, "")</f>
      </c>
      <c r="BO28" s="17"/>
    </row>
    <row x14ac:dyDescent="0.25" r="29" customHeight="1" ht="15">
      <c r="A29" s="17"/>
      <c r="B29" s="326"/>
      <c r="C29" s="3"/>
      <c r="D29" s="3"/>
      <c r="E29" s="3"/>
      <c r="F29" s="3"/>
      <c r="G29" s="276"/>
      <c r="H29" s="18"/>
      <c r="I29" s="18"/>
      <c r="J29" s="279">
        <f>H29+I29</f>
      </c>
      <c r="K29" s="280"/>
      <c r="L29" s="123">
        <f>K29*I29</f>
      </c>
      <c r="M29" s="123">
        <f>K29*J29</f>
      </c>
      <c r="N29" s="16"/>
      <c r="O29" s="16"/>
      <c r="P29" s="282">
        <f>IF(ISBLANK(N29),O29/4.3,N29/20)</f>
      </c>
      <c r="Q29" s="280"/>
      <c r="R29" s="3"/>
      <c r="S29" s="3"/>
      <c r="T29" s="256">
        <f>IF(ISBLANK(R29),0,X29)</f>
      </c>
      <c r="U29" s="256">
        <f>IF(ISBLANK(S29),0,X29)</f>
      </c>
      <c r="V29" s="284">
        <f>IFERROR(Q29/K29,0)</f>
      </c>
      <c r="W29" s="123">
        <f>IFERROR(L29*V29,0)</f>
      </c>
      <c r="X29" s="256">
        <f>IFERROR(Q29+W29,0)</f>
      </c>
      <c r="Y29" s="256">
        <f>IFERROR(M29*V29,0)</f>
      </c>
      <c r="Z29" s="256">
        <f>Y29-(Y29*$B$1)</f>
      </c>
      <c r="AA29" s="285">
        <f>IFERROR(Z29/X29,0)</f>
      </c>
      <c r="AB29" s="286">
        <f>IFERROR(IF(ISBLANK(N29),Y29/O29,Y29/N29),0)</f>
      </c>
      <c r="AC29" s="286">
        <f>IFERROR(-1*(AB29*B$1),0)</f>
      </c>
      <c r="AD29" s="286">
        <f>IFERROR(SUM(AB29:AC29),0)</f>
      </c>
      <c r="AE29" s="286">
        <f>IF(ISBLANK(N29),AD29,AD29*5)</f>
      </c>
      <c r="AF29" s="287">
        <f>SUM(AG29:AZ29)</f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18"/>
      <c r="AU29" s="18"/>
      <c r="AV29" s="18"/>
      <c r="AW29" s="18"/>
      <c r="AX29" s="18"/>
      <c r="AY29" s="18"/>
      <c r="AZ29" s="18"/>
      <c r="BA29" s="18"/>
      <c r="BB29" s="18"/>
      <c r="BC29" s="16"/>
      <c r="BD29" s="16"/>
      <c r="BE29" s="16"/>
      <c r="BF29" s="286">
        <f>Z29-AF29</f>
      </c>
      <c r="BG29" s="321">
        <f>IFERROR(AF29/Y29,0)</f>
      </c>
      <c r="BH29" s="284">
        <f>IFERROR(AF29/X29,0)</f>
      </c>
      <c r="BI29" s="284">
        <f>IFERROR(X29/SUM(X$3:X$12),0)</f>
      </c>
      <c r="BJ29" s="284">
        <f>IFERROR(BF29/SUM(BF$3:BF226),0)</f>
      </c>
      <c r="BK29" s="288">
        <f>BF29/'R&amp;H Portfolio'!Q$10</f>
      </c>
      <c r="BL29" s="286">
        <f>BI29*P29</f>
      </c>
      <c r="BM29" s="137"/>
      <c r="BN29" s="327">
        <f>IF(BM29="YES", BF29, "")</f>
      </c>
      <c r="BO29" s="17"/>
    </row>
    <row x14ac:dyDescent="0.25" r="30" customHeight="1" ht="15">
      <c r="A30" s="17"/>
      <c r="B30" s="326"/>
      <c r="C30" s="275"/>
      <c r="D30" s="3"/>
      <c r="E30" s="3"/>
      <c r="F30" s="3"/>
      <c r="G30" s="276"/>
      <c r="H30" s="18"/>
      <c r="I30" s="18"/>
      <c r="J30" s="279">
        <f>H30+I30</f>
      </c>
      <c r="K30" s="280"/>
      <c r="L30" s="123">
        <f>K30*I30</f>
      </c>
      <c r="M30" s="123">
        <f>K30*J30</f>
      </c>
      <c r="N30" s="16"/>
      <c r="O30" s="16"/>
      <c r="P30" s="282">
        <f>IF(ISBLANK(N30),O30/4.3,N30/20)</f>
      </c>
      <c r="Q30" s="280"/>
      <c r="R30" s="3"/>
      <c r="S30" s="3"/>
      <c r="T30" s="256">
        <f>IF(ISBLANK(R30),0,X30)</f>
      </c>
      <c r="U30" s="256">
        <f>IF(ISBLANK(S30),0,X30)</f>
      </c>
      <c r="V30" s="284">
        <f>IFERROR(Q30/K30,0)</f>
      </c>
      <c r="W30" s="123">
        <f>IFERROR(L30*V30,0)</f>
      </c>
      <c r="X30" s="256">
        <f>IFERROR(Q30+W30,0)</f>
      </c>
      <c r="Y30" s="256">
        <f>IFERROR(M30*V30,0)</f>
      </c>
      <c r="Z30" s="256">
        <f>Y30-(Y30*$B$1)</f>
      </c>
      <c r="AA30" s="285">
        <f>IFERROR(Z30/X30,"")</f>
      </c>
      <c r="AB30" s="286">
        <f>IFERROR(IF(ISBLANK(N30),Y30/O30,Y30/N30),0)</f>
      </c>
      <c r="AC30" s="286">
        <f>IFERROR(-1*(AB30*B$1),0)</f>
      </c>
      <c r="AD30" s="286">
        <f>IFERROR(SUM(AB30:AC30),0)</f>
      </c>
      <c r="AE30" s="286">
        <f>IF(ISBLANK(N30),AD30,AD30*5)</f>
      </c>
      <c r="AF30" s="287">
        <f>SUM(AG30:AZ30)</f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18"/>
      <c r="AU30" s="18"/>
      <c r="AV30" s="18"/>
      <c r="AW30" s="18"/>
      <c r="AX30" s="18"/>
      <c r="AY30" s="18"/>
      <c r="AZ30" s="18"/>
      <c r="BA30" s="18"/>
      <c r="BB30" s="18"/>
      <c r="BC30" s="16"/>
      <c r="BD30" s="16"/>
      <c r="BE30" s="16"/>
      <c r="BF30" s="286">
        <f>Z30-AF30</f>
      </c>
      <c r="BG30" s="321">
        <f>IFERROR(AF30/Y30,0)</f>
      </c>
      <c r="BH30" s="284">
        <f>IFERROR(AF30/X30,0)</f>
      </c>
      <c r="BI30" s="284">
        <f>IFERROR(X30/SUM(X$3:X$12),0)</f>
      </c>
      <c r="BJ30" s="284">
        <f>IFERROR(BF30/SUM(BF$3:BF227),0)</f>
      </c>
      <c r="BK30" s="288">
        <f>BF30/'R&amp;H Portfolio'!Q$10</f>
      </c>
      <c r="BL30" s="286">
        <f>BI30*P30</f>
      </c>
      <c r="BM30" s="137"/>
      <c r="BN30" s="327">
        <f>IF(BM30="YES", BF30, "")</f>
      </c>
      <c r="BO30" s="17"/>
    </row>
    <row x14ac:dyDescent="0.25" r="31" customHeight="1" ht="15">
      <c r="A31" s="17"/>
      <c r="B31" s="326"/>
      <c r="C31" s="275"/>
      <c r="D31" s="3"/>
      <c r="E31" s="3"/>
      <c r="F31" s="3"/>
      <c r="G31" s="276"/>
      <c r="H31" s="18"/>
      <c r="I31" s="18"/>
      <c r="J31" s="279">
        <f>H31+I31</f>
      </c>
      <c r="K31" s="280"/>
      <c r="L31" s="123">
        <f>K31*I31</f>
      </c>
      <c r="M31" s="123">
        <f>K31*J31</f>
      </c>
      <c r="N31" s="16"/>
      <c r="O31" s="16"/>
      <c r="P31" s="282">
        <f>IF(ISBLANK(N31),O31/4.3,N31/20)</f>
      </c>
      <c r="Q31" s="280"/>
      <c r="R31" s="3"/>
      <c r="S31" s="3"/>
      <c r="T31" s="256">
        <f>IF(ISBLANK(R31),0,X31)</f>
      </c>
      <c r="U31" s="256">
        <f>IF(ISBLANK(S31),0,X31)</f>
      </c>
      <c r="V31" s="284">
        <f>IFERROR(Q31/K31,0)</f>
      </c>
      <c r="W31" s="123">
        <f>IFERROR(L31*V31,0)</f>
      </c>
      <c r="X31" s="256">
        <f>IFERROR(Q31+W31,0)</f>
      </c>
      <c r="Y31" s="256">
        <f>IFERROR(M31*V31,0)</f>
      </c>
      <c r="Z31" s="256">
        <f>Y31-(Y31*$B$1)</f>
      </c>
      <c r="AA31" s="285">
        <f>IFERROR(Z31/X31,"")</f>
      </c>
      <c r="AB31" s="286">
        <f>IFERROR(IF(ISBLANK(N31),Y31/O31,Y31/N31),0)</f>
      </c>
      <c r="AC31" s="286">
        <f>IFERROR(-1*(AB31*B$1),0)</f>
      </c>
      <c r="AD31" s="286">
        <f>IFERROR(SUM(AB31:AC31),0)</f>
      </c>
      <c r="AE31" s="286">
        <f>IF(ISBLANK(N31),AD31,AD31*5)</f>
      </c>
      <c r="AF31" s="287">
        <f>SUM(AG31:AZ31)</f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18"/>
      <c r="AU31" s="18"/>
      <c r="AV31" s="18"/>
      <c r="AW31" s="18"/>
      <c r="AX31" s="18"/>
      <c r="AY31" s="18"/>
      <c r="AZ31" s="18"/>
      <c r="BA31" s="18"/>
      <c r="BB31" s="18"/>
      <c r="BC31" s="16"/>
      <c r="BD31" s="16"/>
      <c r="BE31" s="16"/>
      <c r="BF31" s="286">
        <f>Z31-AF31</f>
      </c>
      <c r="BG31" s="321">
        <f>IFERROR(AF31/Y31,0)</f>
      </c>
      <c r="BH31" s="284">
        <f>IFERROR(AF31/X31,0)</f>
      </c>
      <c r="BI31" s="284">
        <f>IFERROR(X31/SUM(X$3:X$12),0)</f>
      </c>
      <c r="BJ31" s="284">
        <f>IFERROR(BF31/SUM(BF$3:BF228),0)</f>
      </c>
      <c r="BK31" s="288">
        <f>BF31/'R&amp;H Portfolio'!Q$10</f>
      </c>
      <c r="BL31" s="286">
        <f>BI31*P31</f>
      </c>
      <c r="BM31" s="3"/>
      <c r="BN31" s="3"/>
      <c r="BO31" s="17"/>
    </row>
    <row x14ac:dyDescent="0.25" r="32" customHeight="1" ht="15">
      <c r="A32" s="17"/>
      <c r="B32" s="326"/>
      <c r="C32" s="3"/>
      <c r="D32" s="3"/>
      <c r="E32" s="3"/>
      <c r="F32" s="3"/>
      <c r="G32" s="276"/>
      <c r="H32" s="18"/>
      <c r="I32" s="18"/>
      <c r="J32" s="279">
        <f>H32+I32</f>
      </c>
      <c r="K32" s="280"/>
      <c r="L32" s="123">
        <f>K32*I32</f>
      </c>
      <c r="M32" s="123">
        <f>K32*J32</f>
      </c>
      <c r="N32" s="16"/>
      <c r="O32" s="16"/>
      <c r="P32" s="282">
        <f>IF(ISBLANK(N32),O32/4.3,N32/20)</f>
      </c>
      <c r="Q32" s="280"/>
      <c r="R32" s="3"/>
      <c r="S32" s="3"/>
      <c r="T32" s="256">
        <f>IF(ISBLANK(R32),0,X32)</f>
      </c>
      <c r="U32" s="256">
        <f>IF(ISBLANK(S32),0,X32)</f>
      </c>
      <c r="V32" s="284">
        <f>IFERROR(Q32/K32,0)</f>
      </c>
      <c r="W32" s="123">
        <f>IFERROR(L32*V32,0)</f>
      </c>
      <c r="X32" s="256">
        <f>IFERROR(Q32+W32,0)</f>
      </c>
      <c r="Y32" s="256">
        <f>IFERROR(M32*V32,0)</f>
      </c>
      <c r="Z32" s="256">
        <f>Y32-(Y32*$B$1)</f>
      </c>
      <c r="AA32" s="285">
        <f>IFERROR(Z32/X32,"")</f>
      </c>
      <c r="AB32" s="286">
        <f>IFERROR(IF(ISBLANK(N32),Y32/O32,Y32/N32),0)</f>
      </c>
      <c r="AC32" s="286">
        <f>IFERROR(-1*(AB32*B$1),0)</f>
      </c>
      <c r="AD32" s="286">
        <f>IFERROR(SUM(AB32:AC32),0)</f>
      </c>
      <c r="AE32" s="286">
        <f>IF(ISBLANK(N32),AD32,AD32*5)</f>
      </c>
      <c r="AF32" s="287">
        <f>SUM(AG32:AZ32)</f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18"/>
      <c r="AU32" s="18"/>
      <c r="AV32" s="18"/>
      <c r="AW32" s="18"/>
      <c r="AX32" s="18"/>
      <c r="AY32" s="18"/>
      <c r="AZ32" s="18"/>
      <c r="BA32" s="18"/>
      <c r="BB32" s="18"/>
      <c r="BC32" s="16"/>
      <c r="BD32" s="16"/>
      <c r="BE32" s="16"/>
      <c r="BF32" s="286">
        <f>Z32-AF32</f>
      </c>
      <c r="BG32" s="321">
        <f>IFERROR(AF32/Y32,0)</f>
      </c>
      <c r="BH32" s="284">
        <f>IFERROR(AF32/X32,0)</f>
      </c>
      <c r="BI32" s="284">
        <f>IFERROR(X32/SUM(X$3:X$12),0)</f>
      </c>
      <c r="BJ32" s="284">
        <f>IFERROR(BF32/SUM(BF$3:BF229),0)</f>
      </c>
      <c r="BK32" s="288">
        <f>BF32/'R&amp;H Portfolio'!Q$10</f>
      </c>
      <c r="BL32" s="286">
        <f>BI32*P32</f>
      </c>
      <c r="BM32" s="3"/>
      <c r="BN32" s="3"/>
      <c r="BO32" s="17"/>
    </row>
    <row x14ac:dyDescent="0.25" r="33" customHeight="1" ht="15">
      <c r="A33" s="308"/>
      <c r="B33" s="309"/>
      <c r="C33" s="310"/>
      <c r="D33" s="329"/>
      <c r="E33" s="310"/>
      <c r="F33" s="310"/>
      <c r="G33" s="311"/>
      <c r="H33" s="312"/>
      <c r="I33" s="313"/>
      <c r="J33" s="314">
        <f>H33+I33</f>
      </c>
      <c r="K33" s="315"/>
      <c r="L33" s="316">
        <f>K33*I33</f>
      </c>
      <c r="M33" s="316">
        <f>K33*J33</f>
      </c>
      <c r="N33" s="317"/>
      <c r="O33" s="317"/>
      <c r="P33" s="318">
        <f>IF(ISBLANK(N33),O33/4.3,N33/20)</f>
      </c>
      <c r="Q33" s="315"/>
      <c r="R33" s="319"/>
      <c r="S33" s="319"/>
      <c r="T33" s="320">
        <f>IF(ISBLANK(R33),0,X33)</f>
      </c>
      <c r="U33" s="320">
        <f>IF(ISBLANK(S33),0,X33)</f>
      </c>
      <c r="V33" s="321">
        <f>IFERROR(Q33/K33,0)</f>
      </c>
      <c r="W33" s="316">
        <f>IFERROR(L33*V33,0)</f>
      </c>
      <c r="X33" s="320">
        <f>IFERROR(Q33+W33,0)</f>
      </c>
      <c r="Y33" s="320">
        <f>IFERROR(M33*V33,0)</f>
      </c>
      <c r="Z33" s="320">
        <f>Y33-(Y33*$B$1)</f>
      </c>
      <c r="AA33" s="323">
        <f>IFERROR(Z33/X33,"")</f>
      </c>
      <c r="AB33" s="286">
        <f>IFERROR(IF(ISBLANK(N33),Y33/O33,Y33/N33),0)</f>
      </c>
      <c r="AC33" s="324">
        <f>IFERROR(-1*(AB33*B$1),0)</f>
      </c>
      <c r="AD33" s="324">
        <f>IFERROR(SUM(AB33:AC33),0)</f>
      </c>
      <c r="AE33" s="324">
        <f>IF(ISBLANK(N33),AD33,AD33*5)</f>
      </c>
      <c r="AF33" s="325">
        <f>SUM(AG33:AZ33)</f>
      </c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3"/>
      <c r="AU33" s="313"/>
      <c r="AV33" s="313"/>
      <c r="AW33" s="313"/>
      <c r="AX33" s="313"/>
      <c r="AY33" s="313"/>
      <c r="AZ33" s="313"/>
      <c r="BA33" s="313"/>
      <c r="BB33" s="313"/>
      <c r="BC33" s="317"/>
      <c r="BD33" s="317"/>
      <c r="BE33" s="317"/>
      <c r="BF33" s="324">
        <f>Z33-AF33</f>
      </c>
      <c r="BG33" s="321">
        <f>IFERROR(AF33/Y33,0)</f>
      </c>
      <c r="BH33" s="284">
        <f>IFERROR(AF33/X33,0)</f>
      </c>
      <c r="BI33" s="284">
        <f>IFERROR(X33/SUM(X$3:X$12),0)</f>
      </c>
      <c r="BJ33" s="284">
        <f>IFERROR(BF33/SUM(BF$3:BF230),0)</f>
      </c>
      <c r="BK33" s="288">
        <f>BF33/'R&amp;H Portfolio'!Q$10</f>
      </c>
      <c r="BL33" s="324">
        <f>BI33*P33</f>
      </c>
      <c r="BM33" s="3"/>
      <c r="BN33" s="3"/>
      <c r="BO33" s="17"/>
    </row>
    <row x14ac:dyDescent="0.25" r="34" customHeight="1" ht="15">
      <c r="A34" s="17"/>
      <c r="B34" s="326"/>
      <c r="C34" s="3"/>
      <c r="D34" s="3"/>
      <c r="E34" s="3"/>
      <c r="F34" s="3"/>
      <c r="G34" s="276"/>
      <c r="H34" s="18"/>
      <c r="I34" s="18"/>
      <c r="J34" s="279">
        <f>H34+I34</f>
      </c>
      <c r="K34" s="280"/>
      <c r="L34" s="123">
        <f>K34*I34</f>
      </c>
      <c r="M34" s="123">
        <f>K34*J34</f>
      </c>
      <c r="N34" s="16"/>
      <c r="O34" s="16"/>
      <c r="P34" s="282">
        <f>IF(ISBLANK(N34),O34/4.3,N34/20)</f>
      </c>
      <c r="Q34" s="280"/>
      <c r="R34" s="3"/>
      <c r="S34" s="3"/>
      <c r="T34" s="256">
        <f>IF(ISBLANK(R34),0,X34)</f>
      </c>
      <c r="U34" s="256">
        <f>IF(ISBLANK(S34),0,X34)</f>
      </c>
      <c r="V34" s="284">
        <f>IFERROR(Q34/K34,0)</f>
      </c>
      <c r="W34" s="123">
        <f>IFERROR(L34*V34,0)</f>
      </c>
      <c r="X34" s="256">
        <f>IFERROR(Q34+W34,0)</f>
      </c>
      <c r="Y34" s="256">
        <f>IFERROR(M34*V34,0)</f>
      </c>
      <c r="Z34" s="256">
        <f>Y34-(Y34*$B$1)</f>
      </c>
      <c r="AA34" s="285">
        <f>IFERROR(Z34/X34,"")</f>
      </c>
      <c r="AB34" s="286">
        <f>IFERROR(IF(ISBLANK(N34),Y34/O34,Y34/N34),0)</f>
      </c>
      <c r="AC34" s="286">
        <f>IFERROR(-1*(AB34*B$1),0)</f>
      </c>
      <c r="AD34" s="286">
        <f>IFERROR(SUM(AB34:AC34),0)</f>
      </c>
      <c r="AE34" s="286">
        <f>IF(ISBLANK(N34),AD34,AD34*5)</f>
      </c>
      <c r="AF34" s="287">
        <f>SUM(AG34:AV34)</f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18"/>
      <c r="AU34" s="18"/>
      <c r="AV34" s="18"/>
      <c r="AW34" s="18"/>
      <c r="AX34" s="18"/>
      <c r="AY34" s="18"/>
      <c r="AZ34" s="18"/>
      <c r="BA34" s="18"/>
      <c r="BB34" s="18"/>
      <c r="BC34" s="16"/>
      <c r="BD34" s="16"/>
      <c r="BE34" s="16"/>
      <c r="BF34" s="286">
        <f>Z34-AF34</f>
      </c>
      <c r="BG34" s="321">
        <f>IFERROR(AF34/Y34,0)</f>
      </c>
      <c r="BH34" s="284">
        <f>IFERROR(AF34/X34,0)</f>
      </c>
      <c r="BI34" s="284">
        <f>IFERROR(X34/SUM(X$3:X$12),0)</f>
      </c>
      <c r="BJ34" s="284">
        <f>IFERROR(BF34/SUM(BF$3:BF231),0)</f>
      </c>
      <c r="BK34" s="288">
        <f>BF34/'R&amp;H Portfolio'!Q$10</f>
      </c>
      <c r="BL34" s="286">
        <f>BI34*P34</f>
      </c>
      <c r="BM34" s="3"/>
      <c r="BN34" s="3"/>
      <c r="BO34" s="17"/>
    </row>
    <row x14ac:dyDescent="0.25" r="35" customHeight="1" ht="15">
      <c r="A35" s="17"/>
      <c r="B35" s="326"/>
      <c r="C35" s="275"/>
      <c r="D35" s="3"/>
      <c r="E35" s="3"/>
      <c r="F35" s="3"/>
      <c r="G35" s="276"/>
      <c r="H35" s="18"/>
      <c r="I35" s="18"/>
      <c r="J35" s="279">
        <f>H35+I35</f>
      </c>
      <c r="K35" s="280"/>
      <c r="L35" s="123">
        <f>K35*I35</f>
      </c>
      <c r="M35" s="123">
        <f>K35*J35</f>
      </c>
      <c r="N35" s="16"/>
      <c r="O35" s="16"/>
      <c r="P35" s="282">
        <f>IF(ISBLANK(N35),O35/4.3,N35/20)</f>
      </c>
      <c r="Q35" s="280"/>
      <c r="R35" s="3"/>
      <c r="S35" s="3"/>
      <c r="T35" s="256">
        <f>IF(ISBLANK(R35),0,X35)</f>
      </c>
      <c r="U35" s="256">
        <f>IF(ISBLANK(S35),0,X35)</f>
      </c>
      <c r="V35" s="284">
        <f>IFERROR(Q35/K35,0)</f>
      </c>
      <c r="W35" s="123">
        <f>IFERROR(L35*V35,0)</f>
      </c>
      <c r="X35" s="256">
        <f>IFERROR(Q35+W35,0)</f>
      </c>
      <c r="Y35" s="256">
        <f>IFERROR(M35*V35,0)</f>
      </c>
      <c r="Z35" s="256">
        <f>Y35-(Y35*$B$1)</f>
      </c>
      <c r="AA35" s="285">
        <f>IFERROR(Z35/X35,"")</f>
      </c>
      <c r="AB35" s="286">
        <f>IFERROR(IF(ISBLANK(N35),Y35/O35,Y35/N35),0)</f>
      </c>
      <c r="AC35" s="286">
        <f>IFERROR(-1*(AB35*B$1),0)</f>
      </c>
      <c r="AD35" s="286">
        <f>IFERROR(SUM(AB35:AC35),0)</f>
      </c>
      <c r="AE35" s="286">
        <f>IF(ISBLANK(N35),AD35,AD35*5)</f>
      </c>
      <c r="AF35" s="287">
        <f>SUM(AG35:AV35)</f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18"/>
      <c r="AU35" s="18"/>
      <c r="AV35" s="18"/>
      <c r="AW35" s="18"/>
      <c r="AX35" s="18"/>
      <c r="AY35" s="18"/>
      <c r="AZ35" s="18"/>
      <c r="BA35" s="18"/>
      <c r="BB35" s="18"/>
      <c r="BC35" s="16"/>
      <c r="BD35" s="16"/>
      <c r="BE35" s="16"/>
      <c r="BF35" s="286">
        <f>Z35-AF35</f>
      </c>
      <c r="BG35" s="321">
        <f>IFERROR(AF35/Y35,0)</f>
      </c>
      <c r="BH35" s="284">
        <f>IFERROR(AF35/X35,0)</f>
      </c>
      <c r="BI35" s="284">
        <f>IFERROR(X35/SUM(X$3:X$12),0)</f>
      </c>
      <c r="BJ35" s="284">
        <f>IFERROR(BF35/SUM(BF$3:BF232),0)</f>
      </c>
      <c r="BK35" s="288">
        <f>BF35/'R&amp;H Portfolio'!Q$10</f>
      </c>
      <c r="BL35" s="286">
        <f>BI35*P35</f>
      </c>
      <c r="BM35" s="3"/>
      <c r="BN35" s="3"/>
      <c r="BO35" s="17"/>
    </row>
    <row x14ac:dyDescent="0.25" r="36" customHeight="1" ht="15">
      <c r="A36" s="17"/>
      <c r="B36" s="326"/>
      <c r="C36" s="275"/>
      <c r="D36" s="3"/>
      <c r="E36" s="3"/>
      <c r="F36" s="3"/>
      <c r="G36" s="276"/>
      <c r="H36" s="18"/>
      <c r="I36" s="18"/>
      <c r="J36" s="279">
        <f>H36+I36</f>
      </c>
      <c r="K36" s="280"/>
      <c r="L36" s="123">
        <f>K36*I36</f>
      </c>
      <c r="M36" s="123">
        <f>K36*J36</f>
      </c>
      <c r="N36" s="16"/>
      <c r="O36" s="16"/>
      <c r="P36" s="282">
        <f>IF(ISBLANK(N36),O36/4.3,N36/20)</f>
      </c>
      <c r="Q36" s="280"/>
      <c r="R36" s="3"/>
      <c r="S36" s="3"/>
      <c r="T36" s="256">
        <f>IF(ISBLANK(R36),0,X36)</f>
      </c>
      <c r="U36" s="256">
        <f>IF(ISBLANK(S36),0,X36)</f>
      </c>
      <c r="V36" s="284">
        <f>IFERROR(Q36/K36,0)</f>
      </c>
      <c r="W36" s="123">
        <f>IFERROR(L36*V36,0)</f>
      </c>
      <c r="X36" s="256">
        <f>IFERROR(Q36+W36,0)</f>
      </c>
      <c r="Y36" s="256">
        <f>IFERROR(M36*V36,0)</f>
      </c>
      <c r="Z36" s="256">
        <f>Y36-(Y36*$B$1)</f>
      </c>
      <c r="AA36" s="285">
        <f>IFERROR(Z36/X36,"")</f>
      </c>
      <c r="AB36" s="286">
        <f>IFERROR(IF(ISBLANK(N36),Y36/O36,Y36/N36),0)</f>
      </c>
      <c r="AC36" s="286">
        <f>IFERROR(-1*(AB36*B$1),0)</f>
      </c>
      <c r="AD36" s="286">
        <f>IFERROR(SUM(AB36:AC36),0)</f>
      </c>
      <c r="AE36" s="286">
        <f>IF(ISBLANK(N36),AD36,AD36*5)</f>
      </c>
      <c r="AF36" s="287">
        <f>SUM(AG36:AV36)</f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18"/>
      <c r="AU36" s="18"/>
      <c r="AV36" s="18"/>
      <c r="AW36" s="18"/>
      <c r="AX36" s="18"/>
      <c r="AY36" s="18"/>
      <c r="AZ36" s="18"/>
      <c r="BA36" s="18"/>
      <c r="BB36" s="18"/>
      <c r="BC36" s="16"/>
      <c r="BD36" s="16"/>
      <c r="BE36" s="16"/>
      <c r="BF36" s="286">
        <f>Z36-AF36</f>
      </c>
      <c r="BG36" s="321">
        <f>IFERROR(AF36/Y36,0)</f>
      </c>
      <c r="BH36" s="284">
        <f>IFERROR(AF36/X36,0)</f>
      </c>
      <c r="BI36" s="284">
        <f>IFERROR(X36/SUM(X$3:X$12),0)</f>
      </c>
      <c r="BJ36" s="284">
        <f>IFERROR(BF36/SUM(BF$3:BF233),0)</f>
      </c>
      <c r="BK36" s="288">
        <f>BF36/'R&amp;H Portfolio'!Q$10</f>
      </c>
      <c r="BL36" s="286">
        <f>BI36*P36</f>
      </c>
      <c r="BM36" s="3"/>
      <c r="BN36" s="3"/>
      <c r="BO36" s="17"/>
    </row>
    <row x14ac:dyDescent="0.25" r="37" customHeight="1" ht="15">
      <c r="A37" s="17"/>
      <c r="B37" s="326"/>
      <c r="C37" s="275"/>
      <c r="D37" s="3"/>
      <c r="E37" s="3"/>
      <c r="F37" s="3"/>
      <c r="G37" s="276"/>
      <c r="H37" s="18"/>
      <c r="I37" s="18"/>
      <c r="J37" s="279">
        <f>H37+I37</f>
      </c>
      <c r="K37" s="280"/>
      <c r="L37" s="123">
        <f>K37*I37</f>
      </c>
      <c r="M37" s="123">
        <f>K37*J37</f>
      </c>
      <c r="N37" s="16"/>
      <c r="O37" s="16"/>
      <c r="P37" s="282">
        <f>IF(ISBLANK(N37),O37/4.3,N37/20)</f>
      </c>
      <c r="Q37" s="280"/>
      <c r="R37" s="3"/>
      <c r="S37" s="3"/>
      <c r="T37" s="256">
        <f>IF(ISBLANK(R37),0,X37)</f>
      </c>
      <c r="U37" s="256">
        <f>IF(ISBLANK(S37),0,X37)</f>
      </c>
      <c r="V37" s="284">
        <f>IFERROR(Q37/K37,0)</f>
      </c>
      <c r="W37" s="123">
        <f>IFERROR(L37*V37,0)</f>
      </c>
      <c r="X37" s="256">
        <f>IFERROR(Q37+W37,0)</f>
      </c>
      <c r="Y37" s="256">
        <f>IFERROR(M37*V37,0)</f>
      </c>
      <c r="Z37" s="256">
        <f>Y37-(Y37*$B$1)</f>
      </c>
      <c r="AA37" s="285">
        <f>IFERROR(Z37/X37,"")</f>
      </c>
      <c r="AB37" s="286">
        <f>IFERROR(IF(ISBLANK(N37),Y37/O37,Y37/N37),0)</f>
      </c>
      <c r="AC37" s="286">
        <f>IFERROR(-1*(AB37*B$1),0)</f>
      </c>
      <c r="AD37" s="286">
        <f>IFERROR(SUM(AB37:AC37),0)</f>
      </c>
      <c r="AE37" s="286">
        <f>IF(ISBLANK(N37),AD37,AD37*5)</f>
      </c>
      <c r="AF37" s="287">
        <f>SUM(AG37:AV37)</f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18"/>
      <c r="AU37" s="18"/>
      <c r="AV37" s="18"/>
      <c r="AW37" s="18"/>
      <c r="AX37" s="18"/>
      <c r="AY37" s="18"/>
      <c r="AZ37" s="18"/>
      <c r="BA37" s="18"/>
      <c r="BB37" s="18"/>
      <c r="BC37" s="16"/>
      <c r="BD37" s="16"/>
      <c r="BE37" s="16"/>
      <c r="BF37" s="286">
        <f>Z37-AF37</f>
      </c>
      <c r="BG37" s="321">
        <f>IFERROR(AF37/Y37,0)</f>
      </c>
      <c r="BH37" s="284">
        <f>IFERROR(AF37/X37,0)</f>
      </c>
      <c r="BI37" s="284">
        <f>IFERROR(X37/SUM(X$3:X$12),0)</f>
      </c>
      <c r="BJ37" s="284">
        <f>IFERROR(BF37/SUM(BF$3:BF234),0)</f>
      </c>
      <c r="BK37" s="288">
        <f>BF37/'R&amp;H Portfolio'!Q$10</f>
      </c>
      <c r="BL37" s="286">
        <f>BI37*P37</f>
      </c>
      <c r="BM37" s="3"/>
      <c r="BN37" s="3"/>
      <c r="BO37" s="17"/>
    </row>
    <row x14ac:dyDescent="0.25" r="38" customHeight="1" ht="15">
      <c r="A38" s="17"/>
      <c r="B38" s="14"/>
      <c r="C38" s="3"/>
      <c r="D38" s="3"/>
      <c r="E38" s="3"/>
      <c r="F38" s="3"/>
      <c r="G38" s="276"/>
      <c r="H38" s="18"/>
      <c r="I38" s="18"/>
      <c r="J38" s="279">
        <f>H38+I38</f>
      </c>
      <c r="K38" s="280"/>
      <c r="L38" s="123">
        <f>K38*I38</f>
      </c>
      <c r="M38" s="123">
        <f>K38*J38</f>
      </c>
      <c r="N38" s="16"/>
      <c r="O38" s="16"/>
      <c r="P38" s="282">
        <f>IF(ISBLANK(N38),O38/4.3,N38/20)</f>
      </c>
      <c r="Q38" s="280"/>
      <c r="R38" s="3"/>
      <c r="S38" s="3"/>
      <c r="T38" s="256">
        <f>IF(ISBLANK(R38),0,X38)</f>
      </c>
      <c r="U38" s="256">
        <f>IF(ISBLANK(S38),0,X38)</f>
      </c>
      <c r="V38" s="284">
        <f>IFERROR(Q38/K38,0)</f>
      </c>
      <c r="W38" s="123">
        <f>IFERROR(L38*V38,0)</f>
      </c>
      <c r="X38" s="256">
        <f>IFERROR(Q38+W38,0)</f>
      </c>
      <c r="Y38" s="256">
        <f>IFERROR(M38*V38,0)</f>
      </c>
      <c r="Z38" s="256">
        <f>Y38-(Y38*$B$1)</f>
      </c>
      <c r="AA38" s="285">
        <f>IFERROR(Z38/X38,"")</f>
      </c>
      <c r="AB38" s="286">
        <f>IFERROR(IF(ISBLANK(N38),Y38/O38,Y38/N38),0)</f>
      </c>
      <c r="AC38" s="286">
        <f>IFERROR(-1*(AB38*B$1),0)</f>
      </c>
      <c r="AD38" s="286">
        <f>IFERROR(SUM(AB38:AC38),0)</f>
      </c>
      <c r="AE38" s="286">
        <f>IF(ISBLANK(N38),AD38,AD38*5)</f>
      </c>
      <c r="AF38" s="287">
        <f>SUM(AG38:AV38)</f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18"/>
      <c r="AU38" s="18"/>
      <c r="AV38" s="18"/>
      <c r="AW38" s="18"/>
      <c r="AX38" s="18"/>
      <c r="AY38" s="18"/>
      <c r="AZ38" s="18"/>
      <c r="BA38" s="18"/>
      <c r="BB38" s="18"/>
      <c r="BC38" s="16"/>
      <c r="BD38" s="16"/>
      <c r="BE38" s="16"/>
      <c r="BF38" s="286">
        <f>Z38-AF38</f>
      </c>
      <c r="BG38" s="321">
        <f>IFERROR(AF38/Y38,0)</f>
      </c>
      <c r="BH38" s="284">
        <f>IFERROR(AF38/X38,0)</f>
      </c>
      <c r="BI38" s="284">
        <f>IFERROR(X38/SUM(X$3:X$12),0)</f>
      </c>
      <c r="BJ38" s="284">
        <f>IFERROR(BF38/SUM(BF$3:BF235),0)</f>
      </c>
      <c r="BK38" s="288">
        <f>BF38/'R&amp;H Portfolio'!Q$10</f>
      </c>
      <c r="BL38" s="286">
        <f>BI38*P38</f>
      </c>
      <c r="BM38" s="3"/>
      <c r="BN38" s="3"/>
      <c r="BO38" s="17"/>
    </row>
    <row x14ac:dyDescent="0.25" r="39" customHeight="1" ht="15">
      <c r="A39" s="17"/>
      <c r="B39" s="14"/>
      <c r="C39" s="3"/>
      <c r="D39" s="3"/>
      <c r="E39" s="3"/>
      <c r="F39" s="3"/>
      <c r="G39" s="276"/>
      <c r="H39" s="18"/>
      <c r="I39" s="18"/>
      <c r="J39" s="279">
        <f>H39+I39</f>
      </c>
      <c r="K39" s="280"/>
      <c r="L39" s="123">
        <f>K39*I39</f>
      </c>
      <c r="M39" s="123">
        <f>K39*J39</f>
      </c>
      <c r="N39" s="16"/>
      <c r="O39" s="16"/>
      <c r="P39" s="282">
        <f>IF(ISBLANK(N39),O39/4.3,N39/20)</f>
      </c>
      <c r="Q39" s="280"/>
      <c r="R39" s="3"/>
      <c r="S39" s="3"/>
      <c r="T39" s="256">
        <f>IF(ISBLANK(R39),0,X39)</f>
      </c>
      <c r="U39" s="256">
        <f>IF(ISBLANK(S39),0,X39)</f>
      </c>
      <c r="V39" s="284">
        <f>IFERROR(Q39/K39,0)</f>
      </c>
      <c r="W39" s="123">
        <f>IFERROR(L39*V39,0)</f>
      </c>
      <c r="X39" s="256">
        <f>IFERROR(Q39+W39,0)</f>
      </c>
      <c r="Y39" s="256">
        <f>IFERROR(M39*V39,0)</f>
      </c>
      <c r="Z39" s="256">
        <f>Y39-(Y39*$B$1)</f>
      </c>
      <c r="AA39" s="285">
        <f>IFERROR(Z39/X39,"")</f>
      </c>
      <c r="AB39" s="286">
        <f>IFERROR(IF(ISBLANK(N39),Y39/O39,Y39/N39),0)</f>
      </c>
      <c r="AC39" s="286">
        <f>IFERROR(-1*(AB39*B$1),0)</f>
      </c>
      <c r="AD39" s="286">
        <f>IFERROR(SUM(AB39:AC39),0)</f>
      </c>
      <c r="AE39" s="286">
        <f>IF(ISBLANK(N39),AD39,AD39*5)</f>
      </c>
      <c r="AF39" s="287">
        <f>SUM(AG39:AV39)</f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18"/>
      <c r="AU39" s="18"/>
      <c r="AV39" s="18"/>
      <c r="AW39" s="18"/>
      <c r="AX39" s="18"/>
      <c r="AY39" s="18"/>
      <c r="AZ39" s="18"/>
      <c r="BA39" s="18"/>
      <c r="BB39" s="18"/>
      <c r="BC39" s="16"/>
      <c r="BD39" s="16"/>
      <c r="BE39" s="16"/>
      <c r="BF39" s="286">
        <f>Z39-AF39</f>
      </c>
      <c r="BG39" s="321">
        <f>IFERROR(AF39/Y39,0)</f>
      </c>
      <c r="BH39" s="284">
        <f>IFERROR(AF39/X39,0)</f>
      </c>
      <c r="BI39" s="284">
        <f>IFERROR(X39/SUM(X$3:X$12),0)</f>
      </c>
      <c r="BJ39" s="284">
        <f>IFERROR(BF39/SUM(BF$3:BF236),0)</f>
      </c>
      <c r="BK39" s="288">
        <f>BF39/'R&amp;H Portfolio'!Q$10</f>
      </c>
      <c r="BL39" s="286">
        <f>BI39*P39</f>
      </c>
      <c r="BM39" s="3"/>
      <c r="BN39" s="3"/>
      <c r="BO39" s="17"/>
    </row>
    <row x14ac:dyDescent="0.25" r="40" customHeight="1" ht="15">
      <c r="A40" s="17"/>
      <c r="B40" s="14"/>
      <c r="C40" s="3"/>
      <c r="D40" s="3"/>
      <c r="E40" s="3"/>
      <c r="F40" s="3"/>
      <c r="G40" s="276"/>
      <c r="H40" s="18"/>
      <c r="I40" s="18"/>
      <c r="J40" s="279">
        <f>H40+I40</f>
      </c>
      <c r="K40" s="1"/>
      <c r="L40" s="123">
        <f>K40*I40</f>
      </c>
      <c r="M40" s="123">
        <f>K40*J40</f>
      </c>
      <c r="N40" s="16"/>
      <c r="O40" s="16"/>
      <c r="P40" s="282">
        <f>IF(ISBLANK(N40),O40/4.3,N40/20)</f>
      </c>
      <c r="Q40" s="1"/>
      <c r="R40" s="3"/>
      <c r="S40" s="3"/>
      <c r="T40" s="256">
        <f>IF(ISBLANK(R40),0,X40)</f>
      </c>
      <c r="U40" s="256">
        <f>IF(ISBLANK(S40),0,X40)</f>
      </c>
      <c r="V40" s="284">
        <f>IFERROR(Q40/K40,0)</f>
      </c>
      <c r="W40" s="123">
        <f>IFERROR(L40*V40,0)</f>
      </c>
      <c r="X40" s="256">
        <f>IFERROR(Q40+W40,0)</f>
      </c>
      <c r="Y40" s="256">
        <f>IFERROR(M40*V40,0)</f>
      </c>
      <c r="Z40" s="256">
        <f>Y40-(Y40*$B$1)</f>
      </c>
      <c r="AA40" s="285">
        <f>IFERROR(Z40/X40,"")</f>
      </c>
      <c r="AB40" s="286">
        <f>IFERROR(IF(ISBLANK(N40),Y40/O40,Y40/N40),0)</f>
      </c>
      <c r="AC40" s="286">
        <f>IFERROR(-1*(AB40*B$1),0)</f>
      </c>
      <c r="AD40" s="286">
        <f>IFERROR(SUM(AB40:AC40),0)</f>
      </c>
      <c r="AE40" s="286">
        <f>IF(ISBLANK(N40),AD40,AD40*5)</f>
      </c>
      <c r="AF40" s="287">
        <f>SUM(AG40:AV40)</f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18"/>
      <c r="AU40" s="18"/>
      <c r="AV40" s="18"/>
      <c r="AW40" s="18"/>
      <c r="AX40" s="18"/>
      <c r="AY40" s="18"/>
      <c r="AZ40" s="18"/>
      <c r="BA40" s="18"/>
      <c r="BB40" s="18"/>
      <c r="BC40" s="16"/>
      <c r="BD40" s="16"/>
      <c r="BE40" s="16"/>
      <c r="BF40" s="286">
        <f>Z40-AF40</f>
      </c>
      <c r="BG40" s="321">
        <f>IFERROR(AF40/Y40,0)</f>
      </c>
      <c r="BH40" s="284">
        <f>IFERROR(AF40/X40,0)</f>
      </c>
      <c r="BI40" s="284">
        <f>IFERROR(X40/SUM(X$3:X$12),0)</f>
      </c>
      <c r="BJ40" s="284">
        <f>IFERROR(BF40/SUM(BF$3:BF237),0)</f>
      </c>
      <c r="BK40" s="288">
        <f>BF40/'R&amp;H Portfolio'!Q$10</f>
      </c>
      <c r="BL40" s="286">
        <f>BI40*P40</f>
      </c>
      <c r="BM40" s="3"/>
      <c r="BN40" s="3"/>
      <c r="BO40" s="17"/>
    </row>
    <row x14ac:dyDescent="0.25" r="41" customHeight="1" ht="15">
      <c r="A41" s="17"/>
      <c r="B41" s="14"/>
      <c r="C41" s="3"/>
      <c r="D41" s="3"/>
      <c r="E41" s="3"/>
      <c r="F41" s="3"/>
      <c r="G41" s="276"/>
      <c r="H41" s="18"/>
      <c r="I41" s="18"/>
      <c r="J41" s="279">
        <f>H41+I41</f>
      </c>
      <c r="K41" s="1"/>
      <c r="L41" s="123">
        <f>K41*I41</f>
      </c>
      <c r="M41" s="123">
        <f>K41*J41</f>
      </c>
      <c r="N41" s="16"/>
      <c r="O41" s="16"/>
      <c r="P41" s="282">
        <f>IF(ISBLANK(N41),O41/4.3,N41/20)</f>
      </c>
      <c r="Q41" s="1"/>
      <c r="R41" s="3"/>
      <c r="S41" s="3"/>
      <c r="T41" s="256">
        <f>IF(ISBLANK(R41),0,X41)</f>
      </c>
      <c r="U41" s="256">
        <f>IF(ISBLANK(S41),0,X41)</f>
      </c>
      <c r="V41" s="284">
        <f>IFERROR(Q41/K41,0)</f>
      </c>
      <c r="W41" s="123">
        <f>IFERROR(L41*V41,0)</f>
      </c>
      <c r="X41" s="256">
        <f>IFERROR(Q41+W41,0)</f>
      </c>
      <c r="Y41" s="256">
        <f>IFERROR(M41*V41,0)</f>
      </c>
      <c r="Z41" s="256">
        <f>Y41-(Y41*$B$1)</f>
      </c>
      <c r="AA41" s="285">
        <f>IFERROR(Z41/X41,"")</f>
      </c>
      <c r="AB41" s="286">
        <f>IFERROR(IF(ISBLANK(N41),Y41/O41,Y41/N41),0)</f>
      </c>
      <c r="AC41" s="286">
        <f>IFERROR(-1*(AB41*B$1),0)</f>
      </c>
      <c r="AD41" s="286">
        <f>IFERROR(SUM(AB41:AC41),0)</f>
      </c>
      <c r="AE41" s="286">
        <f>IF(ISBLANK(N41),AD41,AD41*5)</f>
      </c>
      <c r="AF41" s="287">
        <f>SUM(AG41:AV41)</f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18"/>
      <c r="AU41" s="18"/>
      <c r="AV41" s="18"/>
      <c r="AW41" s="18"/>
      <c r="AX41" s="18"/>
      <c r="AY41" s="18"/>
      <c r="AZ41" s="18"/>
      <c r="BA41" s="18"/>
      <c r="BB41" s="18"/>
      <c r="BC41" s="16"/>
      <c r="BD41" s="16"/>
      <c r="BE41" s="16"/>
      <c r="BF41" s="286">
        <f>Z41-AF41</f>
      </c>
      <c r="BG41" s="321">
        <f>IFERROR(AF41/Y41,0)</f>
      </c>
      <c r="BH41" s="284">
        <f>IFERROR(AF41/X41,0)</f>
      </c>
      <c r="BI41" s="284">
        <f>IFERROR(X41/SUM(X$3:X$12),0)</f>
      </c>
      <c r="BJ41" s="284">
        <f>IFERROR(BF41/SUM(BF$3:BF238),0)</f>
      </c>
      <c r="BK41" s="288">
        <f>BF41/'R&amp;H Portfolio'!Q$10</f>
      </c>
      <c r="BL41" s="286">
        <f>BI41*P41</f>
      </c>
      <c r="BM41" s="3"/>
      <c r="BN41" s="3"/>
      <c r="BO41" s="17"/>
    </row>
    <row x14ac:dyDescent="0.25" r="42" customHeight="1" ht="15">
      <c r="A42" s="17"/>
      <c r="B42" s="14"/>
      <c r="C42" s="3"/>
      <c r="D42" s="3"/>
      <c r="E42" s="3"/>
      <c r="F42" s="3"/>
      <c r="G42" s="16"/>
      <c r="H42" s="18"/>
      <c r="I42" s="18"/>
      <c r="J42" s="279">
        <f>H42+I42</f>
      </c>
      <c r="K42" s="1"/>
      <c r="L42" s="123">
        <f>K42*I42</f>
      </c>
      <c r="M42" s="123">
        <f>K42*J42</f>
      </c>
      <c r="N42" s="16"/>
      <c r="O42" s="16"/>
      <c r="P42" s="282">
        <f>IF(ISBLANK(N42),O42/4.3,N42/20)</f>
      </c>
      <c r="Q42" s="1"/>
      <c r="R42" s="3"/>
      <c r="S42" s="3"/>
      <c r="T42" s="256">
        <f>IF(ISBLANK(R42),0,X42)</f>
      </c>
      <c r="U42" s="256">
        <f>IF(ISBLANK(S42),0,X42)</f>
      </c>
      <c r="V42" s="284">
        <f>IFERROR(Q42/K42,0)</f>
      </c>
      <c r="W42" s="123">
        <f>IFERROR(L42*V42,0)</f>
      </c>
      <c r="X42" s="256">
        <f>IFERROR(Q42+W42,0)</f>
      </c>
      <c r="Y42" s="256">
        <f>IFERROR(M42*V42,0)</f>
      </c>
      <c r="Z42" s="256">
        <f>Y42-(Y42*$B$1)</f>
      </c>
      <c r="AA42" s="285">
        <f>IFERROR(Z42/X42,"")</f>
      </c>
      <c r="AB42" s="286">
        <f>IFERROR(IF(ISBLANK(N42),Y42/O42,Y42/N42),0)</f>
      </c>
      <c r="AC42" s="286">
        <f>IFERROR(-1*(AB42*B$1),0)</f>
      </c>
      <c r="AD42" s="286">
        <f>IFERROR(SUM(AB42:AC42),0)</f>
      </c>
      <c r="AE42" s="286">
        <f>IF(ISBLANK(N42),AD42,AD42*5)</f>
      </c>
      <c r="AF42" s="287">
        <f>SUM(AG42:AV42)</f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18"/>
      <c r="AU42" s="18"/>
      <c r="AV42" s="18"/>
      <c r="AW42" s="18"/>
      <c r="AX42" s="18"/>
      <c r="AY42" s="18"/>
      <c r="AZ42" s="18"/>
      <c r="BA42" s="18"/>
      <c r="BB42" s="18"/>
      <c r="BC42" s="16"/>
      <c r="BD42" s="16"/>
      <c r="BE42" s="16"/>
      <c r="BF42" s="286">
        <f>Z42-AF42</f>
      </c>
      <c r="BG42" s="321">
        <f>IFERROR(AF42/Y42,0)</f>
      </c>
      <c r="BH42" s="284">
        <f>IFERROR(AF42/X42,0)</f>
      </c>
      <c r="BI42" s="284">
        <f>IFERROR(X42/SUM(X$3:X$12),0)</f>
      </c>
      <c r="BJ42" s="284">
        <f>IFERROR(BF42/SUM(BF$3:BF239),0)</f>
      </c>
      <c r="BK42" s="288">
        <f>BF42/'R&amp;H Portfolio'!Q$10</f>
      </c>
      <c r="BL42" s="286">
        <f>BI42*P42</f>
      </c>
      <c r="BM42" s="3"/>
      <c r="BN42" s="3"/>
      <c r="BO42" s="17"/>
    </row>
    <row x14ac:dyDescent="0.25" r="43" customHeight="1" ht="15">
      <c r="A43" s="17"/>
      <c r="B43" s="14"/>
      <c r="C43" s="3"/>
      <c r="D43" s="3"/>
      <c r="E43" s="3"/>
      <c r="F43" s="3"/>
      <c r="G43" s="16"/>
      <c r="H43" s="18"/>
      <c r="I43" s="18"/>
      <c r="J43" s="279">
        <f>H43+I43</f>
      </c>
      <c r="K43" s="1"/>
      <c r="L43" s="123">
        <f>K43*I43</f>
      </c>
      <c r="M43" s="123">
        <f>K43*J43</f>
      </c>
      <c r="N43" s="16"/>
      <c r="O43" s="16"/>
      <c r="P43" s="282">
        <f>IF(ISBLANK(N43),O43/4.3,N43/20)</f>
      </c>
      <c r="Q43" s="1"/>
      <c r="R43" s="3"/>
      <c r="S43" s="3"/>
      <c r="T43" s="256">
        <f>IF(ISBLANK(R43),0,X43)</f>
      </c>
      <c r="U43" s="256">
        <f>IF(ISBLANK(S43),0,X43)</f>
      </c>
      <c r="V43" s="284">
        <f>IFERROR(Q43/K43,0)</f>
      </c>
      <c r="W43" s="123">
        <f>IFERROR(L43*V43,0)</f>
      </c>
      <c r="X43" s="256">
        <f>IFERROR(Q43+W43,0)</f>
      </c>
      <c r="Y43" s="256">
        <f>IFERROR(M43*V43,0)</f>
      </c>
      <c r="Z43" s="256">
        <f>Y43-(Y43*$B$1)</f>
      </c>
      <c r="AA43" s="285">
        <f>IFERROR(Z43/X43,"")</f>
      </c>
      <c r="AB43" s="286">
        <f>IFERROR(IF(ISBLANK(N43),Y43/O43,Y43/N43),0)</f>
      </c>
      <c r="AC43" s="286">
        <f>IFERROR(-1*(AB43*B$1),0)</f>
      </c>
      <c r="AD43" s="286">
        <f>IFERROR(SUM(AB43:AC43),0)</f>
      </c>
      <c r="AE43" s="286">
        <f>IF(ISBLANK(N43),AD43,AD43*5)</f>
      </c>
      <c r="AF43" s="287">
        <f>SUM(AG43:AV43)</f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18"/>
      <c r="AU43" s="18"/>
      <c r="AV43" s="18"/>
      <c r="AW43" s="18"/>
      <c r="AX43" s="18"/>
      <c r="AY43" s="18"/>
      <c r="AZ43" s="18"/>
      <c r="BA43" s="18"/>
      <c r="BB43" s="18"/>
      <c r="BC43" s="16"/>
      <c r="BD43" s="16"/>
      <c r="BE43" s="16"/>
      <c r="BF43" s="286">
        <f>Z43-AF43</f>
      </c>
      <c r="BG43" s="321">
        <f>IFERROR(AF43/Y43,0)</f>
      </c>
      <c r="BH43" s="284">
        <f>IFERROR(AF43/X43,0)</f>
      </c>
      <c r="BI43" s="284">
        <f>IFERROR(X43/SUM(X$3:X$12),0)</f>
      </c>
      <c r="BJ43" s="284">
        <f>IFERROR(BF43/SUM(BF$3:BF240),0)</f>
      </c>
      <c r="BK43" s="288">
        <f>BF43/'R&amp;H Portfolio'!Q$10</f>
      </c>
      <c r="BL43" s="286">
        <f>BI43*P43</f>
      </c>
      <c r="BM43" s="3"/>
      <c r="BN43" s="3"/>
      <c r="BO43" s="17"/>
    </row>
    <row x14ac:dyDescent="0.25" r="44" customHeight="1" ht="15">
      <c r="A44" s="17"/>
      <c r="B44" s="14"/>
      <c r="C44" s="3"/>
      <c r="D44" s="3"/>
      <c r="E44" s="3"/>
      <c r="F44" s="3"/>
      <c r="G44" s="16"/>
      <c r="H44" s="18"/>
      <c r="I44" s="18"/>
      <c r="J44" s="279">
        <f>H44+I44</f>
      </c>
      <c r="K44" s="1"/>
      <c r="L44" s="123">
        <f>K44*I44</f>
      </c>
      <c r="M44" s="123">
        <f>K44*J44</f>
      </c>
      <c r="N44" s="16"/>
      <c r="O44" s="16"/>
      <c r="P44" s="282">
        <f>IF(ISBLANK(N44),O44/4.3,N44/20)</f>
      </c>
      <c r="Q44" s="1"/>
      <c r="R44" s="3"/>
      <c r="S44" s="3"/>
      <c r="T44" s="256">
        <f>IF(ISBLANK(R44),0,X44)</f>
      </c>
      <c r="U44" s="256">
        <f>IF(ISBLANK(S44),0,X44)</f>
      </c>
      <c r="V44" s="284">
        <f>IFERROR(Q44/K44,0)</f>
      </c>
      <c r="W44" s="123">
        <f>IFERROR(L44*V44,0)</f>
      </c>
      <c r="X44" s="256">
        <f>IFERROR(Q44+W44,0)</f>
      </c>
      <c r="Y44" s="256">
        <f>IFERROR(M44*V44,0)</f>
      </c>
      <c r="Z44" s="256">
        <f>Y44-(Y44*$B$1)</f>
      </c>
      <c r="AA44" s="285">
        <f>IFERROR(Z44/X44,"")</f>
      </c>
      <c r="AB44" s="286">
        <f>IFERROR(IF(ISBLANK(N44),Y44/O44,Y44/N44),0)</f>
      </c>
      <c r="AC44" s="286">
        <f>IFERROR(-1*(AB44*B$1),0)</f>
      </c>
      <c r="AD44" s="286">
        <f>IFERROR(SUM(AB44:AC44),0)</f>
      </c>
      <c r="AE44" s="286">
        <f>IF(ISBLANK(N44),AD44,AD44*5)</f>
      </c>
      <c r="AF44" s="287">
        <f>SUM(AG44:AV44)</f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18"/>
      <c r="AU44" s="18"/>
      <c r="AV44" s="18"/>
      <c r="AW44" s="18"/>
      <c r="AX44" s="18"/>
      <c r="AY44" s="18"/>
      <c r="AZ44" s="18"/>
      <c r="BA44" s="18"/>
      <c r="BB44" s="18"/>
      <c r="BC44" s="16"/>
      <c r="BD44" s="16"/>
      <c r="BE44" s="16"/>
      <c r="BF44" s="286">
        <f>Z44-AF44</f>
      </c>
      <c r="BG44" s="321">
        <f>IFERROR(AF44/Y44,0)</f>
      </c>
      <c r="BH44" s="284">
        <f>IFERROR(AF44/X44,0)</f>
      </c>
      <c r="BI44" s="284">
        <f>IFERROR(X44/SUM(X$3:X$12),0)</f>
      </c>
      <c r="BJ44" s="284">
        <f>IFERROR(BF44/SUM(BF$3:BF241),0)</f>
      </c>
      <c r="BK44" s="288">
        <f>BF44/'R&amp;H Portfolio'!Q$10</f>
      </c>
      <c r="BL44" s="286">
        <f>BI44*P44</f>
      </c>
      <c r="BM44" s="3"/>
      <c r="BN44" s="3"/>
      <c r="BO44" s="17"/>
    </row>
    <row x14ac:dyDescent="0.25" r="45" customHeight="1" ht="15">
      <c r="A45" s="17"/>
      <c r="B45" s="14"/>
      <c r="C45" s="3"/>
      <c r="D45" s="3"/>
      <c r="E45" s="3"/>
      <c r="F45" s="3"/>
      <c r="G45" s="16"/>
      <c r="H45" s="18"/>
      <c r="I45" s="18"/>
      <c r="J45" s="279">
        <f>H45+I45</f>
      </c>
      <c r="K45" s="1"/>
      <c r="L45" s="123">
        <f>K45*I45</f>
      </c>
      <c r="M45" s="123">
        <f>K45*J45</f>
      </c>
      <c r="N45" s="16"/>
      <c r="O45" s="16"/>
      <c r="P45" s="282">
        <f>IF(ISBLANK(N45),O45/4.3,N45/20)</f>
      </c>
      <c r="Q45" s="1"/>
      <c r="R45" s="3"/>
      <c r="S45" s="3"/>
      <c r="T45" s="256">
        <f>IF(ISBLANK(R45),0,X45)</f>
      </c>
      <c r="U45" s="256">
        <f>IF(ISBLANK(S45),0,X45)</f>
      </c>
      <c r="V45" s="284">
        <f>IFERROR(Q45/K45,0)</f>
      </c>
      <c r="W45" s="123">
        <f>IFERROR(L45*V45,0)</f>
      </c>
      <c r="X45" s="256">
        <f>IFERROR(Q45+W45,0)</f>
      </c>
      <c r="Y45" s="256">
        <f>IFERROR(M45*V45,0)</f>
      </c>
      <c r="Z45" s="256">
        <f>Y45-(Y45*$B$1)</f>
      </c>
      <c r="AA45" s="285">
        <f>IFERROR(Z45/X45,"")</f>
      </c>
      <c r="AB45" s="286">
        <f>IFERROR(IF(ISBLANK(N45),Y45/O45,Y45/N45),0)</f>
      </c>
      <c r="AC45" s="286">
        <f>IFERROR(-1*(AB45*B$1),0)</f>
      </c>
      <c r="AD45" s="286">
        <f>IFERROR(SUM(AB45:AC45),0)</f>
      </c>
      <c r="AE45" s="286">
        <f>IF(ISBLANK(N45),AD45,AD45*5)</f>
      </c>
      <c r="AF45" s="287">
        <f>SUM(AG45:AV45)</f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18"/>
      <c r="AU45" s="18"/>
      <c r="AV45" s="18"/>
      <c r="AW45" s="18"/>
      <c r="AX45" s="18"/>
      <c r="AY45" s="18"/>
      <c r="AZ45" s="18"/>
      <c r="BA45" s="18"/>
      <c r="BB45" s="18"/>
      <c r="BC45" s="16"/>
      <c r="BD45" s="16"/>
      <c r="BE45" s="16"/>
      <c r="BF45" s="286">
        <f>Z45-AF45</f>
      </c>
      <c r="BG45" s="321">
        <f>IFERROR(AF45/Y45,0)</f>
      </c>
      <c r="BH45" s="284">
        <f>IFERROR(AF45/X45,0)</f>
      </c>
      <c r="BI45" s="284">
        <f>IFERROR(X45/SUM(X$3:X$12),0)</f>
      </c>
      <c r="BJ45" s="284">
        <f>IFERROR(BF45/SUM(BF$3:BF242),0)</f>
      </c>
      <c r="BK45" s="288">
        <f>BF45/'R&amp;H Portfolio'!Q$10</f>
      </c>
      <c r="BL45" s="286">
        <f>BI45*P45</f>
      </c>
      <c r="BM45" s="3"/>
      <c r="BN45" s="3"/>
      <c r="BO45" s="17"/>
    </row>
    <row x14ac:dyDescent="0.25" r="46" customHeight="1" ht="15">
      <c r="A46" s="17"/>
      <c r="B46" s="14"/>
      <c r="C46" s="3"/>
      <c r="D46" s="3"/>
      <c r="E46" s="3"/>
      <c r="F46" s="3"/>
      <c r="G46" s="16"/>
      <c r="H46" s="18"/>
      <c r="I46" s="18"/>
      <c r="J46" s="279">
        <f>H46+I46</f>
      </c>
      <c r="K46" s="1"/>
      <c r="L46" s="123">
        <f>K46*I46</f>
      </c>
      <c r="M46" s="123">
        <f>K46*J46</f>
      </c>
      <c r="N46" s="16"/>
      <c r="O46" s="16"/>
      <c r="P46" s="282">
        <f>IF(ISBLANK(N46),O46/4.3,N46/20)</f>
      </c>
      <c r="Q46" s="1"/>
      <c r="R46" s="3"/>
      <c r="S46" s="3"/>
      <c r="T46" s="256">
        <f>IF(ISBLANK(R46),0,X46)</f>
      </c>
      <c r="U46" s="256">
        <f>IF(ISBLANK(S46),0,X46)</f>
      </c>
      <c r="V46" s="284">
        <f>IFERROR(Q46/K46,0)</f>
      </c>
      <c r="W46" s="123">
        <f>IFERROR(L46*V46,0)</f>
      </c>
      <c r="X46" s="256">
        <f>IFERROR(Q46+W46,0)</f>
      </c>
      <c r="Y46" s="256">
        <f>IFERROR(M46*V46,0)</f>
      </c>
      <c r="Z46" s="256">
        <f>Y46-(Y46*$B$1)</f>
      </c>
      <c r="AA46" s="285">
        <f>IFERROR(Z46/X46,"")</f>
      </c>
      <c r="AB46" s="286">
        <f>IFERROR(IF(ISBLANK(N46),Y46/O46,Y46/N46),0)</f>
      </c>
      <c r="AC46" s="286">
        <f>IFERROR(-1*(AB46*B$1),0)</f>
      </c>
      <c r="AD46" s="286">
        <f>IFERROR(SUM(AB46:AC46),0)</f>
      </c>
      <c r="AE46" s="286">
        <f>IF(ISBLANK(N46),AD46,AD46*5)</f>
      </c>
      <c r="AF46" s="287">
        <f>SUM(AG46:AV46)</f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18"/>
      <c r="AU46" s="18"/>
      <c r="AV46" s="18"/>
      <c r="AW46" s="18"/>
      <c r="AX46" s="18"/>
      <c r="AY46" s="18"/>
      <c r="AZ46" s="18"/>
      <c r="BA46" s="18"/>
      <c r="BB46" s="18"/>
      <c r="BC46" s="16"/>
      <c r="BD46" s="16"/>
      <c r="BE46" s="16"/>
      <c r="BF46" s="286">
        <f>Z46-AF46</f>
      </c>
      <c r="BG46" s="321">
        <f>IFERROR(AF46/Y46,0)</f>
      </c>
      <c r="BH46" s="284">
        <f>IFERROR(AF46/X46,0)</f>
      </c>
      <c r="BI46" s="284">
        <f>IFERROR(X46/SUM(X$3:X$12),0)</f>
      </c>
      <c r="BJ46" s="284">
        <f>IFERROR(BF46/SUM(BF$3:BF243),0)</f>
      </c>
      <c r="BK46" s="288">
        <f>BF46/'R&amp;H Portfolio'!Q$10</f>
      </c>
      <c r="BL46" s="286">
        <f>BI46*P46</f>
      </c>
      <c r="BM46" s="3"/>
      <c r="BN46" s="3"/>
      <c r="BO46" s="17"/>
    </row>
    <row x14ac:dyDescent="0.25" r="47" customHeight="1" ht="15">
      <c r="A47" s="17"/>
      <c r="B47" s="14"/>
      <c r="C47" s="3"/>
      <c r="D47" s="3"/>
      <c r="E47" s="3"/>
      <c r="F47" s="3"/>
      <c r="G47" s="16"/>
      <c r="H47" s="18"/>
      <c r="I47" s="18"/>
      <c r="J47" s="279">
        <f>H47+I47</f>
      </c>
      <c r="K47" s="1"/>
      <c r="L47" s="123">
        <f>K47*I47</f>
      </c>
      <c r="M47" s="123">
        <f>K47*J47</f>
      </c>
      <c r="N47" s="16"/>
      <c r="O47" s="16"/>
      <c r="P47" s="282">
        <f>IF(ISBLANK(N47),O47/4.3,N47/20)</f>
      </c>
      <c r="Q47" s="1"/>
      <c r="R47" s="3"/>
      <c r="S47" s="3"/>
      <c r="T47" s="256">
        <f>IF(ISBLANK(R47),0,X47)</f>
      </c>
      <c r="U47" s="256">
        <f>IF(ISBLANK(S47),0,X47)</f>
      </c>
      <c r="V47" s="284">
        <f>IFERROR(Q47/K47,0)</f>
      </c>
      <c r="W47" s="123">
        <f>IFERROR(L47*V47,0)</f>
      </c>
      <c r="X47" s="256">
        <f>IFERROR(Q47+W47,0)</f>
      </c>
      <c r="Y47" s="256">
        <f>IFERROR(M47*V47,0)</f>
      </c>
      <c r="Z47" s="256">
        <f>Y47-(Y47*$B$1)</f>
      </c>
      <c r="AA47" s="285">
        <f>IFERROR(Z47/X47,"")</f>
      </c>
      <c r="AB47" s="286">
        <f>IFERROR(IF(ISBLANK(N47),Y47/O47,Y47/N47),0)</f>
      </c>
      <c r="AC47" s="286">
        <f>IFERROR(-1*(AB47*B$1),0)</f>
      </c>
      <c r="AD47" s="286">
        <f>IFERROR(SUM(AB47:AC47),0)</f>
      </c>
      <c r="AE47" s="286">
        <f>IF(ISBLANK(N47),AD47,AD47*5)</f>
      </c>
      <c r="AF47" s="287">
        <f>SUM(AG47:AV47)</f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18"/>
      <c r="AU47" s="18"/>
      <c r="AV47" s="18"/>
      <c r="AW47" s="18"/>
      <c r="AX47" s="18"/>
      <c r="AY47" s="18"/>
      <c r="AZ47" s="18"/>
      <c r="BA47" s="18"/>
      <c r="BB47" s="18"/>
      <c r="BC47" s="16"/>
      <c r="BD47" s="16"/>
      <c r="BE47" s="16"/>
      <c r="BF47" s="286">
        <f>Z47-AF47</f>
      </c>
      <c r="BG47" s="321">
        <f>IFERROR(AF47/Y47,0)</f>
      </c>
      <c r="BH47" s="284">
        <f>IFERROR(AF47/X47,0)</f>
      </c>
      <c r="BI47" s="284">
        <f>IFERROR(X47/SUM(X$3:X$12),0)</f>
      </c>
      <c r="BJ47" s="284">
        <f>IFERROR(BF47/SUM(BF$3:BF244),0)</f>
      </c>
      <c r="BK47" s="288">
        <f>BF47/'R&amp;H Portfolio'!Q$10</f>
      </c>
      <c r="BL47" s="286">
        <f>BI47*P47</f>
      </c>
      <c r="BM47" s="3"/>
      <c r="BN47" s="3"/>
      <c r="BO47" s="17"/>
    </row>
    <row x14ac:dyDescent="0.25" r="48" customHeight="1" ht="15">
      <c r="A48" s="17"/>
      <c r="B48" s="14"/>
      <c r="C48" s="3"/>
      <c r="D48" s="3"/>
      <c r="E48" s="3"/>
      <c r="F48" s="3"/>
      <c r="G48" s="16"/>
      <c r="H48" s="18"/>
      <c r="I48" s="18"/>
      <c r="J48" s="279">
        <f>H48+I48</f>
      </c>
      <c r="K48" s="1"/>
      <c r="L48" s="123">
        <f>K48*I48</f>
      </c>
      <c r="M48" s="123">
        <f>K48*J48</f>
      </c>
      <c r="N48" s="16"/>
      <c r="O48" s="16"/>
      <c r="P48" s="282">
        <f>IF(ISBLANK(N48),O48/4.3,N48/20)</f>
      </c>
      <c r="Q48" s="1"/>
      <c r="R48" s="3"/>
      <c r="S48" s="3"/>
      <c r="T48" s="256">
        <f>IF(ISBLANK(R48),0,X48)</f>
      </c>
      <c r="U48" s="256">
        <f>IF(ISBLANK(S48),0,X48)</f>
      </c>
      <c r="V48" s="284">
        <f>IFERROR(Q48/K48,0)</f>
      </c>
      <c r="W48" s="123">
        <f>IFERROR(L48*V48,0)</f>
      </c>
      <c r="X48" s="256">
        <f>IFERROR(Q48+W48,0)</f>
      </c>
      <c r="Y48" s="256">
        <f>IFERROR(M48*V48,0)</f>
      </c>
      <c r="Z48" s="256">
        <f>Y48-(Y48*$B$1)</f>
      </c>
      <c r="AA48" s="285">
        <f>IFERROR(Z48/X48,"")</f>
      </c>
      <c r="AB48" s="286">
        <f>IFERROR(IF(ISBLANK(N48),Y48/O48,Y48/N48),0)</f>
      </c>
      <c r="AC48" s="286">
        <f>IFERROR(-1*(AB48*B$1),0)</f>
      </c>
      <c r="AD48" s="286">
        <f>IFERROR(SUM(AB48:AC48),0)</f>
      </c>
      <c r="AE48" s="286">
        <f>IF(ISBLANK(N48),AD48,AD48*5)</f>
      </c>
      <c r="AF48" s="287">
        <f>SUM(AG48:AV48)</f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18"/>
      <c r="AU48" s="18"/>
      <c r="AV48" s="18"/>
      <c r="AW48" s="18"/>
      <c r="AX48" s="18"/>
      <c r="AY48" s="18"/>
      <c r="AZ48" s="18"/>
      <c r="BA48" s="18"/>
      <c r="BB48" s="18"/>
      <c r="BC48" s="16"/>
      <c r="BD48" s="16"/>
      <c r="BE48" s="16"/>
      <c r="BF48" s="286">
        <f>Z48-AF48</f>
      </c>
      <c r="BG48" s="321">
        <f>IFERROR(AF48/Y48,0)</f>
      </c>
      <c r="BH48" s="284">
        <f>IFERROR(AF48/X48,0)</f>
      </c>
      <c r="BI48" s="284">
        <f>IFERROR(X48/SUM(X$3:X$12),0)</f>
      </c>
      <c r="BJ48" s="284">
        <f>IFERROR(BF48/SUM(BF$3:BF245),0)</f>
      </c>
      <c r="BK48" s="288">
        <f>BF48/'R&amp;H Portfolio'!Q$10</f>
      </c>
      <c r="BL48" s="286">
        <f>BI48*P48</f>
      </c>
      <c r="BM48" s="3"/>
      <c r="BN48" s="3"/>
      <c r="BO48" s="17"/>
    </row>
    <row x14ac:dyDescent="0.25" r="49" customHeight="1" ht="15">
      <c r="A49" s="17"/>
      <c r="B49" s="14"/>
      <c r="C49" s="3"/>
      <c r="D49" s="3"/>
      <c r="E49" s="3"/>
      <c r="F49" s="3"/>
      <c r="G49" s="16"/>
      <c r="H49" s="18"/>
      <c r="I49" s="18"/>
      <c r="J49" s="279">
        <f>H49+I49</f>
      </c>
      <c r="K49" s="1"/>
      <c r="L49" s="123">
        <f>K49*I49</f>
      </c>
      <c r="M49" s="123">
        <f>K49*J49</f>
      </c>
      <c r="N49" s="16"/>
      <c r="O49" s="16"/>
      <c r="P49" s="282">
        <f>IF(ISBLANK(N49),O49/4.3,N49/20)</f>
      </c>
      <c r="Q49" s="1"/>
      <c r="R49" s="3"/>
      <c r="S49" s="3"/>
      <c r="T49" s="256">
        <f>IF(ISBLANK(R49),0,X49)</f>
      </c>
      <c r="U49" s="256">
        <f>IF(ISBLANK(S49),0,X49)</f>
      </c>
      <c r="V49" s="284">
        <f>IFERROR(Q49/K49,0)</f>
      </c>
      <c r="W49" s="123">
        <f>IFERROR(L49*V49,0)</f>
      </c>
      <c r="X49" s="256">
        <f>IFERROR(Q49+W49,0)</f>
      </c>
      <c r="Y49" s="256">
        <f>IFERROR(M49*V49,0)</f>
      </c>
      <c r="Z49" s="256">
        <f>Y49-(Y49*$B$1)</f>
      </c>
      <c r="AA49" s="285">
        <f>IFERROR(Z49/X49,"")</f>
      </c>
      <c r="AB49" s="286">
        <f>IFERROR(IF(ISBLANK(N49),Y49/O49,Y49/N49),0)</f>
      </c>
      <c r="AC49" s="286">
        <f>IFERROR(-1*(AB49*B$1),0)</f>
      </c>
      <c r="AD49" s="286">
        <f>IFERROR(SUM(AB49:AC49),0)</f>
      </c>
      <c r="AE49" s="286">
        <f>IF(ISBLANK(N49),AD49,AD49*5)</f>
      </c>
      <c r="AF49" s="287">
        <f>SUM(AG49:AV49)</f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18"/>
      <c r="AU49" s="18"/>
      <c r="AV49" s="18"/>
      <c r="AW49" s="18"/>
      <c r="AX49" s="18"/>
      <c r="AY49" s="18"/>
      <c r="AZ49" s="18"/>
      <c r="BA49" s="18"/>
      <c r="BB49" s="18"/>
      <c r="BC49" s="16"/>
      <c r="BD49" s="16"/>
      <c r="BE49" s="16"/>
      <c r="BF49" s="286">
        <f>Z49-AF49</f>
      </c>
      <c r="BG49" s="321">
        <f>IFERROR(AF49/Y49,0)</f>
      </c>
      <c r="BH49" s="284">
        <f>IFERROR(AF49/X49,0)</f>
      </c>
      <c r="BI49" s="284">
        <f>IFERROR(X49/SUM(X$3:X$12),0)</f>
      </c>
      <c r="BJ49" s="284">
        <f>IFERROR(BF49/SUM(BF$3:BF246),0)</f>
      </c>
      <c r="BK49" s="288">
        <f>BF49/'R&amp;H Portfolio'!Q$10</f>
      </c>
      <c r="BL49" s="286">
        <f>BI49*P49</f>
      </c>
      <c r="BM49" s="3"/>
      <c r="BN49" s="3"/>
      <c r="BO49" s="17"/>
    </row>
    <row x14ac:dyDescent="0.25" r="50" customHeight="1" ht="15">
      <c r="A50" s="17"/>
      <c r="B50" s="14"/>
      <c r="C50" s="3"/>
      <c r="D50" s="3"/>
      <c r="E50" s="3"/>
      <c r="F50" s="3"/>
      <c r="G50" s="16"/>
      <c r="H50" s="18"/>
      <c r="I50" s="18"/>
      <c r="J50" s="279">
        <f>H50+I50</f>
      </c>
      <c r="K50" s="1"/>
      <c r="L50" s="123">
        <f>K50*I50</f>
      </c>
      <c r="M50" s="123">
        <f>K50*J50</f>
      </c>
      <c r="N50" s="16"/>
      <c r="O50" s="16"/>
      <c r="P50" s="282">
        <f>IF(ISBLANK(N50),O50/4.3,N50/20)</f>
      </c>
      <c r="Q50" s="1"/>
      <c r="R50" s="3"/>
      <c r="S50" s="3"/>
      <c r="T50" s="256">
        <f>IF(ISBLANK(R50),0,X50)</f>
      </c>
      <c r="U50" s="256">
        <f>IF(ISBLANK(S50),0,X50)</f>
      </c>
      <c r="V50" s="284">
        <f>IFERROR(Q50/K50,0)</f>
      </c>
      <c r="W50" s="123">
        <f>IFERROR(L50*V50,0)</f>
      </c>
      <c r="X50" s="256">
        <f>IFERROR(Q50+W50,0)</f>
      </c>
      <c r="Y50" s="256">
        <f>IFERROR(M50*V50,0)</f>
      </c>
      <c r="Z50" s="256">
        <f>Y50-(Y50*$B$1)</f>
      </c>
      <c r="AA50" s="285">
        <f>IFERROR(Z50/X50,"")</f>
      </c>
      <c r="AB50" s="286">
        <f>IFERROR(IF(ISBLANK(N50),Y50/O50,Y50/N50),0)</f>
      </c>
      <c r="AC50" s="286">
        <f>IFERROR(-1*(AB50*B$1),0)</f>
      </c>
      <c r="AD50" s="286">
        <f>IFERROR(SUM(AB50:AC50),0)</f>
      </c>
      <c r="AE50" s="286">
        <f>IF(ISBLANK(N50),AD50,AD50*5)</f>
      </c>
      <c r="AF50" s="287">
        <f>SUM(AG50:AV50)</f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18"/>
      <c r="AU50" s="18"/>
      <c r="AV50" s="18"/>
      <c r="AW50" s="18"/>
      <c r="AX50" s="18"/>
      <c r="AY50" s="18"/>
      <c r="AZ50" s="18"/>
      <c r="BA50" s="18"/>
      <c r="BB50" s="18"/>
      <c r="BC50" s="16"/>
      <c r="BD50" s="16"/>
      <c r="BE50" s="16"/>
      <c r="BF50" s="286">
        <f>Z50-AF50</f>
      </c>
      <c r="BG50" s="321">
        <f>IFERROR(AF50/Y50,0)</f>
      </c>
      <c r="BH50" s="284">
        <f>IFERROR(AF50/X50,0)</f>
      </c>
      <c r="BI50" s="284">
        <f>IFERROR(X50/SUM(X$3:X$12),0)</f>
      </c>
      <c r="BJ50" s="284">
        <f>IFERROR(BF50/SUM(BF$3:BF247),0)</f>
      </c>
      <c r="BK50" s="288">
        <f>BF50/'R&amp;H Portfolio'!Q$10</f>
      </c>
      <c r="BL50" s="286">
        <f>BI50*P50</f>
      </c>
      <c r="BM50" s="3"/>
      <c r="BN50" s="3"/>
      <c r="BO50" s="17"/>
    </row>
    <row x14ac:dyDescent="0.25" r="51" customHeight="1" ht="15">
      <c r="A51" s="17"/>
      <c r="B51" s="14"/>
      <c r="C51" s="3"/>
      <c r="D51" s="3"/>
      <c r="E51" s="3"/>
      <c r="F51" s="3"/>
      <c r="G51" s="16"/>
      <c r="H51" s="18"/>
      <c r="I51" s="18"/>
      <c r="J51" s="279">
        <f>H51+I51</f>
      </c>
      <c r="K51" s="1"/>
      <c r="L51" s="123">
        <f>K51*I51</f>
      </c>
      <c r="M51" s="123">
        <f>K51*J51</f>
      </c>
      <c r="N51" s="16"/>
      <c r="O51" s="16"/>
      <c r="P51" s="282">
        <f>IF(ISBLANK(N51),O51/4.3,N51/20)</f>
      </c>
      <c r="Q51" s="1"/>
      <c r="R51" s="3"/>
      <c r="S51" s="3"/>
      <c r="T51" s="256">
        <f>IF(ISBLANK(R51),0,X51)</f>
      </c>
      <c r="U51" s="256">
        <f>IF(ISBLANK(S51),0,X51)</f>
      </c>
      <c r="V51" s="284">
        <f>IFERROR(Q51/K51,0)</f>
      </c>
      <c r="W51" s="123">
        <f>IFERROR(L51*V51,0)</f>
      </c>
      <c r="X51" s="256">
        <f>IFERROR(Q51+W51,0)</f>
      </c>
      <c r="Y51" s="256">
        <f>IFERROR(M51*V51,0)</f>
      </c>
      <c r="Z51" s="256">
        <f>Y51-(Y51*$B$1)</f>
      </c>
      <c r="AA51" s="285">
        <f>IFERROR(Z51/X51,"")</f>
      </c>
      <c r="AB51" s="286">
        <f>IFERROR(IF(ISBLANK(N51),Y51/O51,Y51/N51),0)</f>
      </c>
      <c r="AC51" s="286">
        <f>IFERROR(-1*(AB51*B$1),0)</f>
      </c>
      <c r="AD51" s="286">
        <f>IFERROR(SUM(AB51:AC51),0)</f>
      </c>
      <c r="AE51" s="286">
        <f>IF(ISBLANK(N51),AD51,AD51*5)</f>
      </c>
      <c r="AF51" s="287">
        <f>SUM(AG51:AV51)</f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18"/>
      <c r="AU51" s="18"/>
      <c r="AV51" s="18"/>
      <c r="AW51" s="18"/>
      <c r="AX51" s="18"/>
      <c r="AY51" s="18"/>
      <c r="AZ51" s="18"/>
      <c r="BA51" s="18"/>
      <c r="BB51" s="18"/>
      <c r="BC51" s="16"/>
      <c r="BD51" s="16"/>
      <c r="BE51" s="16"/>
      <c r="BF51" s="286">
        <f>Z51-AF51</f>
      </c>
      <c r="BG51" s="321">
        <f>IFERROR(AF51/Y51,0)</f>
      </c>
      <c r="BH51" s="284">
        <f>IFERROR(AF51/X51,0)</f>
      </c>
      <c r="BI51" s="284">
        <f>IFERROR(X51/SUM(X$3:X$12),0)</f>
      </c>
      <c r="BJ51" s="284">
        <f>IFERROR(BF51/SUM(BF$3:BF248),0)</f>
      </c>
      <c r="BK51" s="288">
        <f>BF51/'R&amp;H Portfolio'!Q$10</f>
      </c>
      <c r="BL51" s="286">
        <f>BI51*P51</f>
      </c>
      <c r="BM51" s="3"/>
      <c r="BN51" s="3"/>
      <c r="BO51" s="17"/>
    </row>
    <row x14ac:dyDescent="0.25" r="52" customHeight="1" ht="15">
      <c r="A52" s="17"/>
      <c r="B52" s="14"/>
      <c r="C52" s="3"/>
      <c r="D52" s="3"/>
      <c r="E52" s="3"/>
      <c r="F52" s="3"/>
      <c r="G52" s="16"/>
      <c r="H52" s="18"/>
      <c r="I52" s="18"/>
      <c r="J52" s="279">
        <f>H52+I52</f>
      </c>
      <c r="K52" s="1"/>
      <c r="L52" s="123">
        <f>K52*I52</f>
      </c>
      <c r="M52" s="123">
        <f>K52*J52</f>
      </c>
      <c r="N52" s="16"/>
      <c r="O52" s="16"/>
      <c r="P52" s="282">
        <f>IF(ISBLANK(N52),O52/4.3,N52/20)</f>
      </c>
      <c r="Q52" s="1"/>
      <c r="R52" s="3"/>
      <c r="S52" s="3"/>
      <c r="T52" s="256">
        <f>IF(ISBLANK(R52),0,X52)</f>
      </c>
      <c r="U52" s="256">
        <f>IF(ISBLANK(S52),0,X52)</f>
      </c>
      <c r="V52" s="284">
        <f>IFERROR(Q52/K52,0)</f>
      </c>
      <c r="W52" s="123">
        <f>IFERROR(L52*V52,0)</f>
      </c>
      <c r="X52" s="256">
        <f>IFERROR(Q52+W52,0)</f>
      </c>
      <c r="Y52" s="256">
        <f>IFERROR(M52*V52,0)</f>
      </c>
      <c r="Z52" s="256">
        <f>Y52-(Y52*$B$1)</f>
      </c>
      <c r="AA52" s="285">
        <f>IFERROR(Z52/X52,"")</f>
      </c>
      <c r="AB52" s="286">
        <f>IFERROR(IF(ISBLANK(N52),Y52/O52,Y52/N52),0)</f>
      </c>
      <c r="AC52" s="286">
        <f>IFERROR(-1*(AB52*B$1),0)</f>
      </c>
      <c r="AD52" s="286">
        <f>IFERROR(SUM(AB52:AC52),0)</f>
      </c>
      <c r="AE52" s="286">
        <f>IF(ISBLANK(N52),AD52,AD52*5)</f>
      </c>
      <c r="AF52" s="287">
        <f>SUM(AG52:AV52)</f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18"/>
      <c r="AU52" s="18"/>
      <c r="AV52" s="18"/>
      <c r="AW52" s="18"/>
      <c r="AX52" s="18"/>
      <c r="AY52" s="18"/>
      <c r="AZ52" s="18"/>
      <c r="BA52" s="18"/>
      <c r="BB52" s="18"/>
      <c r="BC52" s="16"/>
      <c r="BD52" s="16"/>
      <c r="BE52" s="16"/>
      <c r="BF52" s="286">
        <f>Z52-AF52</f>
      </c>
      <c r="BG52" s="321">
        <f>IFERROR(AF52/Y52,0)</f>
      </c>
      <c r="BH52" s="284">
        <f>IFERROR(AF52/X52,0)</f>
      </c>
      <c r="BI52" s="284">
        <f>IFERROR(X52/SUM(X$3:X$12),0)</f>
      </c>
      <c r="BJ52" s="284">
        <f>IFERROR(BF52/SUM(BF$3:BF249),0)</f>
      </c>
      <c r="BK52" s="288">
        <f>BF52/'R&amp;H Portfolio'!Q$10</f>
      </c>
      <c r="BL52" s="286">
        <f>BI52*P52</f>
      </c>
      <c r="BM52" s="3"/>
      <c r="BN52" s="3"/>
      <c r="BO52" s="17"/>
    </row>
    <row x14ac:dyDescent="0.25" r="53" customHeight="1" ht="15">
      <c r="A53" s="17"/>
      <c r="B53" s="14"/>
      <c r="C53" s="3"/>
      <c r="D53" s="3"/>
      <c r="E53" s="3"/>
      <c r="F53" s="3"/>
      <c r="G53" s="16"/>
      <c r="H53" s="18"/>
      <c r="I53" s="18"/>
      <c r="J53" s="279">
        <f>H53+I53</f>
      </c>
      <c r="K53" s="1"/>
      <c r="L53" s="123">
        <f>K53*I53</f>
      </c>
      <c r="M53" s="123">
        <f>K53*J53</f>
      </c>
      <c r="N53" s="16"/>
      <c r="O53" s="16"/>
      <c r="P53" s="282">
        <f>IF(ISBLANK(N53),O53/4.3,N53/20)</f>
      </c>
      <c r="Q53" s="1"/>
      <c r="R53" s="3"/>
      <c r="S53" s="3"/>
      <c r="T53" s="256">
        <f>IF(ISBLANK(R53),0,X53)</f>
      </c>
      <c r="U53" s="256">
        <f>IF(ISBLANK(S53),0,X53)</f>
      </c>
      <c r="V53" s="284">
        <f>IFERROR(Q53/K53,0)</f>
      </c>
      <c r="W53" s="123">
        <f>IFERROR(L53*V53,0)</f>
      </c>
      <c r="X53" s="256">
        <f>IFERROR(Q53+W53,0)</f>
      </c>
      <c r="Y53" s="256">
        <f>IFERROR(M53*V53,0)</f>
      </c>
      <c r="Z53" s="256">
        <f>Y53-(Y53*$B$1)</f>
      </c>
      <c r="AA53" s="285">
        <f>IFERROR(Z53/X53,"")</f>
      </c>
      <c r="AB53" s="286">
        <f>IFERROR(IF(ISBLANK(N53),Y53/O53,Y53/N53),0)</f>
      </c>
      <c r="AC53" s="286">
        <f>IFERROR(-1*(AB53*B$1),0)</f>
      </c>
      <c r="AD53" s="286">
        <f>IFERROR(SUM(AB53:AC53),0)</f>
      </c>
      <c r="AE53" s="286">
        <f>IF(ISBLANK(N53),AD53,AD53*5)</f>
      </c>
      <c r="AF53" s="287">
        <f>SUM(AG53:AV53)</f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18"/>
      <c r="AU53" s="18"/>
      <c r="AV53" s="18"/>
      <c r="AW53" s="18"/>
      <c r="AX53" s="18"/>
      <c r="AY53" s="18"/>
      <c r="AZ53" s="18"/>
      <c r="BA53" s="18"/>
      <c r="BB53" s="18"/>
      <c r="BC53" s="16"/>
      <c r="BD53" s="16"/>
      <c r="BE53" s="16"/>
      <c r="BF53" s="286">
        <f>Z53-AF53</f>
      </c>
      <c r="BG53" s="321">
        <f>IFERROR(AF53/Y53,0)</f>
      </c>
      <c r="BH53" s="284">
        <f>IFERROR(AF53/X53,0)</f>
      </c>
      <c r="BI53" s="284">
        <f>IFERROR(X53/SUM(X$3:X$12),0)</f>
      </c>
      <c r="BJ53" s="284">
        <f>IFERROR(BF53/SUM(BF$3:BF250),0)</f>
      </c>
      <c r="BK53" s="288">
        <f>BF53/'R&amp;H Portfolio'!Q$10</f>
      </c>
      <c r="BL53" s="286">
        <f>BI53*P53</f>
      </c>
      <c r="BM53" s="3"/>
      <c r="BN53" s="3"/>
      <c r="BO53" s="17"/>
    </row>
    <row x14ac:dyDescent="0.25" r="54" customHeight="1" ht="15">
      <c r="A54" s="17"/>
      <c r="B54" s="14"/>
      <c r="C54" s="3"/>
      <c r="D54" s="3"/>
      <c r="E54" s="3"/>
      <c r="F54" s="3"/>
      <c r="G54" s="16"/>
      <c r="H54" s="18"/>
      <c r="I54" s="18"/>
      <c r="J54" s="279">
        <f>H54+I54</f>
      </c>
      <c r="K54" s="1"/>
      <c r="L54" s="123">
        <f>K54*I54</f>
      </c>
      <c r="M54" s="123">
        <f>K54*J54</f>
      </c>
      <c r="N54" s="16"/>
      <c r="O54" s="16"/>
      <c r="P54" s="282">
        <f>IF(ISBLANK(N54),O54/4.3,N54/20)</f>
      </c>
      <c r="Q54" s="1"/>
      <c r="R54" s="3"/>
      <c r="S54" s="3"/>
      <c r="T54" s="256">
        <f>IF(ISBLANK(R54),0,X54)</f>
      </c>
      <c r="U54" s="256">
        <f>IF(ISBLANK(S54),0,X54)</f>
      </c>
      <c r="V54" s="284">
        <f>IFERROR(Q54/K54,0)</f>
      </c>
      <c r="W54" s="123">
        <f>IFERROR(L54*V54,0)</f>
      </c>
      <c r="X54" s="256">
        <f>IFERROR(Q54+W54,0)</f>
      </c>
      <c r="Y54" s="256">
        <f>IFERROR(M54*V54,0)</f>
      </c>
      <c r="Z54" s="256">
        <f>Y54-(Y54*$B$1)</f>
      </c>
      <c r="AA54" s="285">
        <f>IFERROR(Z54/X54,"")</f>
      </c>
      <c r="AB54" s="286">
        <f>IFERROR(IF(ISBLANK(N54),Y54/O54,Y54/N54),0)</f>
      </c>
      <c r="AC54" s="286">
        <f>IFERROR(-1*(AB54*B$1),0)</f>
      </c>
      <c r="AD54" s="286">
        <f>IFERROR(SUM(AB54:AC54),0)</f>
      </c>
      <c r="AE54" s="286">
        <f>IF(ISBLANK(N54),AD54,AD54*5)</f>
      </c>
      <c r="AF54" s="287">
        <f>SUM(AG54:AV54)</f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18"/>
      <c r="AU54" s="18"/>
      <c r="AV54" s="18"/>
      <c r="AW54" s="18"/>
      <c r="AX54" s="18"/>
      <c r="AY54" s="18"/>
      <c r="AZ54" s="18"/>
      <c r="BA54" s="18"/>
      <c r="BB54" s="18"/>
      <c r="BC54" s="16"/>
      <c r="BD54" s="16"/>
      <c r="BE54" s="16"/>
      <c r="BF54" s="286">
        <f>Z54-AF54</f>
      </c>
      <c r="BG54" s="321">
        <f>IFERROR(AF54/Y54,0)</f>
      </c>
      <c r="BH54" s="284">
        <f>IFERROR(AF54/X54,0)</f>
      </c>
      <c r="BI54" s="284">
        <f>IFERROR(X54/SUM(X$3:X$12),0)</f>
      </c>
      <c r="BJ54" s="284">
        <f>IFERROR(BF54/SUM(BF$3:BF251),0)</f>
      </c>
      <c r="BK54" s="288">
        <f>BF54/'R&amp;H Portfolio'!Q$10</f>
      </c>
      <c r="BL54" s="286">
        <f>BI54*P54</f>
      </c>
      <c r="BM54" s="3"/>
      <c r="BN54" s="3"/>
      <c r="BO54" s="17"/>
    </row>
    <row x14ac:dyDescent="0.25" r="55" customHeight="1" ht="15">
      <c r="A55" s="17"/>
      <c r="B55" s="14"/>
      <c r="C55" s="3"/>
      <c r="D55" s="3"/>
      <c r="E55" s="3"/>
      <c r="F55" s="3"/>
      <c r="G55" s="16"/>
      <c r="H55" s="18"/>
      <c r="I55" s="18"/>
      <c r="J55" s="279">
        <f>H55+I55</f>
      </c>
      <c r="K55" s="1"/>
      <c r="L55" s="123">
        <f>K55*I55</f>
      </c>
      <c r="M55" s="123">
        <f>K55*J55</f>
      </c>
      <c r="N55" s="16"/>
      <c r="O55" s="16"/>
      <c r="P55" s="282">
        <f>IF(ISBLANK(N55),O55/4.3,N55/20)</f>
      </c>
      <c r="Q55" s="1"/>
      <c r="R55" s="3"/>
      <c r="S55" s="3"/>
      <c r="T55" s="256">
        <f>IF(ISBLANK(R55),0,X55)</f>
      </c>
      <c r="U55" s="256">
        <f>IF(ISBLANK(S55),0,X55)</f>
      </c>
      <c r="V55" s="284">
        <f>IFERROR(Q55/K55,0)</f>
      </c>
      <c r="W55" s="123">
        <f>IFERROR(L55*V55,0)</f>
      </c>
      <c r="X55" s="256">
        <f>IFERROR(Q55+W55,0)</f>
      </c>
      <c r="Y55" s="256">
        <f>IFERROR(M55*V55,0)</f>
      </c>
      <c r="Z55" s="256">
        <f>Y55-(Y55*$B$1)</f>
      </c>
      <c r="AA55" s="285">
        <f>IFERROR(Z55/X55,"")</f>
      </c>
      <c r="AB55" s="286">
        <f>IFERROR(IF(ISBLANK(N55),Y55/O55,Y55/N55),0)</f>
      </c>
      <c r="AC55" s="286">
        <f>IFERROR(-1*(AB55*B$1),0)</f>
      </c>
      <c r="AD55" s="286">
        <f>IFERROR(SUM(AB55:AC55),0)</f>
      </c>
      <c r="AE55" s="286">
        <f>IF(ISBLANK(N55),AD55,AD55*5)</f>
      </c>
      <c r="AF55" s="287">
        <f>SUM(AG55:AV55)</f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18"/>
      <c r="AU55" s="18"/>
      <c r="AV55" s="18"/>
      <c r="AW55" s="18"/>
      <c r="AX55" s="18"/>
      <c r="AY55" s="18"/>
      <c r="AZ55" s="18"/>
      <c r="BA55" s="18"/>
      <c r="BB55" s="18"/>
      <c r="BC55" s="16"/>
      <c r="BD55" s="16"/>
      <c r="BE55" s="16"/>
      <c r="BF55" s="286">
        <f>Z55-AF55</f>
      </c>
      <c r="BG55" s="321">
        <f>IFERROR(AF55/Y55,0)</f>
      </c>
      <c r="BH55" s="284">
        <f>IFERROR(AF55/X55,0)</f>
      </c>
      <c r="BI55" s="284">
        <f>IFERROR(X55/SUM(X$3:X$12),0)</f>
      </c>
      <c r="BJ55" s="284">
        <f>IFERROR(BF55/SUM(BF$3:BF252),0)</f>
      </c>
      <c r="BK55" s="288">
        <f>BF55/'R&amp;H Portfolio'!Q$10</f>
      </c>
      <c r="BL55" s="286">
        <f>BI55*P55</f>
      </c>
      <c r="BM55" s="3"/>
      <c r="BN55" s="3"/>
      <c r="BO55" s="17"/>
    </row>
    <row x14ac:dyDescent="0.25" r="56" customHeight="1" ht="15">
      <c r="A56" s="17"/>
      <c r="B56" s="14"/>
      <c r="C56" s="3"/>
      <c r="D56" s="3"/>
      <c r="E56" s="3"/>
      <c r="F56" s="3"/>
      <c r="G56" s="16"/>
      <c r="H56" s="18"/>
      <c r="I56" s="18"/>
      <c r="J56" s="279">
        <f>H56+I56</f>
      </c>
      <c r="K56" s="1"/>
      <c r="L56" s="123">
        <f>K56*I56</f>
      </c>
      <c r="M56" s="123">
        <f>K56*J56</f>
      </c>
      <c r="N56" s="16"/>
      <c r="O56" s="16"/>
      <c r="P56" s="282">
        <f>IF(ISBLANK(N56),O56/4.3,N56/20)</f>
      </c>
      <c r="Q56" s="1"/>
      <c r="R56" s="3"/>
      <c r="S56" s="3"/>
      <c r="T56" s="256">
        <f>IF(ISBLANK(R56),0,X56)</f>
      </c>
      <c r="U56" s="256">
        <f>IF(ISBLANK(S56),0,X56)</f>
      </c>
      <c r="V56" s="284">
        <f>IFERROR(Q56/K56,0)</f>
      </c>
      <c r="W56" s="123">
        <f>IFERROR(L56*V56,0)</f>
      </c>
      <c r="X56" s="256">
        <f>IFERROR(Q56+W56,0)</f>
      </c>
      <c r="Y56" s="256">
        <f>IFERROR(M56*V56,0)</f>
      </c>
      <c r="Z56" s="256">
        <f>Y56-(Y56*$B$1)</f>
      </c>
      <c r="AA56" s="285">
        <f>IFERROR(Z56/X56,"")</f>
      </c>
      <c r="AB56" s="286">
        <f>IFERROR(IF(ISBLANK(N56),Y56/O56,Y56/N56),0)</f>
      </c>
      <c r="AC56" s="286">
        <f>IFERROR(-1*(AB56*B$1),0)</f>
      </c>
      <c r="AD56" s="286">
        <f>IFERROR(SUM(AB56:AC56),0)</f>
      </c>
      <c r="AE56" s="286">
        <f>IF(ISBLANK(N56),AD56,AD56*5)</f>
      </c>
      <c r="AF56" s="287">
        <f>SUM(AG56:AV56)</f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18"/>
      <c r="AU56" s="18"/>
      <c r="AV56" s="18"/>
      <c r="AW56" s="18"/>
      <c r="AX56" s="18"/>
      <c r="AY56" s="18"/>
      <c r="AZ56" s="18"/>
      <c r="BA56" s="18"/>
      <c r="BB56" s="18"/>
      <c r="BC56" s="16"/>
      <c r="BD56" s="16"/>
      <c r="BE56" s="16"/>
      <c r="BF56" s="286">
        <f>Z56-AF56</f>
      </c>
      <c r="BG56" s="321">
        <f>IFERROR(AF56/Y56,0)</f>
      </c>
      <c r="BH56" s="284">
        <f>IFERROR(AF56/X56,0)</f>
      </c>
      <c r="BI56" s="284">
        <f>IFERROR(X56/SUM(X$3:X$12),0)</f>
      </c>
      <c r="BJ56" s="284">
        <f>IFERROR(BF56/SUM(BF$3:BF253),0)</f>
      </c>
      <c r="BK56" s="288">
        <f>BF56/'R&amp;H Portfolio'!Q$10</f>
      </c>
      <c r="BL56" s="286">
        <f>BI56*P56</f>
      </c>
      <c r="BM56" s="3"/>
      <c r="BN56" s="3"/>
      <c r="BO56" s="17"/>
    </row>
    <row x14ac:dyDescent="0.25" r="57" customHeight="1" ht="15">
      <c r="A57" s="17"/>
      <c r="B57" s="14"/>
      <c r="C57" s="3"/>
      <c r="D57" s="3"/>
      <c r="E57" s="3"/>
      <c r="F57" s="3"/>
      <c r="G57" s="16"/>
      <c r="H57" s="18"/>
      <c r="I57" s="18"/>
      <c r="J57" s="279">
        <f>H57+I57</f>
      </c>
      <c r="K57" s="1"/>
      <c r="L57" s="123">
        <f>K57*I57</f>
      </c>
      <c r="M57" s="123">
        <f>K57*J57</f>
      </c>
      <c r="N57" s="16"/>
      <c r="O57" s="16"/>
      <c r="P57" s="282">
        <f>IF(ISBLANK(N57),O57/4.3,N57/20)</f>
      </c>
      <c r="Q57" s="1"/>
      <c r="R57" s="3"/>
      <c r="S57" s="3"/>
      <c r="T57" s="256">
        <f>IF(ISBLANK(R57),0,X57)</f>
      </c>
      <c r="U57" s="256">
        <f>IF(ISBLANK(S57),0,X57)</f>
      </c>
      <c r="V57" s="284">
        <f>IFERROR(Q57/K57,0)</f>
      </c>
      <c r="W57" s="123">
        <f>IFERROR(L57*V57,0)</f>
      </c>
      <c r="X57" s="256">
        <f>IFERROR(Q57+W57,0)</f>
      </c>
      <c r="Y57" s="256">
        <f>IFERROR(M57*V57,0)</f>
      </c>
      <c r="Z57" s="256">
        <f>Y57-(Y57*$B$1)</f>
      </c>
      <c r="AA57" s="285">
        <f>IFERROR(Z57/X57,"")</f>
      </c>
      <c r="AB57" s="286">
        <f>IFERROR(IF(ISBLANK(N57),Y57/O57,Y57/N57),0)</f>
      </c>
      <c r="AC57" s="286">
        <f>IFERROR(-1*(AB57*B$1),0)</f>
      </c>
      <c r="AD57" s="286">
        <f>IFERROR(SUM(AB57:AC57),0)</f>
      </c>
      <c r="AE57" s="286">
        <f>IF(ISBLANK(N57),AD57,AD57*5)</f>
      </c>
      <c r="AF57" s="287">
        <f>SUM(AG57:AV57)</f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18"/>
      <c r="AU57" s="18"/>
      <c r="AV57" s="18"/>
      <c r="AW57" s="18"/>
      <c r="AX57" s="18"/>
      <c r="AY57" s="18"/>
      <c r="AZ57" s="18"/>
      <c r="BA57" s="18"/>
      <c r="BB57" s="18"/>
      <c r="BC57" s="16"/>
      <c r="BD57" s="16"/>
      <c r="BE57" s="16"/>
      <c r="BF57" s="286">
        <f>Z57-AF57</f>
      </c>
      <c r="BG57" s="321">
        <f>IFERROR(AF57/Y57,0)</f>
      </c>
      <c r="BH57" s="284">
        <f>IFERROR(AF57/X57,0)</f>
      </c>
      <c r="BI57" s="284">
        <f>IFERROR(X57/SUM(X$3:X$12),0)</f>
      </c>
      <c r="BJ57" s="284">
        <f>IFERROR(BF57/SUM(BF$3:BF254),0)</f>
      </c>
      <c r="BK57" s="288">
        <f>BF57/'R&amp;H Portfolio'!Q$10</f>
      </c>
      <c r="BL57" s="286">
        <f>BI57*P57</f>
      </c>
      <c r="BM57" s="3"/>
      <c r="BN57" s="3"/>
      <c r="BO57" s="17"/>
    </row>
    <row x14ac:dyDescent="0.25" r="58" customHeight="1" ht="15">
      <c r="A58" s="17"/>
      <c r="B58" s="14"/>
      <c r="C58" s="3"/>
      <c r="D58" s="3"/>
      <c r="E58" s="3"/>
      <c r="F58" s="3"/>
      <c r="G58" s="16"/>
      <c r="H58" s="18"/>
      <c r="I58" s="18"/>
      <c r="J58" s="279">
        <f>H58+I58</f>
      </c>
      <c r="K58" s="1"/>
      <c r="L58" s="123">
        <f>K58*I58</f>
      </c>
      <c r="M58" s="123">
        <f>K58*J58</f>
      </c>
      <c r="N58" s="16"/>
      <c r="O58" s="16"/>
      <c r="P58" s="282">
        <f>IF(ISBLANK(N58),O58/4.3,N58/20)</f>
      </c>
      <c r="Q58" s="1"/>
      <c r="R58" s="3"/>
      <c r="S58" s="3"/>
      <c r="T58" s="256">
        <f>IF(ISBLANK(R58),0,X58)</f>
      </c>
      <c r="U58" s="256">
        <f>IF(ISBLANK(S58),0,X58)</f>
      </c>
      <c r="V58" s="284">
        <f>IFERROR(Q58/K58,0)</f>
      </c>
      <c r="W58" s="123">
        <f>IFERROR(L58*V58,0)</f>
      </c>
      <c r="X58" s="256">
        <f>IFERROR(Q58+W58,0)</f>
      </c>
      <c r="Y58" s="256">
        <f>IFERROR(M58*V58,0)</f>
      </c>
      <c r="Z58" s="256">
        <f>Y58-(Y58*$B$1)</f>
      </c>
      <c r="AA58" s="285">
        <f>IFERROR(Z58/X58,"")</f>
      </c>
      <c r="AB58" s="286">
        <f>IFERROR(IF(ISBLANK(N58),Y58/O58,Y58/N58),0)</f>
      </c>
      <c r="AC58" s="286">
        <f>IFERROR(-1*(AB58*B$1),0)</f>
      </c>
      <c r="AD58" s="286">
        <f>IFERROR(SUM(AB58:AC58),0)</f>
      </c>
      <c r="AE58" s="286">
        <f>IF(ISBLANK(N58),AD58,AD58*5)</f>
      </c>
      <c r="AF58" s="287">
        <f>SUM(AG58:AV58)</f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18"/>
      <c r="AU58" s="18"/>
      <c r="AV58" s="18"/>
      <c r="AW58" s="18"/>
      <c r="AX58" s="18"/>
      <c r="AY58" s="18"/>
      <c r="AZ58" s="18"/>
      <c r="BA58" s="18"/>
      <c r="BB58" s="18"/>
      <c r="BC58" s="16"/>
      <c r="BD58" s="16"/>
      <c r="BE58" s="16"/>
      <c r="BF58" s="286">
        <f>Z58-AF58</f>
      </c>
      <c r="BG58" s="321">
        <f>IFERROR(AF58/Y58,0)</f>
      </c>
      <c r="BH58" s="284">
        <f>IFERROR(AF58/X58,0)</f>
      </c>
      <c r="BI58" s="284">
        <f>IFERROR(X58/SUM(X$3:X$12),0)</f>
      </c>
      <c r="BJ58" s="284">
        <f>IFERROR(BF58/SUM(BF$3:BF255),0)</f>
      </c>
      <c r="BK58" s="288">
        <f>BF58/'R&amp;H Portfolio'!Q$10</f>
      </c>
      <c r="BL58" s="286">
        <f>BI58*P58</f>
      </c>
      <c r="BM58" s="3"/>
      <c r="BN58" s="3"/>
      <c r="BO58" s="17"/>
    </row>
    <row x14ac:dyDescent="0.25" r="59" customHeight="1" ht="15">
      <c r="A59" s="17"/>
      <c r="B59" s="14"/>
      <c r="C59" s="3"/>
      <c r="D59" s="3"/>
      <c r="E59" s="3"/>
      <c r="F59" s="3"/>
      <c r="G59" s="16"/>
      <c r="H59" s="18"/>
      <c r="I59" s="18"/>
      <c r="J59" s="279">
        <f>H59+I59</f>
      </c>
      <c r="K59" s="1"/>
      <c r="L59" s="123">
        <f>K59*I59</f>
      </c>
      <c r="M59" s="123">
        <f>K59*J59</f>
      </c>
      <c r="N59" s="16"/>
      <c r="O59" s="16"/>
      <c r="P59" s="282">
        <f>IF(ISBLANK(N59),O59/4.3,N59/20)</f>
      </c>
      <c r="Q59" s="1"/>
      <c r="R59" s="3"/>
      <c r="S59" s="3"/>
      <c r="T59" s="256">
        <f>IF(ISBLANK(R59),0,X59)</f>
      </c>
      <c r="U59" s="256">
        <f>IF(ISBLANK(S59),0,X59)</f>
      </c>
      <c r="V59" s="284">
        <f>IFERROR(Q59/K59,0)</f>
      </c>
      <c r="W59" s="123">
        <f>IFERROR(L59*V59,0)</f>
      </c>
      <c r="X59" s="256">
        <f>IFERROR(Q59+W59,0)</f>
      </c>
      <c r="Y59" s="256">
        <f>IFERROR(M59*V59,0)</f>
      </c>
      <c r="Z59" s="256">
        <f>Y59-(Y59*$B$1)</f>
      </c>
      <c r="AA59" s="285">
        <f>IFERROR(Z59/X59,"")</f>
      </c>
      <c r="AB59" s="286">
        <f>IFERROR(IF(ISBLANK(N59),Y59/O59,Y59/N59),0)</f>
      </c>
      <c r="AC59" s="286">
        <f>IFERROR(-1*(AB59*B$1),0)</f>
      </c>
      <c r="AD59" s="286">
        <f>IFERROR(SUM(AB59:AC59),0)</f>
      </c>
      <c r="AE59" s="286">
        <f>IF(ISBLANK(N59),AD59,AD59*5)</f>
      </c>
      <c r="AF59" s="287">
        <f>SUM(AG59:AV59)</f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18"/>
      <c r="AU59" s="18"/>
      <c r="AV59" s="18"/>
      <c r="AW59" s="18"/>
      <c r="AX59" s="18"/>
      <c r="AY59" s="18"/>
      <c r="AZ59" s="18"/>
      <c r="BA59" s="18"/>
      <c r="BB59" s="18"/>
      <c r="BC59" s="16"/>
      <c r="BD59" s="16"/>
      <c r="BE59" s="16"/>
      <c r="BF59" s="286">
        <f>Z59-AF59</f>
      </c>
      <c r="BG59" s="321">
        <f>IFERROR(AF59/Y59,0)</f>
      </c>
      <c r="BH59" s="284">
        <f>IFERROR(AF59/X59,0)</f>
      </c>
      <c r="BI59" s="284">
        <f>IFERROR(X59/SUM(X$3:X$12),0)</f>
      </c>
      <c r="BJ59" s="284">
        <f>IFERROR(BF59/SUM(BF$3:BF256),0)</f>
      </c>
      <c r="BK59" s="288">
        <f>BF59/'R&amp;H Portfolio'!Q$10</f>
      </c>
      <c r="BL59" s="286">
        <f>BI59*P59</f>
      </c>
      <c r="BM59" s="3"/>
      <c r="BN59" s="3"/>
      <c r="BO59" s="17"/>
    </row>
    <row x14ac:dyDescent="0.25" r="60" customHeight="1" ht="15">
      <c r="A60" s="17"/>
      <c r="B60" s="14"/>
      <c r="C60" s="3"/>
      <c r="D60" s="3"/>
      <c r="E60" s="3"/>
      <c r="F60" s="3"/>
      <c r="G60" s="16"/>
      <c r="H60" s="18"/>
      <c r="I60" s="18"/>
      <c r="J60" s="279">
        <f>H60+I60</f>
      </c>
      <c r="K60" s="1"/>
      <c r="L60" s="123">
        <f>K60*I60</f>
      </c>
      <c r="M60" s="123">
        <f>K60*J60</f>
      </c>
      <c r="N60" s="16"/>
      <c r="O60" s="16"/>
      <c r="P60" s="282">
        <f>IF(ISBLANK(N60),O60/4.3,N60/20)</f>
      </c>
      <c r="Q60" s="1"/>
      <c r="R60" s="3"/>
      <c r="S60" s="3"/>
      <c r="T60" s="256">
        <f>IF(ISBLANK(R60),0,X60)</f>
      </c>
      <c r="U60" s="256">
        <f>IF(ISBLANK(S60),0,X60)</f>
      </c>
      <c r="V60" s="284">
        <f>IFERROR(Q60/K60,0)</f>
      </c>
      <c r="W60" s="123">
        <f>IFERROR(L60*V60,0)</f>
      </c>
      <c r="X60" s="256">
        <f>IFERROR(Q60+W60,0)</f>
      </c>
      <c r="Y60" s="256">
        <f>IFERROR(M60*V60,0)</f>
      </c>
      <c r="Z60" s="256">
        <f>Y60-(Y60*$B$1)</f>
      </c>
      <c r="AA60" s="285">
        <f>IFERROR(Z60/X60,"")</f>
      </c>
      <c r="AB60" s="286">
        <f>IFERROR(IF(ISBLANK(N60),Y60/O60,Y60/N60),0)</f>
      </c>
      <c r="AC60" s="286">
        <f>IFERROR(-1*(AB60*B$1),0)</f>
      </c>
      <c r="AD60" s="286">
        <f>IFERROR(SUM(AB60:AC60),0)</f>
      </c>
      <c r="AE60" s="286">
        <f>IF(ISBLANK(N60),AD60,AD60*5)</f>
      </c>
      <c r="AF60" s="287">
        <f>SUM(AG60:AV60)</f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18"/>
      <c r="AU60" s="18"/>
      <c r="AV60" s="18"/>
      <c r="AW60" s="18"/>
      <c r="AX60" s="18"/>
      <c r="AY60" s="18"/>
      <c r="AZ60" s="18"/>
      <c r="BA60" s="18"/>
      <c r="BB60" s="18"/>
      <c r="BC60" s="16"/>
      <c r="BD60" s="16"/>
      <c r="BE60" s="16"/>
      <c r="BF60" s="286">
        <f>Z60-AF60</f>
      </c>
      <c r="BG60" s="321">
        <f>IFERROR(AF60/Y60,0)</f>
      </c>
      <c r="BH60" s="284">
        <f>IFERROR(AF60/X60,0)</f>
      </c>
      <c r="BI60" s="284">
        <f>IFERROR(X60/SUM(X$3:X$12),0)</f>
      </c>
      <c r="BJ60" s="284">
        <f>IFERROR(BF60/SUM(BF$3:BF257),0)</f>
      </c>
      <c r="BK60" s="288">
        <f>BF60/'R&amp;H Portfolio'!Q$10</f>
      </c>
      <c r="BL60" s="286">
        <f>BI60*P60</f>
      </c>
      <c r="BM60" s="3"/>
      <c r="BN60" s="3"/>
      <c r="BO60" s="17"/>
    </row>
    <row x14ac:dyDescent="0.25" r="61" customHeight="1" ht="15">
      <c r="A61" s="17"/>
      <c r="B61" s="14"/>
      <c r="C61" s="3"/>
      <c r="D61" s="3"/>
      <c r="E61" s="3"/>
      <c r="F61" s="3"/>
      <c r="G61" s="16"/>
      <c r="H61" s="18"/>
      <c r="I61" s="18"/>
      <c r="J61" s="279">
        <f>H61+I61</f>
      </c>
      <c r="K61" s="1"/>
      <c r="L61" s="123">
        <f>K61*I61</f>
      </c>
      <c r="M61" s="123">
        <f>K61*J61</f>
      </c>
      <c r="N61" s="16"/>
      <c r="O61" s="16"/>
      <c r="P61" s="282">
        <f>IF(ISBLANK(N61),O61/4.3,N61/20)</f>
      </c>
      <c r="Q61" s="1"/>
      <c r="R61" s="3"/>
      <c r="S61" s="3"/>
      <c r="T61" s="256">
        <f>IF(ISBLANK(R61),0,X61)</f>
      </c>
      <c r="U61" s="256">
        <f>IF(ISBLANK(S61),0,X61)</f>
      </c>
      <c r="V61" s="284">
        <f>IFERROR(Q61/K61,0)</f>
      </c>
      <c r="W61" s="123">
        <f>IFERROR(L61*V61,0)</f>
      </c>
      <c r="X61" s="256">
        <f>IFERROR(Q61+W61,0)</f>
      </c>
      <c r="Y61" s="256">
        <f>IFERROR(M61*V61,0)</f>
      </c>
      <c r="Z61" s="256">
        <f>Y61-(Y61*$B$1)</f>
      </c>
      <c r="AA61" s="285">
        <f>IFERROR(Z61/X61,"")</f>
      </c>
      <c r="AB61" s="286">
        <f>IFERROR(IF(ISBLANK(N61),Y61/O61,Y61/N61),0)</f>
      </c>
      <c r="AC61" s="286">
        <f>IFERROR(-1*(AB61*B$1),0)</f>
      </c>
      <c r="AD61" s="286">
        <f>IFERROR(SUM(AB61:AC61),0)</f>
      </c>
      <c r="AE61" s="286">
        <f>IF(ISBLANK(N61),AD61,AD61*5)</f>
      </c>
      <c r="AF61" s="287">
        <f>SUM(AG61:AV61)</f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18"/>
      <c r="AU61" s="18"/>
      <c r="AV61" s="18"/>
      <c r="AW61" s="18"/>
      <c r="AX61" s="18"/>
      <c r="AY61" s="18"/>
      <c r="AZ61" s="18"/>
      <c r="BA61" s="18"/>
      <c r="BB61" s="18"/>
      <c r="BC61" s="16"/>
      <c r="BD61" s="16"/>
      <c r="BE61" s="16"/>
      <c r="BF61" s="286">
        <f>Z61-AF61</f>
      </c>
      <c r="BG61" s="321">
        <f>IFERROR(AF61/Y61,0)</f>
      </c>
      <c r="BH61" s="284">
        <f>IFERROR(AF61/X61,0)</f>
      </c>
      <c r="BI61" s="284">
        <f>IFERROR(X61/SUM(X$3:X$12),0)</f>
      </c>
      <c r="BJ61" s="284">
        <f>IFERROR(BF61/SUM(BF$3:BF258),0)</f>
      </c>
      <c r="BK61" s="288">
        <f>BF61/'R&amp;H Portfolio'!Q$10</f>
      </c>
      <c r="BL61" s="286">
        <f>BI61*P61</f>
      </c>
      <c r="BM61" s="3"/>
      <c r="BN61" s="3"/>
      <c r="BO61" s="17"/>
    </row>
    <row x14ac:dyDescent="0.25" r="62" customHeight="1" ht="15">
      <c r="A62" s="17"/>
      <c r="B62" s="14"/>
      <c r="C62" s="3"/>
      <c r="D62" s="3"/>
      <c r="E62" s="3"/>
      <c r="F62" s="3"/>
      <c r="G62" s="16"/>
      <c r="H62" s="18"/>
      <c r="I62" s="18"/>
      <c r="J62" s="279">
        <f>H62+I62</f>
      </c>
      <c r="K62" s="1"/>
      <c r="L62" s="123">
        <f>K62*I62</f>
      </c>
      <c r="M62" s="123">
        <f>K62*J62</f>
      </c>
      <c r="N62" s="16"/>
      <c r="O62" s="16"/>
      <c r="P62" s="282">
        <f>IF(ISBLANK(N62),O62/4.3,N62/20)</f>
      </c>
      <c r="Q62" s="1"/>
      <c r="R62" s="3"/>
      <c r="S62" s="3"/>
      <c r="T62" s="256">
        <f>IF(ISBLANK(R62),0,X62)</f>
      </c>
      <c r="U62" s="256">
        <f>IF(ISBLANK(S62),0,X62)</f>
      </c>
      <c r="V62" s="284">
        <f>IFERROR(Q62/K62,0)</f>
      </c>
      <c r="W62" s="123">
        <f>IFERROR(L62*V62,0)</f>
      </c>
      <c r="X62" s="256">
        <f>IFERROR(Q62+W62,0)</f>
      </c>
      <c r="Y62" s="256">
        <f>IFERROR(M62*V62,0)</f>
      </c>
      <c r="Z62" s="256">
        <f>Y62-(Y62*$B$1)</f>
      </c>
      <c r="AA62" s="285">
        <f>IFERROR(Z62/X62,"")</f>
      </c>
      <c r="AB62" s="286">
        <f>IFERROR(IF(ISBLANK(N62),Y62/O62,Y62/N62),0)</f>
      </c>
      <c r="AC62" s="286">
        <f>IFERROR(-1*(AB62*B$1),0)</f>
      </c>
      <c r="AD62" s="286">
        <f>IFERROR(SUM(AB62:AC62),0)</f>
      </c>
      <c r="AE62" s="286">
        <f>IF(ISBLANK(N62),AD62,AD62*5)</f>
      </c>
      <c r="AF62" s="287">
        <f>SUM(AG62:AV62)</f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18"/>
      <c r="AU62" s="18"/>
      <c r="AV62" s="18"/>
      <c r="AW62" s="18"/>
      <c r="AX62" s="18"/>
      <c r="AY62" s="18"/>
      <c r="AZ62" s="18"/>
      <c r="BA62" s="18"/>
      <c r="BB62" s="18"/>
      <c r="BC62" s="16"/>
      <c r="BD62" s="16"/>
      <c r="BE62" s="16"/>
      <c r="BF62" s="286">
        <f>Z62-AF62</f>
      </c>
      <c r="BG62" s="321">
        <f>IFERROR(AF62/Y62,0)</f>
      </c>
      <c r="BH62" s="284">
        <f>IFERROR(AF62/X62,0)</f>
      </c>
      <c r="BI62" s="284">
        <f>IFERROR(X62/SUM(X$3:X$12),0)</f>
      </c>
      <c r="BJ62" s="284">
        <f>IFERROR(BF62/SUM(BF$3:BF259),0)</f>
      </c>
      <c r="BK62" s="288">
        <f>BF62/'R&amp;H Portfolio'!Q$10</f>
      </c>
      <c r="BL62" s="286">
        <f>BI62*P62</f>
      </c>
      <c r="BM62" s="3"/>
      <c r="BN62" s="3"/>
      <c r="BO62" s="17"/>
    </row>
    <row x14ac:dyDescent="0.25" r="63" customHeight="1" ht="15">
      <c r="A63" s="17"/>
      <c r="B63" s="14"/>
      <c r="C63" s="3"/>
      <c r="D63" s="3"/>
      <c r="E63" s="3"/>
      <c r="F63" s="3"/>
      <c r="G63" s="16"/>
      <c r="H63" s="18"/>
      <c r="I63" s="18"/>
      <c r="J63" s="279">
        <f>H63+I63</f>
      </c>
      <c r="K63" s="1"/>
      <c r="L63" s="123">
        <f>K63*I63</f>
      </c>
      <c r="M63" s="123">
        <f>K63*J63</f>
      </c>
      <c r="N63" s="16"/>
      <c r="O63" s="16"/>
      <c r="P63" s="282">
        <f>IF(ISBLANK(N63),O63/4.3,N63/20)</f>
      </c>
      <c r="Q63" s="1"/>
      <c r="R63" s="3"/>
      <c r="S63" s="3"/>
      <c r="T63" s="256">
        <f>IF(ISBLANK(R63),0,X63)</f>
      </c>
      <c r="U63" s="256">
        <f>IF(ISBLANK(S63),0,X63)</f>
      </c>
      <c r="V63" s="284">
        <f>IFERROR(Q63/K63,0)</f>
      </c>
      <c r="W63" s="123">
        <f>IFERROR(L63*V63,0)</f>
      </c>
      <c r="X63" s="256">
        <f>IFERROR(Q63+W63,0)</f>
      </c>
      <c r="Y63" s="256">
        <f>IFERROR(M63*V63,0)</f>
      </c>
      <c r="Z63" s="256">
        <f>Y63-(Y63*$B$1)</f>
      </c>
      <c r="AA63" s="285">
        <f>IFERROR(Z63/X63,"")</f>
      </c>
      <c r="AB63" s="286">
        <f>IFERROR(IF(ISBLANK(N63),Y63/O63,Y63/N63),0)</f>
      </c>
      <c r="AC63" s="286">
        <f>IFERROR(-1*(AB63*B$1),0)</f>
      </c>
      <c r="AD63" s="286">
        <f>IFERROR(SUM(AB63:AC63),0)</f>
      </c>
      <c r="AE63" s="286">
        <f>IF(ISBLANK(N63),AD63,AD63*5)</f>
      </c>
      <c r="AF63" s="287">
        <f>SUM(AG63:AV63)</f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18"/>
      <c r="AU63" s="18"/>
      <c r="AV63" s="18"/>
      <c r="AW63" s="18"/>
      <c r="AX63" s="18"/>
      <c r="AY63" s="18"/>
      <c r="AZ63" s="18"/>
      <c r="BA63" s="18"/>
      <c r="BB63" s="18"/>
      <c r="BC63" s="16"/>
      <c r="BD63" s="16"/>
      <c r="BE63" s="16"/>
      <c r="BF63" s="286">
        <f>Z63-AF63</f>
      </c>
      <c r="BG63" s="321">
        <f>IFERROR(AF63/Y63,0)</f>
      </c>
      <c r="BH63" s="284">
        <f>IFERROR(AF63/X63,0)</f>
      </c>
      <c r="BI63" s="284">
        <f>IFERROR(X63/SUM(X$3:X$12),0)</f>
      </c>
      <c r="BJ63" s="284">
        <f>IFERROR(BF63/SUM(BF$3:BF260),0)</f>
      </c>
      <c r="BK63" s="288">
        <f>BF63/'R&amp;H Portfolio'!Q$10</f>
      </c>
      <c r="BL63" s="286">
        <f>BI63*P63</f>
      </c>
      <c r="BM63" s="3"/>
      <c r="BN63" s="3"/>
      <c r="BO63" s="17"/>
    </row>
    <row x14ac:dyDescent="0.25" r="64" customHeight="1" ht="15">
      <c r="A64" s="17"/>
      <c r="B64" s="14"/>
      <c r="C64" s="3"/>
      <c r="D64" s="3"/>
      <c r="E64" s="3"/>
      <c r="F64" s="3"/>
      <c r="G64" s="16"/>
      <c r="H64" s="18"/>
      <c r="I64" s="18"/>
      <c r="J64" s="279">
        <f>H64+I64</f>
      </c>
      <c r="K64" s="1"/>
      <c r="L64" s="123">
        <f>K64*I64</f>
      </c>
      <c r="M64" s="123">
        <f>K64*J64</f>
      </c>
      <c r="N64" s="16"/>
      <c r="O64" s="16"/>
      <c r="P64" s="282">
        <f>IF(ISBLANK(N64),O64/4.3,N64/20)</f>
      </c>
      <c r="Q64" s="1"/>
      <c r="R64" s="3"/>
      <c r="S64" s="3"/>
      <c r="T64" s="256">
        <f>IF(ISBLANK(R64),0,X64)</f>
      </c>
      <c r="U64" s="256">
        <f>IF(ISBLANK(S64),0,X64)</f>
      </c>
      <c r="V64" s="284">
        <f>IFERROR(Q64/K64,0)</f>
      </c>
      <c r="W64" s="123">
        <f>IFERROR(L64*V64,0)</f>
      </c>
      <c r="X64" s="256">
        <f>IFERROR(Q64+W64,0)</f>
      </c>
      <c r="Y64" s="256">
        <f>IFERROR(M64*V64,0)</f>
      </c>
      <c r="Z64" s="256">
        <f>Y64-(Y64*$B$1)</f>
      </c>
      <c r="AA64" s="285">
        <f>IFERROR(Z64/X64,"")</f>
      </c>
      <c r="AB64" s="286">
        <f>IFERROR(IF(ISBLANK(N64),Y64/O64,Y64/N64),0)</f>
      </c>
      <c r="AC64" s="286">
        <f>IFERROR(-1*(AB64*B$1),0)</f>
      </c>
      <c r="AD64" s="286">
        <f>IFERROR(SUM(AB64:AC64),0)</f>
      </c>
      <c r="AE64" s="286">
        <f>IF(ISBLANK(N64),AD64,AD64*5)</f>
      </c>
      <c r="AF64" s="287">
        <f>SUM(AG64:AV64)</f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18"/>
      <c r="AU64" s="18"/>
      <c r="AV64" s="18"/>
      <c r="AW64" s="18"/>
      <c r="AX64" s="18"/>
      <c r="AY64" s="18"/>
      <c r="AZ64" s="18"/>
      <c r="BA64" s="18"/>
      <c r="BB64" s="18"/>
      <c r="BC64" s="16"/>
      <c r="BD64" s="16"/>
      <c r="BE64" s="16"/>
      <c r="BF64" s="286">
        <f>Z64-AF64</f>
      </c>
      <c r="BG64" s="321">
        <f>IFERROR(AF64/Y64,0)</f>
      </c>
      <c r="BH64" s="284">
        <f>IFERROR(AF64/X64,0)</f>
      </c>
      <c r="BI64" s="284">
        <f>IFERROR(X64/SUM(X$3:X$12),0)</f>
      </c>
      <c r="BJ64" s="284">
        <f>IFERROR(BF64/SUM(BF$3:BF261),0)</f>
      </c>
      <c r="BK64" s="288">
        <f>BF64/'R&amp;H Portfolio'!Q$10</f>
      </c>
      <c r="BL64" s="286">
        <f>BI64*P64</f>
      </c>
      <c r="BM64" s="3"/>
      <c r="BN64" s="3"/>
      <c r="BO64" s="17"/>
    </row>
    <row x14ac:dyDescent="0.25" r="65" customHeight="1" ht="15">
      <c r="A65" s="17"/>
      <c r="B65" s="14"/>
      <c r="C65" s="3"/>
      <c r="D65" s="3"/>
      <c r="E65" s="3"/>
      <c r="F65" s="3"/>
      <c r="G65" s="16"/>
      <c r="H65" s="18"/>
      <c r="I65" s="18"/>
      <c r="J65" s="279">
        <f>H65+I65</f>
      </c>
      <c r="K65" s="1"/>
      <c r="L65" s="123">
        <f>K65*I65</f>
      </c>
      <c r="M65" s="123">
        <f>K65*J65</f>
      </c>
      <c r="N65" s="16"/>
      <c r="O65" s="16"/>
      <c r="P65" s="282">
        <f>IF(ISBLANK(N65),O65/4.3,N65/20)</f>
      </c>
      <c r="Q65" s="1"/>
      <c r="R65" s="3"/>
      <c r="S65" s="3"/>
      <c r="T65" s="256">
        <f>IF(ISBLANK(R65),0,X65)</f>
      </c>
      <c r="U65" s="256">
        <f>IF(ISBLANK(S65),0,X65)</f>
      </c>
      <c r="V65" s="284">
        <f>IFERROR(Q65/K65,0)</f>
      </c>
      <c r="W65" s="123">
        <f>IFERROR(L65*V65,0)</f>
      </c>
      <c r="X65" s="256">
        <f>IFERROR(Q65+W65,0)</f>
      </c>
      <c r="Y65" s="256">
        <f>IFERROR(M65*V65,0)</f>
      </c>
      <c r="Z65" s="256">
        <f>Y65-(Y65*$B$1)</f>
      </c>
      <c r="AA65" s="285">
        <f>IFERROR(Z65/X65,"")</f>
      </c>
      <c r="AB65" s="286">
        <f>IFERROR(IF(ISBLANK(N65),Y65/O65,Y65/N65),0)</f>
      </c>
      <c r="AC65" s="286">
        <f>IFERROR(-1*(AB65*B$1),0)</f>
      </c>
      <c r="AD65" s="286">
        <f>IFERROR(SUM(AB65:AC65),0)</f>
      </c>
      <c r="AE65" s="286">
        <f>IF(ISBLANK(N65),AD65,AD65*5)</f>
      </c>
      <c r="AF65" s="287">
        <f>SUM(AG65:AV65)</f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18"/>
      <c r="AU65" s="18"/>
      <c r="AV65" s="18"/>
      <c r="AW65" s="18"/>
      <c r="AX65" s="18"/>
      <c r="AY65" s="18"/>
      <c r="AZ65" s="18"/>
      <c r="BA65" s="18"/>
      <c r="BB65" s="18"/>
      <c r="BC65" s="16"/>
      <c r="BD65" s="16"/>
      <c r="BE65" s="16"/>
      <c r="BF65" s="286">
        <f>Z65-AF65</f>
      </c>
      <c r="BG65" s="321">
        <f>IFERROR(AF65/Y65,0)</f>
      </c>
      <c r="BH65" s="284">
        <f>IFERROR(AF65/X65,0)</f>
      </c>
      <c r="BI65" s="284">
        <f>IFERROR(X65/SUM(X$3:X$12),0)</f>
      </c>
      <c r="BJ65" s="284">
        <f>IFERROR(BF65/SUM(BF$3:BF262),0)</f>
      </c>
      <c r="BK65" s="288">
        <f>BF65/'R&amp;H Portfolio'!Q$10</f>
      </c>
      <c r="BL65" s="286">
        <f>BI65*P65</f>
      </c>
      <c r="BM65" s="3"/>
      <c r="BN65" s="3"/>
      <c r="BO65" s="17"/>
    </row>
    <row x14ac:dyDescent="0.25" r="66" customHeight="1" ht="15">
      <c r="A66" s="17"/>
      <c r="B66" s="14"/>
      <c r="C66" s="3"/>
      <c r="D66" s="3"/>
      <c r="E66" s="3"/>
      <c r="F66" s="3"/>
      <c r="G66" s="16"/>
      <c r="H66" s="18"/>
      <c r="I66" s="18"/>
      <c r="J66" s="279">
        <f>H66+I66</f>
      </c>
      <c r="K66" s="1"/>
      <c r="L66" s="123">
        <f>K66*I66</f>
      </c>
      <c r="M66" s="123">
        <f>K66*J66</f>
      </c>
      <c r="N66" s="16"/>
      <c r="O66" s="16"/>
      <c r="P66" s="282">
        <f>IF(ISBLANK(N66),O66/4.3,N66/20)</f>
      </c>
      <c r="Q66" s="1"/>
      <c r="R66" s="3"/>
      <c r="S66" s="3"/>
      <c r="T66" s="256">
        <f>IF(ISBLANK(R66),0,X66)</f>
      </c>
      <c r="U66" s="256">
        <f>IF(ISBLANK(S66),0,X66)</f>
      </c>
      <c r="V66" s="284">
        <f>IFERROR(Q66/K66,0)</f>
      </c>
      <c r="W66" s="123">
        <f>IFERROR(L66*V66,0)</f>
      </c>
      <c r="X66" s="256">
        <f>IFERROR(Q66+W66,0)</f>
      </c>
      <c r="Y66" s="256">
        <f>IFERROR(M66*V66,0)</f>
      </c>
      <c r="Z66" s="256">
        <f>Y66-(Y66*$B$1)</f>
      </c>
      <c r="AA66" s="285">
        <f>IFERROR(Z66/X66,"")</f>
      </c>
      <c r="AB66" s="286">
        <f>IFERROR(IF(ISBLANK(N66),Y66/O66,Y66/N66),0)</f>
      </c>
      <c r="AC66" s="286">
        <f>IFERROR(-1*(AB66*B$1),0)</f>
      </c>
      <c r="AD66" s="286">
        <f>IFERROR(SUM(AB66:AC66),0)</f>
      </c>
      <c r="AE66" s="286">
        <f>IF(ISBLANK(N66),AD66,AD66*5)</f>
      </c>
      <c r="AF66" s="287">
        <f>SUM(AG66:AV66)</f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18"/>
      <c r="AU66" s="18"/>
      <c r="AV66" s="18"/>
      <c r="AW66" s="18"/>
      <c r="AX66" s="18"/>
      <c r="AY66" s="18"/>
      <c r="AZ66" s="18"/>
      <c r="BA66" s="18"/>
      <c r="BB66" s="18"/>
      <c r="BC66" s="16"/>
      <c r="BD66" s="16"/>
      <c r="BE66" s="16"/>
      <c r="BF66" s="286">
        <f>Z66-AF66</f>
      </c>
      <c r="BG66" s="321">
        <f>IFERROR(AF66/Y66,0)</f>
      </c>
      <c r="BH66" s="284">
        <f>IFERROR(AF66/X66,0)</f>
      </c>
      <c r="BI66" s="284">
        <f>IFERROR(X66/SUM(X$3:X$12),0)</f>
      </c>
      <c r="BJ66" s="284">
        <f>IFERROR(BF66/SUM(BF$3:BF263),0)</f>
      </c>
      <c r="BK66" s="288">
        <f>BF66/'R&amp;H Portfolio'!Q$10</f>
      </c>
      <c r="BL66" s="286">
        <f>BI66*P66</f>
      </c>
      <c r="BM66" s="3"/>
      <c r="BN66" s="3"/>
      <c r="BO66" s="17"/>
    </row>
    <row x14ac:dyDescent="0.25" r="67" customHeight="1" ht="15">
      <c r="A67" s="17"/>
      <c r="B67" s="14"/>
      <c r="C67" s="3"/>
      <c r="D67" s="3"/>
      <c r="E67" s="3"/>
      <c r="F67" s="3"/>
      <c r="G67" s="16"/>
      <c r="H67" s="18"/>
      <c r="I67" s="18"/>
      <c r="J67" s="279">
        <f>H67+I67</f>
      </c>
      <c r="K67" s="1"/>
      <c r="L67" s="123">
        <f>K67*I67</f>
      </c>
      <c r="M67" s="123">
        <f>K67*J67</f>
      </c>
      <c r="N67" s="16"/>
      <c r="O67" s="16"/>
      <c r="P67" s="282">
        <f>IF(ISBLANK(N67),O67/4.3,N67/20)</f>
      </c>
      <c r="Q67" s="1"/>
      <c r="R67" s="3"/>
      <c r="S67" s="3"/>
      <c r="T67" s="256">
        <f>IF(ISBLANK(R67),0,X67)</f>
      </c>
      <c r="U67" s="256">
        <f>IF(ISBLANK(S67),0,X67)</f>
      </c>
      <c r="V67" s="284">
        <f>IFERROR(Q67/K67,0)</f>
      </c>
      <c r="W67" s="123">
        <f>IFERROR(L67*V67,0)</f>
      </c>
      <c r="X67" s="256">
        <f>IFERROR(Q67+W67,0)</f>
      </c>
      <c r="Y67" s="256">
        <f>IFERROR(M67*V67,0)</f>
      </c>
      <c r="Z67" s="256">
        <f>Y67-(Y67*$B$1)</f>
      </c>
      <c r="AA67" s="285">
        <f>IFERROR(Z67/X67,"")</f>
      </c>
      <c r="AB67" s="286">
        <f>IFERROR(IF(ISBLANK(N67),Y67/O67,Y67/N67),0)</f>
      </c>
      <c r="AC67" s="286">
        <f>IFERROR(-1*(AB67*B$1),0)</f>
      </c>
      <c r="AD67" s="286">
        <f>IFERROR(SUM(AB67:AC67),0)</f>
      </c>
      <c r="AE67" s="286">
        <f>IF(ISBLANK(N67),AD67,AD67*5)</f>
      </c>
      <c r="AF67" s="287">
        <f>SUM(AG67:AV67)</f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18"/>
      <c r="AU67" s="18"/>
      <c r="AV67" s="18"/>
      <c r="AW67" s="18"/>
      <c r="AX67" s="18"/>
      <c r="AY67" s="18"/>
      <c r="AZ67" s="18"/>
      <c r="BA67" s="18"/>
      <c r="BB67" s="18"/>
      <c r="BC67" s="16"/>
      <c r="BD67" s="16"/>
      <c r="BE67" s="16"/>
      <c r="BF67" s="286">
        <f>Z67-AF67</f>
      </c>
      <c r="BG67" s="321">
        <f>IFERROR(AF67/Y67,0)</f>
      </c>
      <c r="BH67" s="284">
        <f>IFERROR(AF67/X67,0)</f>
      </c>
      <c r="BI67" s="284">
        <f>IFERROR(X67/SUM(X$3:X$12),0)</f>
      </c>
      <c r="BJ67" s="284">
        <f>IFERROR(BF67/SUM(BF$3:BF264),0)</f>
      </c>
      <c r="BK67" s="288">
        <f>BF67/'R&amp;H Portfolio'!Q$10</f>
      </c>
      <c r="BL67" s="286">
        <f>BI67*P67</f>
      </c>
      <c r="BM67" s="3"/>
      <c r="BN67" s="3"/>
      <c r="BO67" s="17"/>
    </row>
    <row x14ac:dyDescent="0.25" r="68" customHeight="1" ht="15">
      <c r="A68" s="17"/>
      <c r="B68" s="14"/>
      <c r="C68" s="3"/>
      <c r="D68" s="3"/>
      <c r="E68" s="3"/>
      <c r="F68" s="3"/>
      <c r="G68" s="16"/>
      <c r="H68" s="18"/>
      <c r="I68" s="18"/>
      <c r="J68" s="279">
        <f>H68+I68</f>
      </c>
      <c r="K68" s="1"/>
      <c r="L68" s="123">
        <f>K68*I68</f>
      </c>
      <c r="M68" s="123">
        <f>K68*J68</f>
      </c>
      <c r="N68" s="16"/>
      <c r="O68" s="16"/>
      <c r="P68" s="282">
        <f>IF(ISBLANK(N68),O68/4.3,N68/20)</f>
      </c>
      <c r="Q68" s="1"/>
      <c r="R68" s="3"/>
      <c r="S68" s="3"/>
      <c r="T68" s="256">
        <f>IF(ISBLANK(R68),0,X68)</f>
      </c>
      <c r="U68" s="256">
        <f>IF(ISBLANK(S68),0,X68)</f>
      </c>
      <c r="V68" s="284">
        <f>IFERROR(Q68/K68,0)</f>
      </c>
      <c r="W68" s="123">
        <f>IFERROR(L68*V68,0)</f>
      </c>
      <c r="X68" s="256">
        <f>IFERROR(Q68+W68,0)</f>
      </c>
      <c r="Y68" s="256">
        <f>IFERROR(M68*V68,0)</f>
      </c>
      <c r="Z68" s="256">
        <f>Y68-(Y68*$B$1)</f>
      </c>
      <c r="AA68" s="285">
        <f>IFERROR(Z68/X68,"")</f>
      </c>
      <c r="AB68" s="286">
        <f>IFERROR(IF(ISBLANK(N68),Y68/O68,Y68/N68),0)</f>
      </c>
      <c r="AC68" s="286">
        <f>IFERROR(-1*(AB68*B$1),0)</f>
      </c>
      <c r="AD68" s="286">
        <f>IFERROR(SUM(AB68:AC68),0)</f>
      </c>
      <c r="AE68" s="286">
        <f>IF(ISBLANK(N68),AD68,AD68*5)</f>
      </c>
      <c r="AF68" s="287">
        <f>SUM(AG68:AV68)</f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18"/>
      <c r="AU68" s="18"/>
      <c r="AV68" s="18"/>
      <c r="AW68" s="18"/>
      <c r="AX68" s="18"/>
      <c r="AY68" s="18"/>
      <c r="AZ68" s="18"/>
      <c r="BA68" s="18"/>
      <c r="BB68" s="18"/>
      <c r="BC68" s="16"/>
      <c r="BD68" s="16"/>
      <c r="BE68" s="16"/>
      <c r="BF68" s="286">
        <f>Z68-AF68</f>
      </c>
      <c r="BG68" s="321">
        <f>IFERROR(AF68/Y68,0)</f>
      </c>
      <c r="BH68" s="284">
        <f>IFERROR(AF68/X68,0)</f>
      </c>
      <c r="BI68" s="284">
        <f>IFERROR(X68/SUM(X$3:X$12),0)</f>
      </c>
      <c r="BJ68" s="284">
        <f>IFERROR(BF68/SUM(BF$3:BF265),0)</f>
      </c>
      <c r="BK68" s="288">
        <f>BF68/'R&amp;H Portfolio'!Q$10</f>
      </c>
      <c r="BL68" s="286">
        <f>BI68*P68</f>
      </c>
      <c r="BM68" s="3"/>
      <c r="BN68" s="3"/>
      <c r="BO68" s="17"/>
    </row>
    <row x14ac:dyDescent="0.25" r="69" customHeight="1" ht="15">
      <c r="A69" s="17"/>
      <c r="B69" s="14"/>
      <c r="C69" s="3"/>
      <c r="D69" s="3"/>
      <c r="E69" s="3"/>
      <c r="F69" s="3"/>
      <c r="G69" s="16"/>
      <c r="H69" s="18"/>
      <c r="I69" s="18"/>
      <c r="J69" s="279">
        <f>H69+I69</f>
      </c>
      <c r="K69" s="1"/>
      <c r="L69" s="123">
        <f>K69*I69</f>
      </c>
      <c r="M69" s="123">
        <f>K69*J69</f>
      </c>
      <c r="N69" s="16"/>
      <c r="O69" s="16"/>
      <c r="P69" s="282">
        <f>IF(ISBLANK(N69),O69/4.3,N69/20)</f>
      </c>
      <c r="Q69" s="1"/>
      <c r="R69" s="3"/>
      <c r="S69" s="3"/>
      <c r="T69" s="256">
        <f>IF(ISBLANK(R69),0,X69)</f>
      </c>
      <c r="U69" s="256">
        <f>IF(ISBLANK(S69),0,X69)</f>
      </c>
      <c r="V69" s="284">
        <f>IFERROR(Q69/K69,0)</f>
      </c>
      <c r="W69" s="123">
        <f>IFERROR(L69*V69,0)</f>
      </c>
      <c r="X69" s="256">
        <f>IFERROR(Q69+W69,0)</f>
      </c>
      <c r="Y69" s="256">
        <f>IFERROR(M69*V69,0)</f>
      </c>
      <c r="Z69" s="256">
        <f>Y69-(Y69*$B$1)</f>
      </c>
      <c r="AA69" s="285">
        <f>IFERROR(Z69/X69,"")</f>
      </c>
      <c r="AB69" s="286">
        <f>IFERROR(IF(ISBLANK(N69),Y69/O69,Y69/N69),0)</f>
      </c>
      <c r="AC69" s="286">
        <f>IFERROR(-1*(AB69*B$1),0)</f>
      </c>
      <c r="AD69" s="286">
        <f>IFERROR(SUM(AB69:AC69),0)</f>
      </c>
      <c r="AE69" s="286">
        <f>IF(ISBLANK(N69),AD69,AD69*5)</f>
      </c>
      <c r="AF69" s="287">
        <f>SUM(AG69:AV69)</f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18"/>
      <c r="AU69" s="18"/>
      <c r="AV69" s="18"/>
      <c r="AW69" s="18"/>
      <c r="AX69" s="18"/>
      <c r="AY69" s="18"/>
      <c r="AZ69" s="18"/>
      <c r="BA69" s="18"/>
      <c r="BB69" s="18"/>
      <c r="BC69" s="16"/>
      <c r="BD69" s="16"/>
      <c r="BE69" s="16"/>
      <c r="BF69" s="286">
        <f>Z69-AF69</f>
      </c>
      <c r="BG69" s="321">
        <f>IFERROR(AF69/Y69,0)</f>
      </c>
      <c r="BH69" s="284">
        <f>IFERROR(AF69/X69,0)</f>
      </c>
      <c r="BI69" s="284">
        <f>IFERROR(X69/SUM(X$3:X$12),0)</f>
      </c>
      <c r="BJ69" s="284">
        <f>IFERROR(BF69/SUM(BF$3:BF266),0)</f>
      </c>
      <c r="BK69" s="288">
        <f>BF69/'R&amp;H Portfolio'!Q$10</f>
      </c>
      <c r="BL69" s="286">
        <f>BI69*P69</f>
      </c>
      <c r="BM69" s="3"/>
      <c r="BN69" s="3"/>
      <c r="BO69" s="17"/>
    </row>
    <row x14ac:dyDescent="0.25" r="70" customHeight="1" ht="15">
      <c r="A70" s="17"/>
      <c r="B70" s="14"/>
      <c r="C70" s="3"/>
      <c r="D70" s="3"/>
      <c r="E70" s="3"/>
      <c r="F70" s="3"/>
      <c r="G70" s="16"/>
      <c r="H70" s="18"/>
      <c r="I70" s="18"/>
      <c r="J70" s="279">
        <f>H70+I70</f>
      </c>
      <c r="K70" s="1"/>
      <c r="L70" s="123">
        <f>K70*I70</f>
      </c>
      <c r="M70" s="123">
        <f>K70*J70</f>
      </c>
      <c r="N70" s="16"/>
      <c r="O70" s="16"/>
      <c r="P70" s="282">
        <f>IF(ISBLANK(N70),O70/4.3,N70/20)</f>
      </c>
      <c r="Q70" s="1"/>
      <c r="R70" s="3"/>
      <c r="S70" s="3"/>
      <c r="T70" s="256">
        <f>IF(ISBLANK(R70),0,X70)</f>
      </c>
      <c r="U70" s="256">
        <f>IF(ISBLANK(S70),0,X70)</f>
      </c>
      <c r="V70" s="284">
        <f>IFERROR(Q70/K70,0)</f>
      </c>
      <c r="W70" s="123">
        <f>IFERROR(L70*V70,0)</f>
      </c>
      <c r="X70" s="256">
        <f>IFERROR(Q70+W70,0)</f>
      </c>
      <c r="Y70" s="256">
        <f>IFERROR(M70*V70,0)</f>
      </c>
      <c r="Z70" s="256">
        <f>Y70-(Y70*$B$1)</f>
      </c>
      <c r="AA70" s="285">
        <f>IFERROR(Z70/X70,"")</f>
      </c>
      <c r="AB70" s="286">
        <f>IFERROR(IF(ISBLANK(N70),Y70/O70,Y70/N70),0)</f>
      </c>
      <c r="AC70" s="286">
        <f>IFERROR(-1*(AB70*B$1),0)</f>
      </c>
      <c r="AD70" s="286">
        <f>IFERROR(SUM(AB70:AC70),0)</f>
      </c>
      <c r="AE70" s="286">
        <f>IF(ISBLANK(N70),AD70,AD70*5)</f>
      </c>
      <c r="AF70" s="287">
        <f>SUM(AG70:AV70)</f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18"/>
      <c r="AU70" s="18"/>
      <c r="AV70" s="18"/>
      <c r="AW70" s="18"/>
      <c r="AX70" s="18"/>
      <c r="AY70" s="18"/>
      <c r="AZ70" s="18"/>
      <c r="BA70" s="18"/>
      <c r="BB70" s="18"/>
      <c r="BC70" s="16"/>
      <c r="BD70" s="16"/>
      <c r="BE70" s="16"/>
      <c r="BF70" s="286">
        <f>Z70-AF70</f>
      </c>
      <c r="BG70" s="321">
        <f>IFERROR(AF70/Y70,0)</f>
      </c>
      <c r="BH70" s="284">
        <f>IFERROR(AF70/X70,0)</f>
      </c>
      <c r="BI70" s="284">
        <f>IFERROR(X70/SUM(X$3:X$12),0)</f>
      </c>
      <c r="BJ70" s="284">
        <f>IFERROR(BF70/SUM(BF$3:BF267),0)</f>
      </c>
      <c r="BK70" s="288">
        <f>BF70/'R&amp;H Portfolio'!Q$10</f>
      </c>
      <c r="BL70" s="286">
        <f>BI70*P70</f>
      </c>
      <c r="BM70" s="3"/>
      <c r="BN70" s="3"/>
      <c r="BO70" s="17"/>
    </row>
    <row x14ac:dyDescent="0.25" r="71" customHeight="1" ht="15">
      <c r="A71" s="17"/>
      <c r="B71" s="14"/>
      <c r="C71" s="3"/>
      <c r="D71" s="3"/>
      <c r="E71" s="3"/>
      <c r="F71" s="3"/>
      <c r="G71" s="16"/>
      <c r="H71" s="18"/>
      <c r="I71" s="18"/>
      <c r="J71" s="279">
        <f>H71+I71</f>
      </c>
      <c r="K71" s="1"/>
      <c r="L71" s="123">
        <f>K71*I71</f>
      </c>
      <c r="M71" s="123">
        <f>K71*J71</f>
      </c>
      <c r="N71" s="16"/>
      <c r="O71" s="16"/>
      <c r="P71" s="282">
        <f>IF(ISBLANK(N71),O71/4.3,N71/20)</f>
      </c>
      <c r="Q71" s="1"/>
      <c r="R71" s="3"/>
      <c r="S71" s="3"/>
      <c r="T71" s="256">
        <f>IF(ISBLANK(R71),0,X71)</f>
      </c>
      <c r="U71" s="256">
        <f>IF(ISBLANK(S71),0,X71)</f>
      </c>
      <c r="V71" s="284">
        <f>IFERROR(Q71/K71,0)</f>
      </c>
      <c r="W71" s="123">
        <f>IFERROR(L71*V71,0)</f>
      </c>
      <c r="X71" s="256">
        <f>IFERROR(Q71+W71,0)</f>
      </c>
      <c r="Y71" s="256">
        <f>IFERROR(M71*V71,0)</f>
      </c>
      <c r="Z71" s="256">
        <f>Y71-(Y71*$B$1)</f>
      </c>
      <c r="AA71" s="285">
        <f>IFERROR(Z71/X71,"")</f>
      </c>
      <c r="AB71" s="286">
        <f>IFERROR(IF(ISBLANK(N71),Y71/O71,Y71/N71),0)</f>
      </c>
      <c r="AC71" s="286">
        <f>IFERROR(-1*(AB71*B$1),0)</f>
      </c>
      <c r="AD71" s="286">
        <f>IFERROR(SUM(AB71:AC71),0)</f>
      </c>
      <c r="AE71" s="286">
        <f>IF(ISBLANK(N71),AD71,AD71*5)</f>
      </c>
      <c r="AF71" s="287">
        <f>SUM(AG71:AV71)</f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18"/>
      <c r="AU71" s="18"/>
      <c r="AV71" s="18"/>
      <c r="AW71" s="18"/>
      <c r="AX71" s="18"/>
      <c r="AY71" s="18"/>
      <c r="AZ71" s="18"/>
      <c r="BA71" s="18"/>
      <c r="BB71" s="18"/>
      <c r="BC71" s="16"/>
      <c r="BD71" s="16"/>
      <c r="BE71" s="16"/>
      <c r="BF71" s="286">
        <f>Z71-AF71</f>
      </c>
      <c r="BG71" s="321">
        <f>IFERROR(AF71/Y71,0)</f>
      </c>
      <c r="BH71" s="284">
        <f>IFERROR(AF71/X71,0)</f>
      </c>
      <c r="BI71" s="284">
        <f>IFERROR(X71/SUM(X$3:X$12),0)</f>
      </c>
      <c r="BJ71" s="284">
        <f>IFERROR(BF71/SUM(BF$3:BF268),0)</f>
      </c>
      <c r="BK71" s="288">
        <f>BF71/'R&amp;H Portfolio'!Q$10</f>
      </c>
      <c r="BL71" s="286">
        <f>BI71*P71</f>
      </c>
      <c r="BM71" s="3"/>
      <c r="BN71" s="3"/>
      <c r="BO71" s="17"/>
    </row>
    <row x14ac:dyDescent="0.25" r="72" customHeight="1" ht="15">
      <c r="A72" s="17"/>
      <c r="B72" s="14"/>
      <c r="C72" s="3"/>
      <c r="D72" s="3"/>
      <c r="E72" s="3"/>
      <c r="F72" s="3"/>
      <c r="G72" s="16"/>
      <c r="H72" s="18"/>
      <c r="I72" s="18"/>
      <c r="J72" s="279">
        <f>H72+I72</f>
      </c>
      <c r="K72" s="1"/>
      <c r="L72" s="123">
        <f>K72*I72</f>
      </c>
      <c r="M72" s="123">
        <f>K72*J72</f>
      </c>
      <c r="N72" s="16"/>
      <c r="O72" s="16"/>
      <c r="P72" s="282">
        <f>IF(ISBLANK(N72),O72/4.3,N72/20)</f>
      </c>
      <c r="Q72" s="1"/>
      <c r="R72" s="3"/>
      <c r="S72" s="3"/>
      <c r="T72" s="256">
        <f>IF(ISBLANK(R72),0,X72)</f>
      </c>
      <c r="U72" s="256">
        <f>IF(ISBLANK(S72),0,X72)</f>
      </c>
      <c r="V72" s="284">
        <f>IFERROR(Q72/K72,0)</f>
      </c>
      <c r="W72" s="123">
        <f>IFERROR(L72*V72,0)</f>
      </c>
      <c r="X72" s="256">
        <f>IFERROR(Q72+W72,0)</f>
      </c>
      <c r="Y72" s="256">
        <f>IFERROR(M72*V72,0)</f>
      </c>
      <c r="Z72" s="256">
        <f>Y72-(Y72*$B$1)</f>
      </c>
      <c r="AA72" s="285">
        <f>IFERROR(Z72/X72,"")</f>
      </c>
      <c r="AB72" s="286">
        <f>IFERROR(IF(ISBLANK(N72),Y72/O72,Y72/N72),0)</f>
      </c>
      <c r="AC72" s="286">
        <f>IFERROR(-1*(AB72*B$1),0)</f>
      </c>
      <c r="AD72" s="286">
        <f>IFERROR(SUM(AB72:AC72),0)</f>
      </c>
      <c r="AE72" s="286">
        <f>IF(ISBLANK(N72),AD72,AD72*5)</f>
      </c>
      <c r="AF72" s="287">
        <f>SUM(AG72:AV72)</f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18"/>
      <c r="AU72" s="18"/>
      <c r="AV72" s="18"/>
      <c r="AW72" s="18"/>
      <c r="AX72" s="18"/>
      <c r="AY72" s="18"/>
      <c r="AZ72" s="18"/>
      <c r="BA72" s="18"/>
      <c r="BB72" s="18"/>
      <c r="BC72" s="16"/>
      <c r="BD72" s="16"/>
      <c r="BE72" s="16"/>
      <c r="BF72" s="286">
        <f>Z72-AF72</f>
      </c>
      <c r="BG72" s="321">
        <f>IFERROR(AF72/Y72,0)</f>
      </c>
      <c r="BH72" s="284">
        <f>IFERROR(AF72/X72,0)</f>
      </c>
      <c r="BI72" s="284">
        <f>IFERROR(X72/SUM(X$3:X$12),0)</f>
      </c>
      <c r="BJ72" s="284">
        <f>IFERROR(BF72/SUM(BF$3:BF269),0)</f>
      </c>
      <c r="BK72" s="288">
        <f>BF72/'R&amp;H Portfolio'!Q$10</f>
      </c>
      <c r="BL72" s="286">
        <f>BI72*P72</f>
      </c>
      <c r="BM72" s="3"/>
      <c r="BN72" s="3"/>
      <c r="BO72" s="17"/>
    </row>
    <row x14ac:dyDescent="0.25" r="73" customHeight="1" ht="15">
      <c r="A73" s="17"/>
      <c r="B73" s="14"/>
      <c r="C73" s="3"/>
      <c r="D73" s="3"/>
      <c r="E73" s="3"/>
      <c r="F73" s="3"/>
      <c r="G73" s="16"/>
      <c r="H73" s="18"/>
      <c r="I73" s="18"/>
      <c r="J73" s="279">
        <f>H73+I73</f>
      </c>
      <c r="K73" s="1"/>
      <c r="L73" s="123">
        <f>K73*I73</f>
      </c>
      <c r="M73" s="123">
        <f>K73*J73</f>
      </c>
      <c r="N73" s="16"/>
      <c r="O73" s="16"/>
      <c r="P73" s="282">
        <f>IF(ISBLANK(N73),O73/4.3,N73/20)</f>
      </c>
      <c r="Q73" s="1"/>
      <c r="R73" s="3"/>
      <c r="S73" s="3"/>
      <c r="T73" s="256">
        <f>IF(ISBLANK(R73),0,X73)</f>
      </c>
      <c r="U73" s="256">
        <f>IF(ISBLANK(S73),0,X73)</f>
      </c>
      <c r="V73" s="284">
        <f>IFERROR(Q73/K73,0)</f>
      </c>
      <c r="W73" s="123">
        <f>IFERROR(L73*V73,0)</f>
      </c>
      <c r="X73" s="256">
        <f>IFERROR(Q73+W73,0)</f>
      </c>
      <c r="Y73" s="256">
        <f>IFERROR(M73*V73,0)</f>
      </c>
      <c r="Z73" s="256">
        <f>Y73-(Y73*$B$1)</f>
      </c>
      <c r="AA73" s="285">
        <f>IFERROR(Z73/X73,"")</f>
      </c>
      <c r="AB73" s="286">
        <f>IFERROR(IF(ISBLANK(N73),Y73/O73,Y73/N73),0)</f>
      </c>
      <c r="AC73" s="286">
        <f>IFERROR(-1*(AB73*B$1),0)</f>
      </c>
      <c r="AD73" s="286">
        <f>IFERROR(SUM(AB73:AC73),0)</f>
      </c>
      <c r="AE73" s="286">
        <f>IF(ISBLANK(N73),AD73,AD73*5)</f>
      </c>
      <c r="AF73" s="287">
        <f>SUM(AG73:AV73)</f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18"/>
      <c r="AU73" s="18"/>
      <c r="AV73" s="18"/>
      <c r="AW73" s="18"/>
      <c r="AX73" s="18"/>
      <c r="AY73" s="18"/>
      <c r="AZ73" s="18"/>
      <c r="BA73" s="18"/>
      <c r="BB73" s="18"/>
      <c r="BC73" s="16"/>
      <c r="BD73" s="16"/>
      <c r="BE73" s="16"/>
      <c r="BF73" s="286">
        <f>Z73-AF73</f>
      </c>
      <c r="BG73" s="321">
        <f>IFERROR(AF73/Y73,0)</f>
      </c>
      <c r="BH73" s="284">
        <f>IFERROR(AF73/X73,0)</f>
      </c>
      <c r="BI73" s="284">
        <f>IFERROR(X73/SUM(X$3:X$12),0)</f>
      </c>
      <c r="BJ73" s="284">
        <f>IFERROR(BF73/SUM(BF$3:BF270),0)</f>
      </c>
      <c r="BK73" s="288">
        <f>BF73/'R&amp;H Portfolio'!Q$10</f>
      </c>
      <c r="BL73" s="286">
        <f>BI73*P73</f>
      </c>
      <c r="BM73" s="3"/>
      <c r="BN73" s="3"/>
      <c r="BO73" s="17"/>
    </row>
    <row x14ac:dyDescent="0.25" r="74" customHeight="1" ht="15">
      <c r="A74" s="17"/>
      <c r="B74" s="14"/>
      <c r="C74" s="3"/>
      <c r="D74" s="3"/>
      <c r="E74" s="3"/>
      <c r="F74" s="3"/>
      <c r="G74" s="16"/>
      <c r="H74" s="18"/>
      <c r="I74" s="18"/>
      <c r="J74" s="279">
        <f>H74+I74</f>
      </c>
      <c r="K74" s="1"/>
      <c r="L74" s="123">
        <f>K74*I74</f>
      </c>
      <c r="M74" s="123">
        <f>K74*J74</f>
      </c>
      <c r="N74" s="16"/>
      <c r="O74" s="16"/>
      <c r="P74" s="282">
        <f>IF(ISBLANK(N74),O74/4.3,N74/20)</f>
      </c>
      <c r="Q74" s="1"/>
      <c r="R74" s="3"/>
      <c r="S74" s="3"/>
      <c r="T74" s="256">
        <f>IF(ISBLANK(R74),0,X74)</f>
      </c>
      <c r="U74" s="256">
        <f>IF(ISBLANK(S74),0,X74)</f>
      </c>
      <c r="V74" s="284">
        <f>IFERROR(Q74/K74,0)</f>
      </c>
      <c r="W74" s="123">
        <f>IFERROR(L74*V74,0)</f>
      </c>
      <c r="X74" s="256">
        <f>IFERROR(Q74+W74,0)</f>
      </c>
      <c r="Y74" s="256">
        <f>IFERROR(M74*V74,0)</f>
      </c>
      <c r="Z74" s="256">
        <f>Y74-(Y74*$B$1)</f>
      </c>
      <c r="AA74" s="285">
        <f>IFERROR(Z74/X74,"")</f>
      </c>
      <c r="AB74" s="286">
        <f>IFERROR(IF(ISBLANK(N74),Y74/O74,Y74/N74),0)</f>
      </c>
      <c r="AC74" s="286">
        <f>IFERROR(-1*(AB74*B$1),0)</f>
      </c>
      <c r="AD74" s="286">
        <f>IFERROR(SUM(AB74:AC74),0)</f>
      </c>
      <c r="AE74" s="286">
        <f>IF(ISBLANK(N74),AD74,AD74*5)</f>
      </c>
      <c r="AF74" s="287">
        <f>SUM(AG74:AV74)</f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18"/>
      <c r="AU74" s="18"/>
      <c r="AV74" s="18"/>
      <c r="AW74" s="18"/>
      <c r="AX74" s="18"/>
      <c r="AY74" s="18"/>
      <c r="AZ74" s="18"/>
      <c r="BA74" s="18"/>
      <c r="BB74" s="18"/>
      <c r="BC74" s="16"/>
      <c r="BD74" s="16"/>
      <c r="BE74" s="16"/>
      <c r="BF74" s="286">
        <f>Z74-AF74</f>
      </c>
      <c r="BG74" s="321">
        <f>IFERROR(AF74/Y74,0)</f>
      </c>
      <c r="BH74" s="284">
        <f>IFERROR(AF74/X74,0)</f>
      </c>
      <c r="BI74" s="284">
        <f>IFERROR(X74/SUM(X$3:X$12),0)</f>
      </c>
      <c r="BJ74" s="284">
        <f>IFERROR(BF74/SUM(BF$3:BF271),0)</f>
      </c>
      <c r="BK74" s="288">
        <f>BF74/'R&amp;H Portfolio'!Q$10</f>
      </c>
      <c r="BL74" s="286">
        <f>BI74*P74</f>
      </c>
      <c r="BM74" s="3"/>
      <c r="BN74" s="3"/>
      <c r="BO74" s="17"/>
    </row>
    <row x14ac:dyDescent="0.25" r="75" customHeight="1" ht="15">
      <c r="A75" s="17"/>
      <c r="B75" s="14"/>
      <c r="C75" s="3"/>
      <c r="D75" s="3"/>
      <c r="E75" s="3"/>
      <c r="F75" s="3"/>
      <c r="G75" s="16"/>
      <c r="H75" s="18"/>
      <c r="I75" s="18"/>
      <c r="J75" s="279">
        <f>H75+I75</f>
      </c>
      <c r="K75" s="1"/>
      <c r="L75" s="123">
        <f>K75*I75</f>
      </c>
      <c r="M75" s="123">
        <f>K75*J75</f>
      </c>
      <c r="N75" s="16"/>
      <c r="O75" s="16"/>
      <c r="P75" s="282">
        <f>IF(ISBLANK(N75),O75/4.3,N75/20)</f>
      </c>
      <c r="Q75" s="1"/>
      <c r="R75" s="3"/>
      <c r="S75" s="3"/>
      <c r="T75" s="256">
        <f>IF(ISBLANK(R75),0,X75)</f>
      </c>
      <c r="U75" s="256">
        <f>IF(ISBLANK(S75),0,X75)</f>
      </c>
      <c r="V75" s="284">
        <f>IFERROR(Q75/K75,0)</f>
      </c>
      <c r="W75" s="123">
        <f>IFERROR(L75*V75,0)</f>
      </c>
      <c r="X75" s="256">
        <f>IFERROR(Q75+W75,0)</f>
      </c>
      <c r="Y75" s="256">
        <f>IFERROR(M75*V75,0)</f>
      </c>
      <c r="Z75" s="256">
        <f>Y75-(Y75*$B$1)</f>
      </c>
      <c r="AA75" s="285">
        <f>IFERROR(Z75/X75,"")</f>
      </c>
      <c r="AB75" s="286">
        <f>IFERROR(IF(ISBLANK(N75),Y75/O75,Y75/N75),0)</f>
      </c>
      <c r="AC75" s="286">
        <f>IFERROR(-1*(AB75*B$1),0)</f>
      </c>
      <c r="AD75" s="286">
        <f>IFERROR(SUM(AB75:AC75),0)</f>
      </c>
      <c r="AE75" s="286">
        <f>IF(ISBLANK(N75),AD75,AD75*5)</f>
      </c>
      <c r="AF75" s="287">
        <f>SUM(AG75:AV75)</f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18"/>
      <c r="AU75" s="18"/>
      <c r="AV75" s="18"/>
      <c r="AW75" s="18"/>
      <c r="AX75" s="18"/>
      <c r="AY75" s="18"/>
      <c r="AZ75" s="18"/>
      <c r="BA75" s="18"/>
      <c r="BB75" s="18"/>
      <c r="BC75" s="16"/>
      <c r="BD75" s="16"/>
      <c r="BE75" s="16"/>
      <c r="BF75" s="286">
        <f>Z75-AF75</f>
      </c>
      <c r="BG75" s="321">
        <f>IFERROR(AF75/Y75,0)</f>
      </c>
      <c r="BH75" s="284">
        <f>IFERROR(AF75/X75,0)</f>
      </c>
      <c r="BI75" s="284">
        <f>IFERROR(X75/SUM(X$3:X$12),0)</f>
      </c>
      <c r="BJ75" s="284">
        <f>IFERROR(BF75/SUM(BF$3:BF272),0)</f>
      </c>
      <c r="BK75" s="288">
        <f>BF75/'R&amp;H Portfolio'!Q$10</f>
      </c>
      <c r="BL75" s="286">
        <f>BI75*P75</f>
      </c>
      <c r="BM75" s="3"/>
      <c r="BN75" s="3"/>
      <c r="BO75" s="17"/>
    </row>
    <row x14ac:dyDescent="0.25" r="76" customHeight="1" ht="15">
      <c r="A76" s="17"/>
      <c r="B76" s="14"/>
      <c r="C76" s="3"/>
      <c r="D76" s="3"/>
      <c r="E76" s="3"/>
      <c r="F76" s="3"/>
      <c r="G76" s="16"/>
      <c r="H76" s="18"/>
      <c r="I76" s="18"/>
      <c r="J76" s="279">
        <f>H76+I76</f>
      </c>
      <c r="K76" s="1"/>
      <c r="L76" s="123">
        <f>K76*I76</f>
      </c>
      <c r="M76" s="123">
        <f>K76*J76</f>
      </c>
      <c r="N76" s="16"/>
      <c r="O76" s="16"/>
      <c r="P76" s="282">
        <f>IF(ISBLANK(N76),O76/4.3,N76/20)</f>
      </c>
      <c r="Q76" s="1"/>
      <c r="R76" s="3"/>
      <c r="S76" s="3"/>
      <c r="T76" s="256">
        <f>IF(ISBLANK(R76),0,X76)</f>
      </c>
      <c r="U76" s="256">
        <f>IF(ISBLANK(S76),0,X76)</f>
      </c>
      <c r="V76" s="284">
        <f>IFERROR(Q76/K76,0)</f>
      </c>
      <c r="W76" s="123">
        <f>IFERROR(L76*V76,0)</f>
      </c>
      <c r="X76" s="256">
        <f>IFERROR(Q76+W76,0)</f>
      </c>
      <c r="Y76" s="256">
        <f>IFERROR(M76*V76,0)</f>
      </c>
      <c r="Z76" s="256">
        <f>Y76-(Y76*$B$1)</f>
      </c>
      <c r="AA76" s="285">
        <f>IFERROR(Z76/X76,"")</f>
      </c>
      <c r="AB76" s="286">
        <f>IFERROR(IF(ISBLANK(N76),Y76/O76,Y76/N76),0)</f>
      </c>
      <c r="AC76" s="286">
        <f>IFERROR(-1*(AB76*B$1),0)</f>
      </c>
      <c r="AD76" s="286">
        <f>IFERROR(SUM(AB76:AC76),0)</f>
      </c>
      <c r="AE76" s="286">
        <f>IF(ISBLANK(N76),AD76,AD76*5)</f>
      </c>
      <c r="AF76" s="287">
        <f>SUM(AG76:AV76)</f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18"/>
      <c r="AU76" s="18"/>
      <c r="AV76" s="18"/>
      <c r="AW76" s="18"/>
      <c r="AX76" s="18"/>
      <c r="AY76" s="18"/>
      <c r="AZ76" s="18"/>
      <c r="BA76" s="18"/>
      <c r="BB76" s="18"/>
      <c r="BC76" s="16"/>
      <c r="BD76" s="16"/>
      <c r="BE76" s="16"/>
      <c r="BF76" s="286">
        <f>Z76-AF76</f>
      </c>
      <c r="BG76" s="321">
        <f>IFERROR(AF76/Y76,0)</f>
      </c>
      <c r="BH76" s="284">
        <f>IFERROR(AF76/X76,0)</f>
      </c>
      <c r="BI76" s="284">
        <f>IFERROR(X76/SUM(X$3:X$12),0)</f>
      </c>
      <c r="BJ76" s="284">
        <f>IFERROR(BF76/SUM(BF$3:BF273),0)</f>
      </c>
      <c r="BK76" s="288">
        <f>BF76/'R&amp;H Portfolio'!Q$10</f>
      </c>
      <c r="BL76" s="286">
        <f>BI76*P76</f>
      </c>
      <c r="BM76" s="3"/>
      <c r="BN76" s="3"/>
      <c r="BO76" s="17"/>
    </row>
    <row x14ac:dyDescent="0.25" r="77" customHeight="1" ht="15">
      <c r="A77" s="17"/>
      <c r="B77" s="14"/>
      <c r="C77" s="3"/>
      <c r="D77" s="3"/>
      <c r="E77" s="3"/>
      <c r="F77" s="3"/>
      <c r="G77" s="16"/>
      <c r="H77" s="18"/>
      <c r="I77" s="18"/>
      <c r="J77" s="279">
        <f>H77+I77</f>
      </c>
      <c r="K77" s="1"/>
      <c r="L77" s="123">
        <f>K77*I77</f>
      </c>
      <c r="M77" s="123">
        <f>K77*J77</f>
      </c>
      <c r="N77" s="16"/>
      <c r="O77" s="16"/>
      <c r="P77" s="282">
        <f>IF(ISBLANK(N77),O77/4.3,N77/20)</f>
      </c>
      <c r="Q77" s="1"/>
      <c r="R77" s="3"/>
      <c r="S77" s="3"/>
      <c r="T77" s="256">
        <f>IF(ISBLANK(R77),0,X77)</f>
      </c>
      <c r="U77" s="256">
        <f>IF(ISBLANK(S77),0,X77)</f>
      </c>
      <c r="V77" s="284">
        <f>IFERROR(Q77/K77,0)</f>
      </c>
      <c r="W77" s="123">
        <f>IFERROR(L77*V77,0)</f>
      </c>
      <c r="X77" s="256">
        <f>IFERROR(Q77+W77,0)</f>
      </c>
      <c r="Y77" s="256">
        <f>IFERROR(M77*V77,0)</f>
      </c>
      <c r="Z77" s="256">
        <f>Y77-(Y77*$B$1)</f>
      </c>
      <c r="AA77" s="285">
        <f>IFERROR(Z77/X77,"")</f>
      </c>
      <c r="AB77" s="286">
        <f>IFERROR(IF(ISBLANK(N77),Y77/O77,Y77/N77),0)</f>
      </c>
      <c r="AC77" s="286">
        <f>IFERROR(-1*(AB77*B$1),0)</f>
      </c>
      <c r="AD77" s="286">
        <f>IFERROR(SUM(AB77:AC77),0)</f>
      </c>
      <c r="AE77" s="286">
        <f>IF(ISBLANK(N77),AD77,AD77*5)</f>
      </c>
      <c r="AF77" s="287">
        <f>SUM(AG77:AV77)</f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18"/>
      <c r="AU77" s="18"/>
      <c r="AV77" s="18"/>
      <c r="AW77" s="18"/>
      <c r="AX77" s="18"/>
      <c r="AY77" s="18"/>
      <c r="AZ77" s="18"/>
      <c r="BA77" s="18"/>
      <c r="BB77" s="18"/>
      <c r="BC77" s="16"/>
      <c r="BD77" s="16"/>
      <c r="BE77" s="16"/>
      <c r="BF77" s="286">
        <f>Z77-AF77</f>
      </c>
      <c r="BG77" s="321">
        <f>IFERROR(AF77/Y77,0)</f>
      </c>
      <c r="BH77" s="284">
        <f>IFERROR(AF77/X77,0)</f>
      </c>
      <c r="BI77" s="284">
        <f>IFERROR(X77/SUM(X$3:X$12),0)</f>
      </c>
      <c r="BJ77" s="284">
        <f>IFERROR(BF77/SUM(BF$3:BF274),0)</f>
      </c>
      <c r="BK77" s="288">
        <f>BF77/'R&amp;H Portfolio'!Q$10</f>
      </c>
      <c r="BL77" s="286">
        <f>BI77*P77</f>
      </c>
      <c r="BM77" s="3"/>
      <c r="BN77" s="3"/>
      <c r="BO77" s="17"/>
    </row>
    <row x14ac:dyDescent="0.25" r="78" customHeight="1" ht="15">
      <c r="A78" s="17"/>
      <c r="B78" s="14"/>
      <c r="C78" s="3"/>
      <c r="D78" s="3"/>
      <c r="E78" s="3"/>
      <c r="F78" s="3"/>
      <c r="G78" s="16"/>
      <c r="H78" s="18"/>
      <c r="I78" s="18"/>
      <c r="J78" s="279">
        <f>H78+I78</f>
      </c>
      <c r="K78" s="1"/>
      <c r="L78" s="123">
        <f>K78*I78</f>
      </c>
      <c r="M78" s="123">
        <f>K78*J78</f>
      </c>
      <c r="N78" s="16"/>
      <c r="O78" s="16"/>
      <c r="P78" s="282">
        <f>IF(ISBLANK(N78),O78/4.3,N78/20)</f>
      </c>
      <c r="Q78" s="1"/>
      <c r="R78" s="3"/>
      <c r="S78" s="3"/>
      <c r="T78" s="256">
        <f>IF(ISBLANK(R78),0,X78)</f>
      </c>
      <c r="U78" s="256">
        <f>IF(ISBLANK(S78),0,X78)</f>
      </c>
      <c r="V78" s="284">
        <f>IFERROR(Q78/K78,0)</f>
      </c>
      <c r="W78" s="123">
        <f>IFERROR(L78*V78,0)</f>
      </c>
      <c r="X78" s="256">
        <f>IFERROR(Q78+W78,0)</f>
      </c>
      <c r="Y78" s="256">
        <f>IFERROR(M78*V78,0)</f>
      </c>
      <c r="Z78" s="256">
        <f>Y78-(Y78*$B$1)</f>
      </c>
      <c r="AA78" s="285">
        <f>IFERROR(Z78/X78,"")</f>
      </c>
      <c r="AB78" s="286">
        <f>IFERROR(IF(ISBLANK(N78),Y78/O78,Y78/N78),0)</f>
      </c>
      <c r="AC78" s="286">
        <f>IFERROR(-1*(AB78*B$1),0)</f>
      </c>
      <c r="AD78" s="286">
        <f>IFERROR(SUM(AB78:AC78),0)</f>
      </c>
      <c r="AE78" s="286">
        <f>IF(ISBLANK(N78),AD78,AD78*5)</f>
      </c>
      <c r="AF78" s="287">
        <f>SUM(AG78:AV78)</f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18"/>
      <c r="AU78" s="18"/>
      <c r="AV78" s="18"/>
      <c r="AW78" s="18"/>
      <c r="AX78" s="18"/>
      <c r="AY78" s="18"/>
      <c r="AZ78" s="18"/>
      <c r="BA78" s="18"/>
      <c r="BB78" s="18"/>
      <c r="BC78" s="16"/>
      <c r="BD78" s="16"/>
      <c r="BE78" s="16"/>
      <c r="BF78" s="286">
        <f>Z78-AF78</f>
      </c>
      <c r="BG78" s="321">
        <f>IFERROR(AF78/Y78,0)</f>
      </c>
      <c r="BH78" s="284">
        <f>IFERROR(AF78/X78,0)</f>
      </c>
      <c r="BI78" s="284">
        <f>IFERROR(X78/SUM(X$3:X$12),0)</f>
      </c>
      <c r="BJ78" s="284">
        <f>IFERROR(BF78/SUM(BF$3:BF275),0)</f>
      </c>
      <c r="BK78" s="288">
        <f>BF78/'R&amp;H Portfolio'!Q$10</f>
      </c>
      <c r="BL78" s="286">
        <f>BI78*P78</f>
      </c>
      <c r="BM78" s="3"/>
      <c r="BN78" s="3"/>
      <c r="BO78" s="17"/>
    </row>
    <row x14ac:dyDescent="0.25" r="79" customHeight="1" ht="15">
      <c r="A79" s="17"/>
      <c r="B79" s="14"/>
      <c r="C79" s="3"/>
      <c r="D79" s="3"/>
      <c r="E79" s="3"/>
      <c r="F79" s="3"/>
      <c r="G79" s="16"/>
      <c r="H79" s="18"/>
      <c r="I79" s="18"/>
      <c r="J79" s="279">
        <f>H79+I79</f>
      </c>
      <c r="K79" s="1"/>
      <c r="L79" s="123">
        <f>K79*I79</f>
      </c>
      <c r="M79" s="123">
        <f>K79*J79</f>
      </c>
      <c r="N79" s="16"/>
      <c r="O79" s="16"/>
      <c r="P79" s="282">
        <f>IF(ISBLANK(N79),O79/4.3,N79/20)</f>
      </c>
      <c r="Q79" s="1"/>
      <c r="R79" s="3"/>
      <c r="S79" s="3"/>
      <c r="T79" s="256">
        <f>IF(ISBLANK(R79),0,X79)</f>
      </c>
      <c r="U79" s="256">
        <f>IF(ISBLANK(S79),0,X79)</f>
      </c>
      <c r="V79" s="284">
        <f>IFERROR(Q79/K79,0)</f>
      </c>
      <c r="W79" s="123">
        <f>IFERROR(L79*V79,0)</f>
      </c>
      <c r="X79" s="256">
        <f>IFERROR(Q79+W79,0)</f>
      </c>
      <c r="Y79" s="256">
        <f>IFERROR(M79*V79,0)</f>
      </c>
      <c r="Z79" s="256">
        <f>Y79-(Y79*$B$1)</f>
      </c>
      <c r="AA79" s="285">
        <f>IFERROR(Z79/X79,"")</f>
      </c>
      <c r="AB79" s="286">
        <f>IFERROR(IF(ISBLANK(N79),Y79/O79,Y79/N79),0)</f>
      </c>
      <c r="AC79" s="286">
        <f>IFERROR(-1*(AB79*B$1),0)</f>
      </c>
      <c r="AD79" s="286">
        <f>IFERROR(SUM(AB79:AC79),0)</f>
      </c>
      <c r="AE79" s="286">
        <f>IF(ISBLANK(N79),AD79,AD79*5)</f>
      </c>
      <c r="AF79" s="287">
        <f>SUM(AG79:AV79)</f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18"/>
      <c r="AU79" s="18"/>
      <c r="AV79" s="18"/>
      <c r="AW79" s="18"/>
      <c r="AX79" s="18"/>
      <c r="AY79" s="18"/>
      <c r="AZ79" s="18"/>
      <c r="BA79" s="18"/>
      <c r="BB79" s="18"/>
      <c r="BC79" s="16"/>
      <c r="BD79" s="16"/>
      <c r="BE79" s="16"/>
      <c r="BF79" s="286">
        <f>Z79-AF79</f>
      </c>
      <c r="BG79" s="321">
        <f>IFERROR(AF79/Y79,0)</f>
      </c>
      <c r="BH79" s="284">
        <f>IFERROR(AF79/X79,0)</f>
      </c>
      <c r="BI79" s="284">
        <f>IFERROR(X79/SUM(X$3:X$12),0)</f>
      </c>
      <c r="BJ79" s="284">
        <f>IFERROR(BF79/SUM(BF$3:BF276),0)</f>
      </c>
      <c r="BK79" s="288">
        <f>BF79/'R&amp;H Portfolio'!Q$10</f>
      </c>
      <c r="BL79" s="286">
        <f>BI79*P79</f>
      </c>
      <c r="BM79" s="3"/>
      <c r="BN79" s="3"/>
      <c r="BO79" s="17"/>
    </row>
    <row x14ac:dyDescent="0.25" r="80" customHeight="1" ht="15">
      <c r="A80" s="17"/>
      <c r="B80" s="14"/>
      <c r="C80" s="3"/>
      <c r="D80" s="3"/>
      <c r="E80" s="3"/>
      <c r="F80" s="3"/>
      <c r="G80" s="16"/>
      <c r="H80" s="18"/>
      <c r="I80" s="18"/>
      <c r="J80" s="279">
        <f>H80+I80</f>
      </c>
      <c r="K80" s="1"/>
      <c r="L80" s="123">
        <f>K80*I80</f>
      </c>
      <c r="M80" s="123">
        <f>K80*J80</f>
      </c>
      <c r="N80" s="16"/>
      <c r="O80" s="16"/>
      <c r="P80" s="282">
        <f>IF(ISBLANK(N80),O80/4.3,N80/20)</f>
      </c>
      <c r="Q80" s="1"/>
      <c r="R80" s="3"/>
      <c r="S80" s="3"/>
      <c r="T80" s="256">
        <f>IF(ISBLANK(R80),0,X80)</f>
      </c>
      <c r="U80" s="256">
        <f>IF(ISBLANK(S80),0,X80)</f>
      </c>
      <c r="V80" s="284">
        <f>IFERROR(Q80/K80,0)</f>
      </c>
      <c r="W80" s="123">
        <f>IFERROR(L80*V80,0)</f>
      </c>
      <c r="X80" s="256">
        <f>IFERROR(Q80+W80,0)</f>
      </c>
      <c r="Y80" s="256">
        <f>IFERROR(M80*V80,0)</f>
      </c>
      <c r="Z80" s="256">
        <f>Y80-(Y80*$B$1)</f>
      </c>
      <c r="AA80" s="285">
        <f>IFERROR(Z80/X80,"")</f>
      </c>
      <c r="AB80" s="286">
        <f>IFERROR(IF(ISBLANK(N80),Y80/O80,Y80/N80),0)</f>
      </c>
      <c r="AC80" s="286">
        <f>IFERROR(-1*(AB80*B$1),0)</f>
      </c>
      <c r="AD80" s="286">
        <f>IFERROR(SUM(AB80:AC80),0)</f>
      </c>
      <c r="AE80" s="286">
        <f>IF(ISBLANK(N80),AD80,AD80*5)</f>
      </c>
      <c r="AF80" s="287">
        <f>SUM(AG80:AV80)</f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18"/>
      <c r="AU80" s="18"/>
      <c r="AV80" s="18"/>
      <c r="AW80" s="18"/>
      <c r="AX80" s="18"/>
      <c r="AY80" s="18"/>
      <c r="AZ80" s="18"/>
      <c r="BA80" s="18"/>
      <c r="BB80" s="18"/>
      <c r="BC80" s="16"/>
      <c r="BD80" s="16"/>
      <c r="BE80" s="16"/>
      <c r="BF80" s="286">
        <f>Z80-AF80</f>
      </c>
      <c r="BG80" s="321">
        <f>IFERROR(AF80/Y80,0)</f>
      </c>
      <c r="BH80" s="284">
        <f>IFERROR(AF80/X80,0)</f>
      </c>
      <c r="BI80" s="284">
        <f>IFERROR(X80/SUM(X$3:X$12),0)</f>
      </c>
      <c r="BJ80" s="284">
        <f>IFERROR(BF80/SUM(BF$3:BF277),0)</f>
      </c>
      <c r="BK80" s="288">
        <f>BF80/'R&amp;H Portfolio'!Q$10</f>
      </c>
      <c r="BL80" s="286">
        <f>BI80*P80</f>
      </c>
      <c r="BM80" s="3"/>
      <c r="BN80" s="3"/>
      <c r="BO80" s="17"/>
    </row>
    <row x14ac:dyDescent="0.25" r="81" customHeight="1" ht="15">
      <c r="A81" s="17"/>
      <c r="B81" s="14"/>
      <c r="C81" s="3"/>
      <c r="D81" s="3"/>
      <c r="E81" s="3"/>
      <c r="F81" s="3"/>
      <c r="G81" s="16"/>
      <c r="H81" s="18"/>
      <c r="I81" s="18"/>
      <c r="J81" s="279">
        <f>H81+I81</f>
      </c>
      <c r="K81" s="1"/>
      <c r="L81" s="123">
        <f>K81*I81</f>
      </c>
      <c r="M81" s="123">
        <f>K81*J81</f>
      </c>
      <c r="N81" s="16"/>
      <c r="O81" s="16"/>
      <c r="P81" s="282">
        <f>IF(ISBLANK(N81),O81/4.3,N81/20)</f>
      </c>
      <c r="Q81" s="1"/>
      <c r="R81" s="3"/>
      <c r="S81" s="3"/>
      <c r="T81" s="256">
        <f>IF(ISBLANK(R81),0,X81)</f>
      </c>
      <c r="U81" s="256">
        <f>IF(ISBLANK(S81),0,X81)</f>
      </c>
      <c r="V81" s="284">
        <f>IFERROR(Q81/K81,0)</f>
      </c>
      <c r="W81" s="123">
        <f>IFERROR(L81*V81,0)</f>
      </c>
      <c r="X81" s="256">
        <f>IFERROR(Q81+W81,0)</f>
      </c>
      <c r="Y81" s="256">
        <f>IFERROR(M81*V81,0)</f>
      </c>
      <c r="Z81" s="256">
        <f>Y81-(Y81*$B$1)</f>
      </c>
      <c r="AA81" s="285">
        <f>IFERROR(Z81/X81,"")</f>
      </c>
      <c r="AB81" s="286">
        <f>IFERROR(IF(ISBLANK(N81),Y81/O81,Y81/N81),0)</f>
      </c>
      <c r="AC81" s="286">
        <f>IFERROR(-1*(AB81*B$1),0)</f>
      </c>
      <c r="AD81" s="286">
        <f>IFERROR(SUM(AB81:AC81),0)</f>
      </c>
      <c r="AE81" s="286">
        <f>IF(ISBLANK(N81),AD81,AD81*5)</f>
      </c>
      <c r="AF81" s="287">
        <f>SUM(AG81:AV81)</f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18"/>
      <c r="AU81" s="18"/>
      <c r="AV81" s="18"/>
      <c r="AW81" s="18"/>
      <c r="AX81" s="18"/>
      <c r="AY81" s="18"/>
      <c r="AZ81" s="18"/>
      <c r="BA81" s="18"/>
      <c r="BB81" s="18"/>
      <c r="BC81" s="16"/>
      <c r="BD81" s="16"/>
      <c r="BE81" s="16"/>
      <c r="BF81" s="286">
        <f>Z81-AF81</f>
      </c>
      <c r="BG81" s="321">
        <f>IFERROR(AF81/Y81,0)</f>
      </c>
      <c r="BH81" s="284">
        <f>IFERROR(AF81/X81,0)</f>
      </c>
      <c r="BI81" s="284">
        <f>IFERROR(X81/SUM(X$3:X$12),0)</f>
      </c>
      <c r="BJ81" s="284">
        <f>IFERROR(BF81/SUM(BF$3:BF278),0)</f>
      </c>
      <c r="BK81" s="288">
        <f>BF81/'R&amp;H Portfolio'!Q$10</f>
      </c>
      <c r="BL81" s="286">
        <f>BI81*P81</f>
      </c>
      <c r="BM81" s="3"/>
      <c r="BN81" s="3"/>
      <c r="BO81" s="17"/>
    </row>
    <row x14ac:dyDescent="0.25" r="82" customHeight="1" ht="15">
      <c r="A82" s="17"/>
      <c r="B82" s="14"/>
      <c r="C82" s="3"/>
      <c r="D82" s="3"/>
      <c r="E82" s="3"/>
      <c r="F82" s="3"/>
      <c r="G82" s="16"/>
      <c r="H82" s="18"/>
      <c r="I82" s="18"/>
      <c r="J82" s="279">
        <f>H82+I82</f>
      </c>
      <c r="K82" s="1"/>
      <c r="L82" s="123">
        <f>K82*I82</f>
      </c>
      <c r="M82" s="123">
        <f>K82*J82</f>
      </c>
      <c r="N82" s="16"/>
      <c r="O82" s="16"/>
      <c r="P82" s="282">
        <f>IF(ISBLANK(N82),O82/4.3,N82/20)</f>
      </c>
      <c r="Q82" s="1"/>
      <c r="R82" s="3"/>
      <c r="S82" s="3"/>
      <c r="T82" s="256">
        <f>IF(ISBLANK(R82),0,X82)</f>
      </c>
      <c r="U82" s="256">
        <f>IF(ISBLANK(S82),0,X82)</f>
      </c>
      <c r="V82" s="284">
        <f>IFERROR(Q82/K82,0)</f>
      </c>
      <c r="W82" s="123">
        <f>IFERROR(L82*V82,0)</f>
      </c>
      <c r="X82" s="256">
        <f>IFERROR(Q82+W82,0)</f>
      </c>
      <c r="Y82" s="256">
        <f>IFERROR(M82*V82,0)</f>
      </c>
      <c r="Z82" s="256">
        <f>Y82-(Y82*$B$1)</f>
      </c>
      <c r="AA82" s="285">
        <f>IFERROR(Z82/X82,"")</f>
      </c>
      <c r="AB82" s="286">
        <f>IFERROR(IF(ISBLANK(N82),Y82/O82,Y82/N82),0)</f>
      </c>
      <c r="AC82" s="286">
        <f>IFERROR(-1*(AB82*B$1),0)</f>
      </c>
      <c r="AD82" s="286">
        <f>IFERROR(SUM(AB82:AC82),0)</f>
      </c>
      <c r="AE82" s="286">
        <f>IF(ISBLANK(N82),AD82,AD82*5)</f>
      </c>
      <c r="AF82" s="287">
        <f>SUM(AG82:AV82)</f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18"/>
      <c r="AU82" s="18"/>
      <c r="AV82" s="18"/>
      <c r="AW82" s="18"/>
      <c r="AX82" s="18"/>
      <c r="AY82" s="18"/>
      <c r="AZ82" s="18"/>
      <c r="BA82" s="18"/>
      <c r="BB82" s="18"/>
      <c r="BC82" s="16"/>
      <c r="BD82" s="16"/>
      <c r="BE82" s="16"/>
      <c r="BF82" s="286">
        <f>Z82-AF82</f>
      </c>
      <c r="BG82" s="321">
        <f>IFERROR(AF82/Y82,0)</f>
      </c>
      <c r="BH82" s="284">
        <f>IFERROR(AF82/X82,0)</f>
      </c>
      <c r="BI82" s="284">
        <f>IFERROR(X82/SUM(X$3:X$12),0)</f>
      </c>
      <c r="BJ82" s="284">
        <f>IFERROR(BF82/SUM(BF$3:BF279),0)</f>
      </c>
      <c r="BK82" s="288">
        <f>BF82/'R&amp;H Portfolio'!Q$10</f>
      </c>
      <c r="BL82" s="286">
        <f>BI82*P82</f>
      </c>
      <c r="BM82" s="3"/>
      <c r="BN82" s="3"/>
      <c r="BO82" s="17"/>
    </row>
    <row x14ac:dyDescent="0.25" r="83" customHeight="1" ht="15">
      <c r="A83" s="17"/>
      <c r="B83" s="14"/>
      <c r="C83" s="3"/>
      <c r="D83" s="3"/>
      <c r="E83" s="3"/>
      <c r="F83" s="3"/>
      <c r="G83" s="16"/>
      <c r="H83" s="18"/>
      <c r="I83" s="18"/>
      <c r="J83" s="279">
        <f>H83+I83</f>
      </c>
      <c r="K83" s="1"/>
      <c r="L83" s="123">
        <f>K83*I83</f>
      </c>
      <c r="M83" s="123">
        <f>K83*J83</f>
      </c>
      <c r="N83" s="16"/>
      <c r="O83" s="16"/>
      <c r="P83" s="282">
        <f>IF(ISBLANK(N83),O83/4.3,N83/20)</f>
      </c>
      <c r="Q83" s="1"/>
      <c r="R83" s="3"/>
      <c r="S83" s="3"/>
      <c r="T83" s="256">
        <f>IF(ISBLANK(R83),0,X83)</f>
      </c>
      <c r="U83" s="256">
        <f>IF(ISBLANK(S83),0,X83)</f>
      </c>
      <c r="V83" s="284">
        <f>IFERROR(Q83/K83,0)</f>
      </c>
      <c r="W83" s="123">
        <f>IFERROR(L83*V83,0)</f>
      </c>
      <c r="X83" s="256">
        <f>IFERROR(Q83+W83,0)</f>
      </c>
      <c r="Y83" s="256">
        <f>IFERROR(M83*V83,0)</f>
      </c>
      <c r="Z83" s="256">
        <f>Y83-(Y83*$B$1)</f>
      </c>
      <c r="AA83" s="285">
        <f>IFERROR(Z83/X83,"")</f>
      </c>
      <c r="AB83" s="286">
        <f>IFERROR(IF(ISBLANK(N83),Y83/O83,Y83/N83),0)</f>
      </c>
      <c r="AC83" s="286">
        <f>IFERROR(-1*(AB83*B$1),0)</f>
      </c>
      <c r="AD83" s="286">
        <f>IFERROR(SUM(AB83:AC83),0)</f>
      </c>
      <c r="AE83" s="286">
        <f>IF(ISBLANK(N83),AD83,AD83*5)</f>
      </c>
      <c r="AF83" s="287">
        <f>SUM(AG83:AV83)</f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18"/>
      <c r="AU83" s="18"/>
      <c r="AV83" s="18"/>
      <c r="AW83" s="18"/>
      <c r="AX83" s="18"/>
      <c r="AY83" s="18"/>
      <c r="AZ83" s="18"/>
      <c r="BA83" s="18"/>
      <c r="BB83" s="18"/>
      <c r="BC83" s="16"/>
      <c r="BD83" s="16"/>
      <c r="BE83" s="16"/>
      <c r="BF83" s="286">
        <f>Z83-AF83</f>
      </c>
      <c r="BG83" s="321">
        <f>IFERROR(AF83/Y83,0)</f>
      </c>
      <c r="BH83" s="284">
        <f>IFERROR(AF83/X83,0)</f>
      </c>
      <c r="BI83" s="284">
        <f>IFERROR(X83/SUM(X$3:X$12),0)</f>
      </c>
      <c r="BJ83" s="284">
        <f>IFERROR(BF83/SUM(BF$3:BF280),0)</f>
      </c>
      <c r="BK83" s="288">
        <f>BF83/'R&amp;H Portfolio'!Q$10</f>
      </c>
      <c r="BL83" s="286">
        <f>BI83*P83</f>
      </c>
      <c r="BM83" s="3"/>
      <c r="BN83" s="3"/>
      <c r="BO83" s="17"/>
    </row>
    <row x14ac:dyDescent="0.25" r="84" customHeight="1" ht="15">
      <c r="A84" s="17"/>
      <c r="B84" s="14"/>
      <c r="C84" s="3"/>
      <c r="D84" s="3"/>
      <c r="E84" s="3"/>
      <c r="F84" s="3"/>
      <c r="G84" s="16"/>
      <c r="H84" s="18"/>
      <c r="I84" s="18"/>
      <c r="J84" s="279">
        <f>H84+I84</f>
      </c>
      <c r="K84" s="1"/>
      <c r="L84" s="123">
        <f>K84*I84</f>
      </c>
      <c r="M84" s="123">
        <f>K84*J84</f>
      </c>
      <c r="N84" s="16"/>
      <c r="O84" s="16"/>
      <c r="P84" s="282">
        <f>IF(ISBLANK(N84),O84/4.3,N84/20)</f>
      </c>
      <c r="Q84" s="1"/>
      <c r="R84" s="3"/>
      <c r="S84" s="3"/>
      <c r="T84" s="256">
        <f>IF(ISBLANK(R84),0,X84)</f>
      </c>
      <c r="U84" s="256">
        <f>IF(ISBLANK(S84),0,X84)</f>
      </c>
      <c r="V84" s="284">
        <f>IFERROR(Q84/K84,0)</f>
      </c>
      <c r="W84" s="123">
        <f>IFERROR(L84*V84,0)</f>
      </c>
      <c r="X84" s="256">
        <f>IFERROR(Q84+W84,0)</f>
      </c>
      <c r="Y84" s="256">
        <f>IFERROR(M84*V84,0)</f>
      </c>
      <c r="Z84" s="256">
        <f>Y84-(Y84*$B$1)</f>
      </c>
      <c r="AA84" s="285">
        <f>IFERROR(Z84/X84,"")</f>
      </c>
      <c r="AB84" s="286">
        <f>IFERROR(IF(ISBLANK(N84),Y84/O84,Y84/N84),0)</f>
      </c>
      <c r="AC84" s="286">
        <f>IFERROR(-1*(AB84*B$1),0)</f>
      </c>
      <c r="AD84" s="286">
        <f>IFERROR(SUM(AB84:AC84),0)</f>
      </c>
      <c r="AE84" s="286">
        <f>IF(ISBLANK(N84),AD84,AD84*5)</f>
      </c>
      <c r="AF84" s="287">
        <f>SUM(AG84:AV84)</f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18"/>
      <c r="AU84" s="18"/>
      <c r="AV84" s="18"/>
      <c r="AW84" s="18"/>
      <c r="AX84" s="18"/>
      <c r="AY84" s="18"/>
      <c r="AZ84" s="18"/>
      <c r="BA84" s="18"/>
      <c r="BB84" s="18"/>
      <c r="BC84" s="16"/>
      <c r="BD84" s="16"/>
      <c r="BE84" s="16"/>
      <c r="BF84" s="286">
        <f>Z84-AF84</f>
      </c>
      <c r="BG84" s="321">
        <f>IFERROR(AF84/Y84,0)</f>
      </c>
      <c r="BH84" s="284">
        <f>IFERROR(AF84/X84,0)</f>
      </c>
      <c r="BI84" s="284">
        <f>IFERROR(X84/SUM(X$3:X$12),0)</f>
      </c>
      <c r="BJ84" s="284">
        <f>IFERROR(BF84/SUM(BF$3:BF281),0)</f>
      </c>
      <c r="BK84" s="288">
        <f>BF84/'R&amp;H Portfolio'!Q$10</f>
      </c>
      <c r="BL84" s="286">
        <f>BI84*P84</f>
      </c>
      <c r="BM84" s="3"/>
      <c r="BN84" s="3"/>
      <c r="BO84" s="17"/>
    </row>
    <row x14ac:dyDescent="0.25" r="85" customHeight="1" ht="15">
      <c r="A85" s="17"/>
      <c r="B85" s="14"/>
      <c r="C85" s="3"/>
      <c r="D85" s="3"/>
      <c r="E85" s="3"/>
      <c r="F85" s="3"/>
      <c r="G85" s="16"/>
      <c r="H85" s="18"/>
      <c r="I85" s="18"/>
      <c r="J85" s="279">
        <f>H85+I85</f>
      </c>
      <c r="K85" s="1"/>
      <c r="L85" s="123">
        <f>K85*I85</f>
      </c>
      <c r="M85" s="123">
        <f>K85*J85</f>
      </c>
      <c r="N85" s="16"/>
      <c r="O85" s="16"/>
      <c r="P85" s="282">
        <f>IF(ISBLANK(N85),O85/4.3,N85/20)</f>
      </c>
      <c r="Q85" s="1"/>
      <c r="R85" s="3"/>
      <c r="S85" s="3"/>
      <c r="T85" s="256">
        <f>IF(ISBLANK(R85),0,X85)</f>
      </c>
      <c r="U85" s="256">
        <f>IF(ISBLANK(S85),0,X85)</f>
      </c>
      <c r="V85" s="284">
        <f>IFERROR(Q85/K85,0)</f>
      </c>
      <c r="W85" s="123">
        <f>IFERROR(L85*V85,0)</f>
      </c>
      <c r="X85" s="256">
        <f>IFERROR(Q85+W85,0)</f>
      </c>
      <c r="Y85" s="256">
        <f>IFERROR(M85*V85,0)</f>
      </c>
      <c r="Z85" s="256">
        <f>Y85-(Y85*$B$1)</f>
      </c>
      <c r="AA85" s="285">
        <f>IFERROR(Z85/X85,"")</f>
      </c>
      <c r="AB85" s="286">
        <f>IFERROR(IF(ISBLANK(N85),Y85/O85,Y85/N85),0)</f>
      </c>
      <c r="AC85" s="286">
        <f>IFERROR(-1*(AB85*B$1),0)</f>
      </c>
      <c r="AD85" s="286">
        <f>IFERROR(SUM(AB85:AC85),0)</f>
      </c>
      <c r="AE85" s="286">
        <f>IF(ISBLANK(N85),AD85,AD85*5)</f>
      </c>
      <c r="AF85" s="287">
        <f>SUM(AG85:AV85)</f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18"/>
      <c r="AU85" s="18"/>
      <c r="AV85" s="18"/>
      <c r="AW85" s="18"/>
      <c r="AX85" s="18"/>
      <c r="AY85" s="18"/>
      <c r="AZ85" s="18"/>
      <c r="BA85" s="18"/>
      <c r="BB85" s="18"/>
      <c r="BC85" s="16"/>
      <c r="BD85" s="16"/>
      <c r="BE85" s="16"/>
      <c r="BF85" s="286">
        <f>Z85-AF85</f>
      </c>
      <c r="BG85" s="321">
        <f>IFERROR(AF85/Y85,0)</f>
      </c>
      <c r="BH85" s="284">
        <f>IFERROR(AF85/X85,0)</f>
      </c>
      <c r="BI85" s="284">
        <f>IFERROR(X85/SUM(X$3:X$12),0)</f>
      </c>
      <c r="BJ85" s="284">
        <f>IFERROR(BF85/SUM(BF$3:BF282),0)</f>
      </c>
      <c r="BK85" s="288">
        <f>BF85/'R&amp;H Portfolio'!Q$10</f>
      </c>
      <c r="BL85" s="286">
        <f>BI85*P85</f>
      </c>
      <c r="BM85" s="3"/>
      <c r="BN85" s="3"/>
      <c r="BO85" s="17"/>
    </row>
    <row x14ac:dyDescent="0.25" r="86" customHeight="1" ht="15">
      <c r="A86" s="17"/>
      <c r="B86" s="14"/>
      <c r="C86" s="3"/>
      <c r="D86" s="3"/>
      <c r="E86" s="3"/>
      <c r="F86" s="3"/>
      <c r="G86" s="16"/>
      <c r="H86" s="18"/>
      <c r="I86" s="18"/>
      <c r="J86" s="279">
        <f>H86+I86</f>
      </c>
      <c r="K86" s="1"/>
      <c r="L86" s="123">
        <f>K86*I86</f>
      </c>
      <c r="M86" s="123">
        <f>K86*J86</f>
      </c>
      <c r="N86" s="16"/>
      <c r="O86" s="16"/>
      <c r="P86" s="282">
        <f>IF(ISBLANK(N86),O86/4.3,N86/20)</f>
      </c>
      <c r="Q86" s="1"/>
      <c r="R86" s="3"/>
      <c r="S86" s="3"/>
      <c r="T86" s="256">
        <f>IF(ISBLANK(R86),0,X86)</f>
      </c>
      <c r="U86" s="256">
        <f>IF(ISBLANK(S86),0,X86)</f>
      </c>
      <c r="V86" s="284">
        <f>IFERROR(Q86/K86,0)</f>
      </c>
      <c r="W86" s="123">
        <f>IFERROR(L86*V86,0)</f>
      </c>
      <c r="X86" s="256">
        <f>IFERROR(Q86+W86,0)</f>
      </c>
      <c r="Y86" s="256">
        <f>IFERROR(M86*V86,0)</f>
      </c>
      <c r="Z86" s="256">
        <f>Y86-(Y86*$B$1)</f>
      </c>
      <c r="AA86" s="285">
        <f>IFERROR(Z86/X86,"")</f>
      </c>
      <c r="AB86" s="286">
        <f>IFERROR(IF(ISBLANK(N86),Y86/O86,Y86/N86),0)</f>
      </c>
      <c r="AC86" s="286">
        <f>IFERROR(-1*(AB86*B$1),0)</f>
      </c>
      <c r="AD86" s="286">
        <f>IFERROR(SUM(AB86:AC86),0)</f>
      </c>
      <c r="AE86" s="286">
        <f>IF(ISBLANK(N86),AD86,AD86*5)</f>
      </c>
      <c r="AF86" s="287">
        <f>SUM(AG86:AV86)</f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18"/>
      <c r="AU86" s="18"/>
      <c r="AV86" s="18"/>
      <c r="AW86" s="18"/>
      <c r="AX86" s="18"/>
      <c r="AY86" s="18"/>
      <c r="AZ86" s="18"/>
      <c r="BA86" s="18"/>
      <c r="BB86" s="18"/>
      <c r="BC86" s="16"/>
      <c r="BD86" s="16"/>
      <c r="BE86" s="16"/>
      <c r="BF86" s="286">
        <f>Z86-AF86</f>
      </c>
      <c r="BG86" s="321">
        <f>IFERROR(AF86/Y86,0)</f>
      </c>
      <c r="BH86" s="284">
        <f>IFERROR(AF86/X86,0)</f>
      </c>
      <c r="BI86" s="284">
        <f>IFERROR(X86/SUM(X$3:X$12),0)</f>
      </c>
      <c r="BJ86" s="284">
        <f>IFERROR(BF86/SUM(BF$3:BF283),0)</f>
      </c>
      <c r="BK86" s="288">
        <f>BF86/'R&amp;H Portfolio'!Q$10</f>
      </c>
      <c r="BL86" s="286">
        <f>BI86*P86</f>
      </c>
      <c r="BM86" s="3"/>
      <c r="BN86" s="3"/>
      <c r="BO86" s="17"/>
    </row>
    <row x14ac:dyDescent="0.25" r="87" customHeight="1" ht="15">
      <c r="A87" s="17"/>
      <c r="B87" s="14"/>
      <c r="C87" s="3"/>
      <c r="D87" s="3"/>
      <c r="E87" s="3"/>
      <c r="F87" s="3"/>
      <c r="G87" s="16"/>
      <c r="H87" s="18"/>
      <c r="I87" s="18"/>
      <c r="J87" s="279">
        <f>H87+I87</f>
      </c>
      <c r="K87" s="1"/>
      <c r="L87" s="123">
        <f>K87*I87</f>
      </c>
      <c r="M87" s="123">
        <f>K87*J87</f>
      </c>
      <c r="N87" s="16"/>
      <c r="O87" s="16"/>
      <c r="P87" s="282">
        <f>IF(ISBLANK(N87),O87/4.3,N87/20)</f>
      </c>
      <c r="Q87" s="1"/>
      <c r="R87" s="3"/>
      <c r="S87" s="3"/>
      <c r="T87" s="256">
        <f>IF(ISBLANK(R87),0,X87)</f>
      </c>
      <c r="U87" s="256">
        <f>IF(ISBLANK(S87),0,X87)</f>
      </c>
      <c r="V87" s="284">
        <f>IFERROR(Q87/K87,0)</f>
      </c>
      <c r="W87" s="123">
        <f>IFERROR(L87*V87,0)</f>
      </c>
      <c r="X87" s="256">
        <f>IFERROR(Q87+W87,0)</f>
      </c>
      <c r="Y87" s="256">
        <f>IFERROR(M87*V87,0)</f>
      </c>
      <c r="Z87" s="256">
        <f>Y87-(Y87*$B$1)</f>
      </c>
      <c r="AA87" s="285">
        <f>IFERROR(Z87/X87,"")</f>
      </c>
      <c r="AB87" s="286">
        <f>IFERROR(IF(ISBLANK(N87),Y87/O87,Y87/N87),0)</f>
      </c>
      <c r="AC87" s="286">
        <f>IFERROR(-1*(AB87*B$1),0)</f>
      </c>
      <c r="AD87" s="286">
        <f>IFERROR(SUM(AB87:AC87),0)</f>
      </c>
      <c r="AE87" s="286">
        <f>IF(ISBLANK(N87),AD87,AD87*5)</f>
      </c>
      <c r="AF87" s="287">
        <f>SUM(AG87:AV87)</f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18"/>
      <c r="AU87" s="18"/>
      <c r="AV87" s="18"/>
      <c r="AW87" s="18"/>
      <c r="AX87" s="18"/>
      <c r="AY87" s="18"/>
      <c r="AZ87" s="18"/>
      <c r="BA87" s="18"/>
      <c r="BB87" s="18"/>
      <c r="BC87" s="16"/>
      <c r="BD87" s="16"/>
      <c r="BE87" s="16"/>
      <c r="BF87" s="286">
        <f>Z87-AF87</f>
      </c>
      <c r="BG87" s="321">
        <f>IFERROR(AF87/Y87,0)</f>
      </c>
      <c r="BH87" s="284">
        <f>IFERROR(AF87/X87,0)</f>
      </c>
      <c r="BI87" s="284">
        <f>IFERROR(X87/SUM(X$3:X$12),0)</f>
      </c>
      <c r="BJ87" s="284">
        <f>IFERROR(BF87/SUM(BF$3:BF284),0)</f>
      </c>
      <c r="BK87" s="288">
        <f>BF87/'R&amp;H Portfolio'!Q$10</f>
      </c>
      <c r="BL87" s="286">
        <f>BI87*P87</f>
      </c>
      <c r="BM87" s="3"/>
      <c r="BN87" s="3"/>
      <c r="BO87" s="17"/>
    </row>
    <row x14ac:dyDescent="0.25" r="88" customHeight="1" ht="15">
      <c r="A88" s="17"/>
      <c r="B88" s="14"/>
      <c r="C88" s="3"/>
      <c r="D88" s="3"/>
      <c r="E88" s="3"/>
      <c r="F88" s="3"/>
      <c r="G88" s="16"/>
      <c r="H88" s="18"/>
      <c r="I88" s="18"/>
      <c r="J88" s="279">
        <f>H88+I88</f>
      </c>
      <c r="K88" s="1"/>
      <c r="L88" s="123">
        <f>K88*I88</f>
      </c>
      <c r="M88" s="123">
        <f>K88*J88</f>
      </c>
      <c r="N88" s="16"/>
      <c r="O88" s="16"/>
      <c r="P88" s="282">
        <f>IF(ISBLANK(N88),O88/4.3,N88/20)</f>
      </c>
      <c r="Q88" s="1"/>
      <c r="R88" s="3"/>
      <c r="S88" s="3"/>
      <c r="T88" s="256">
        <f>IF(ISBLANK(R88),0,X88)</f>
      </c>
      <c r="U88" s="256">
        <f>IF(ISBLANK(S88),0,X88)</f>
      </c>
      <c r="V88" s="284">
        <f>IFERROR(Q88/K88,0)</f>
      </c>
      <c r="W88" s="123">
        <f>IFERROR(L88*V88,0)</f>
      </c>
      <c r="X88" s="256">
        <f>IFERROR(Q88+W88,0)</f>
      </c>
      <c r="Y88" s="256">
        <f>IFERROR(M88*V88,0)</f>
      </c>
      <c r="Z88" s="256">
        <f>Y88-(Y88*$B$1)</f>
      </c>
      <c r="AA88" s="285">
        <f>IFERROR(Z88/X88,"")</f>
      </c>
      <c r="AB88" s="286">
        <f>IFERROR(IF(ISBLANK(N88),Y88/O88,Y88/N88),0)</f>
      </c>
      <c r="AC88" s="286">
        <f>IFERROR(-1*(AB88*B$1),0)</f>
      </c>
      <c r="AD88" s="286">
        <f>IFERROR(SUM(AB88:AC88),0)</f>
      </c>
      <c r="AE88" s="286">
        <f>IF(ISBLANK(N88),AD88,AD88*5)</f>
      </c>
      <c r="AF88" s="287">
        <f>SUM(AG88:AV88)</f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18"/>
      <c r="AU88" s="18"/>
      <c r="AV88" s="18"/>
      <c r="AW88" s="18"/>
      <c r="AX88" s="18"/>
      <c r="AY88" s="18"/>
      <c r="AZ88" s="18"/>
      <c r="BA88" s="18"/>
      <c r="BB88" s="18"/>
      <c r="BC88" s="16"/>
      <c r="BD88" s="16"/>
      <c r="BE88" s="16"/>
      <c r="BF88" s="286">
        <f>Z88-AF88</f>
      </c>
      <c r="BG88" s="321">
        <f>IFERROR(AF88/Y88,0)</f>
      </c>
      <c r="BH88" s="284">
        <f>IFERROR(AF88/X88,0)</f>
      </c>
      <c r="BI88" s="284">
        <f>IFERROR(X88/SUM(X$3:X$12),0)</f>
      </c>
      <c r="BJ88" s="284">
        <f>IFERROR(BF88/SUM(BF$3:BF285),0)</f>
      </c>
      <c r="BK88" s="288">
        <f>BF88/'R&amp;H Portfolio'!Q$10</f>
      </c>
      <c r="BL88" s="286">
        <f>BI88*P88</f>
      </c>
      <c r="BM88" s="3"/>
      <c r="BN88" s="3"/>
      <c r="BO88" s="17"/>
    </row>
    <row x14ac:dyDescent="0.25" r="89" customHeight="1" ht="15">
      <c r="A89" s="17"/>
      <c r="B89" s="14"/>
      <c r="C89" s="3"/>
      <c r="D89" s="3"/>
      <c r="E89" s="3"/>
      <c r="F89" s="3"/>
      <c r="G89" s="16"/>
      <c r="H89" s="18"/>
      <c r="I89" s="18"/>
      <c r="J89" s="279">
        <f>H89+I89</f>
      </c>
      <c r="K89" s="1"/>
      <c r="L89" s="123">
        <f>K89*I89</f>
      </c>
      <c r="M89" s="123">
        <f>K89*J89</f>
      </c>
      <c r="N89" s="16"/>
      <c r="O89" s="16"/>
      <c r="P89" s="282">
        <f>IF(ISBLANK(N89),O89/4.3,N89/20)</f>
      </c>
      <c r="Q89" s="1"/>
      <c r="R89" s="3"/>
      <c r="S89" s="3"/>
      <c r="T89" s="256">
        <f>IF(ISBLANK(R89),0,X89)</f>
      </c>
      <c r="U89" s="256">
        <f>IF(ISBLANK(S89),0,X89)</f>
      </c>
      <c r="V89" s="284">
        <f>IFERROR(Q89/K89,0)</f>
      </c>
      <c r="W89" s="123">
        <f>IFERROR(L89*V89,0)</f>
      </c>
      <c r="X89" s="256">
        <f>IFERROR(Q89+W89,0)</f>
      </c>
      <c r="Y89" s="256">
        <f>IFERROR(M89*V89,0)</f>
      </c>
      <c r="Z89" s="256">
        <f>Y89-(Y89*$B$1)</f>
      </c>
      <c r="AA89" s="285">
        <f>IFERROR(Z89/X89,"")</f>
      </c>
      <c r="AB89" s="286">
        <f>IFERROR(IF(ISBLANK(N89),Y89/O89,Y89/N89),0)</f>
      </c>
      <c r="AC89" s="286">
        <f>IFERROR(-1*(AB89*B$1),0)</f>
      </c>
      <c r="AD89" s="286">
        <f>IFERROR(SUM(AB89:AC89),0)</f>
      </c>
      <c r="AE89" s="286">
        <f>IF(ISBLANK(N89),AD89,AD89*5)</f>
      </c>
      <c r="AF89" s="287">
        <f>SUM(AG89:AV89)</f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18"/>
      <c r="AU89" s="18"/>
      <c r="AV89" s="18"/>
      <c r="AW89" s="18"/>
      <c r="AX89" s="18"/>
      <c r="AY89" s="18"/>
      <c r="AZ89" s="18"/>
      <c r="BA89" s="18"/>
      <c r="BB89" s="18"/>
      <c r="BC89" s="16"/>
      <c r="BD89" s="16"/>
      <c r="BE89" s="16"/>
      <c r="BF89" s="286">
        <f>Z89-AF89</f>
      </c>
      <c r="BG89" s="321">
        <f>IFERROR(AF89/Y89,0)</f>
      </c>
      <c r="BH89" s="284">
        <f>IFERROR(AF89/X89,0)</f>
      </c>
      <c r="BI89" s="284">
        <f>IFERROR(X89/SUM(X$3:X$12),0)</f>
      </c>
      <c r="BJ89" s="284">
        <f>IFERROR(BF89/SUM(BF$3:BF286),0)</f>
      </c>
      <c r="BK89" s="288">
        <f>BF89/'R&amp;H Portfolio'!Q$10</f>
      </c>
      <c r="BL89" s="286">
        <f>BI89*P89</f>
      </c>
      <c r="BM89" s="3"/>
      <c r="BN89" s="3"/>
      <c r="BO89" s="17"/>
    </row>
    <row x14ac:dyDescent="0.25" r="90" customHeight="1" ht="15">
      <c r="A90" s="17"/>
      <c r="B90" s="14"/>
      <c r="C90" s="3"/>
      <c r="D90" s="3"/>
      <c r="E90" s="3"/>
      <c r="F90" s="3"/>
      <c r="G90" s="16"/>
      <c r="H90" s="18"/>
      <c r="I90" s="18"/>
      <c r="J90" s="279">
        <f>H90+I90</f>
      </c>
      <c r="K90" s="1"/>
      <c r="L90" s="123">
        <f>K90*I90</f>
      </c>
      <c r="M90" s="123">
        <f>K90*J90</f>
      </c>
      <c r="N90" s="16"/>
      <c r="O90" s="16"/>
      <c r="P90" s="282">
        <f>IF(ISBLANK(N90),O90/4.3,N90/20)</f>
      </c>
      <c r="Q90" s="1"/>
      <c r="R90" s="3"/>
      <c r="S90" s="3"/>
      <c r="T90" s="256">
        <f>IF(ISBLANK(R90),0,X90)</f>
      </c>
      <c r="U90" s="256">
        <f>IF(ISBLANK(S90),0,X90)</f>
      </c>
      <c r="V90" s="284">
        <f>IFERROR(Q90/K90,0)</f>
      </c>
      <c r="W90" s="123">
        <f>IFERROR(L90*V90,0)</f>
      </c>
      <c r="X90" s="256">
        <f>IFERROR(Q90+W90,0)</f>
      </c>
      <c r="Y90" s="256">
        <f>IFERROR(M90*V90,0)</f>
      </c>
      <c r="Z90" s="256">
        <f>Y90-(Y90*$B$1)</f>
      </c>
      <c r="AA90" s="285">
        <f>IFERROR(Z90/X90,"")</f>
      </c>
      <c r="AB90" s="286">
        <f>IFERROR(IF(ISBLANK(N90),Y90/O90,Y90/N90),0)</f>
      </c>
      <c r="AC90" s="286">
        <f>IFERROR(-1*(AB90*B$1),0)</f>
      </c>
      <c r="AD90" s="286">
        <f>IFERROR(SUM(AB90:AC90),0)</f>
      </c>
      <c r="AE90" s="286">
        <f>IF(ISBLANK(N90),AD90,AD90*5)</f>
      </c>
      <c r="AF90" s="287">
        <f>SUM(AG90:AV90)</f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18"/>
      <c r="AU90" s="18"/>
      <c r="AV90" s="18"/>
      <c r="AW90" s="18"/>
      <c r="AX90" s="18"/>
      <c r="AY90" s="18"/>
      <c r="AZ90" s="18"/>
      <c r="BA90" s="18"/>
      <c r="BB90" s="18"/>
      <c r="BC90" s="16"/>
      <c r="BD90" s="16"/>
      <c r="BE90" s="16"/>
      <c r="BF90" s="286">
        <f>Z90-AF90</f>
      </c>
      <c r="BG90" s="321">
        <f>IFERROR(AF90/Y90,0)</f>
      </c>
      <c r="BH90" s="284">
        <f>IFERROR(AF90/X90,0)</f>
      </c>
      <c r="BI90" s="284">
        <f>IFERROR(X90/SUM(X$3:X$12),0)</f>
      </c>
      <c r="BJ90" s="284">
        <f>IFERROR(BF90/SUM(BF$3:BF287),0)</f>
      </c>
      <c r="BK90" s="288">
        <f>BF90/'R&amp;H Portfolio'!Q$10</f>
      </c>
      <c r="BL90" s="286">
        <f>BI90*P90</f>
      </c>
      <c r="BM90" s="3"/>
      <c r="BN90" s="3"/>
      <c r="BO90" s="17"/>
    </row>
    <row x14ac:dyDescent="0.25" r="91" customHeight="1" ht="15">
      <c r="A91" s="17"/>
      <c r="B91" s="14"/>
      <c r="C91" s="3"/>
      <c r="D91" s="3"/>
      <c r="E91" s="3"/>
      <c r="F91" s="3"/>
      <c r="G91" s="16"/>
      <c r="H91" s="18"/>
      <c r="I91" s="18"/>
      <c r="J91" s="279">
        <f>H91+I91</f>
      </c>
      <c r="K91" s="1"/>
      <c r="L91" s="123">
        <f>K91*I91</f>
      </c>
      <c r="M91" s="123">
        <f>K91*J91</f>
      </c>
      <c r="N91" s="16"/>
      <c r="O91" s="16"/>
      <c r="P91" s="282">
        <f>IF(ISBLANK(N91),O91/4.3,N91/20)</f>
      </c>
      <c r="Q91" s="1"/>
      <c r="R91" s="3"/>
      <c r="S91" s="3"/>
      <c r="T91" s="256">
        <f>IF(ISBLANK(R91),0,X91)</f>
      </c>
      <c r="U91" s="256">
        <f>IF(ISBLANK(S91),0,X91)</f>
      </c>
      <c r="V91" s="284">
        <f>IFERROR(Q91/K91,0)</f>
      </c>
      <c r="W91" s="123">
        <f>IFERROR(L91*V91,0)</f>
      </c>
      <c r="X91" s="256">
        <f>IFERROR(Q91+W91,0)</f>
      </c>
      <c r="Y91" s="256">
        <f>IFERROR(M91*V91,0)</f>
      </c>
      <c r="Z91" s="256">
        <f>Y91-(Y91*$B$1)</f>
      </c>
      <c r="AA91" s="285">
        <f>IFERROR(Z91/X91,"")</f>
      </c>
      <c r="AB91" s="286">
        <f>IFERROR(IF(ISBLANK(N91),Y91/O91,Y91/N91),0)</f>
      </c>
      <c r="AC91" s="286">
        <f>IFERROR(-1*(AB91*B$1),0)</f>
      </c>
      <c r="AD91" s="286">
        <f>IFERROR(SUM(AB91:AC91),0)</f>
      </c>
      <c r="AE91" s="286">
        <f>IF(ISBLANK(N91),AD91,AD91*5)</f>
      </c>
      <c r="AF91" s="287">
        <f>SUM(AG91:AV91)</f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18"/>
      <c r="AU91" s="18"/>
      <c r="AV91" s="18"/>
      <c r="AW91" s="18"/>
      <c r="AX91" s="18"/>
      <c r="AY91" s="18"/>
      <c r="AZ91" s="18"/>
      <c r="BA91" s="18"/>
      <c r="BB91" s="18"/>
      <c r="BC91" s="16"/>
      <c r="BD91" s="16"/>
      <c r="BE91" s="16"/>
      <c r="BF91" s="286">
        <f>Z91-AF91</f>
      </c>
      <c r="BG91" s="321">
        <f>IFERROR(AF91/Y91,0)</f>
      </c>
      <c r="BH91" s="284">
        <f>IFERROR(AF91/X91,0)</f>
      </c>
      <c r="BI91" s="284">
        <f>IFERROR(X91/SUM(X$3:X$12),0)</f>
      </c>
      <c r="BJ91" s="284">
        <f>IFERROR(BF91/SUM(BF$3:BF288),0)</f>
      </c>
      <c r="BK91" s="288">
        <f>BF91/'R&amp;H Portfolio'!Q$10</f>
      </c>
      <c r="BL91" s="286">
        <f>BI91*P91</f>
      </c>
      <c r="BM91" s="3"/>
      <c r="BN91" s="3"/>
      <c r="BO91" s="17"/>
    </row>
    <row x14ac:dyDescent="0.25" r="92" customHeight="1" ht="15">
      <c r="A92" s="17"/>
      <c r="B92" s="14"/>
      <c r="C92" s="3"/>
      <c r="D92" s="3"/>
      <c r="E92" s="3"/>
      <c r="F92" s="3"/>
      <c r="G92" s="16"/>
      <c r="H92" s="18"/>
      <c r="I92" s="18"/>
      <c r="J92" s="279">
        <f>H92+I92</f>
      </c>
      <c r="K92" s="1"/>
      <c r="L92" s="123">
        <f>K92*I92</f>
      </c>
      <c r="M92" s="123">
        <f>K92*J92</f>
      </c>
      <c r="N92" s="16"/>
      <c r="O92" s="16"/>
      <c r="P92" s="282">
        <f>IF(ISBLANK(N92),O92/4.3,N92/20)</f>
      </c>
      <c r="Q92" s="1"/>
      <c r="R92" s="3"/>
      <c r="S92" s="3"/>
      <c r="T92" s="256">
        <f>IF(ISBLANK(R92),0,X92)</f>
      </c>
      <c r="U92" s="256">
        <f>IF(ISBLANK(S92),0,X92)</f>
      </c>
      <c r="V92" s="284">
        <f>IFERROR(Q92/K92,0)</f>
      </c>
      <c r="W92" s="123">
        <f>IFERROR(L92*V92,0)</f>
      </c>
      <c r="X92" s="256">
        <f>IFERROR(Q92+W92,0)</f>
      </c>
      <c r="Y92" s="256">
        <f>IFERROR(M92*V92,0)</f>
      </c>
      <c r="Z92" s="256">
        <f>Y92-(Y92*$B$1)</f>
      </c>
      <c r="AA92" s="285">
        <f>IFERROR(Z92/X92,"")</f>
      </c>
      <c r="AB92" s="286">
        <f>IFERROR(IF(ISBLANK(N92),Y92/O92,Y92/N92),0)</f>
      </c>
      <c r="AC92" s="286">
        <f>IFERROR(-1*(AB92*B$1),0)</f>
      </c>
      <c r="AD92" s="286">
        <f>IFERROR(SUM(AB92:AC92),0)</f>
      </c>
      <c r="AE92" s="286">
        <f>IF(ISBLANK(N92),AD92,AD92*5)</f>
      </c>
      <c r="AF92" s="287">
        <f>SUM(AG92:AV92)</f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18"/>
      <c r="AU92" s="18"/>
      <c r="AV92" s="18"/>
      <c r="AW92" s="18"/>
      <c r="AX92" s="18"/>
      <c r="AY92" s="18"/>
      <c r="AZ92" s="18"/>
      <c r="BA92" s="18"/>
      <c r="BB92" s="18"/>
      <c r="BC92" s="16"/>
      <c r="BD92" s="16"/>
      <c r="BE92" s="16"/>
      <c r="BF92" s="286">
        <f>Z92-AF92</f>
      </c>
      <c r="BG92" s="321">
        <f>IFERROR(AF92/Y92,0)</f>
      </c>
      <c r="BH92" s="284">
        <f>IFERROR(AF92/X92,0)</f>
      </c>
      <c r="BI92" s="284">
        <f>IFERROR(X92/SUM(X$3:X$12),0)</f>
      </c>
      <c r="BJ92" s="284">
        <f>IFERROR(BF92/SUM(BF$3:BF289),0)</f>
      </c>
      <c r="BK92" s="288">
        <f>BF92/'R&amp;H Portfolio'!Q$10</f>
      </c>
      <c r="BL92" s="286">
        <f>BI92*P92</f>
      </c>
      <c r="BM92" s="3"/>
      <c r="BN92" s="3"/>
      <c r="BO92" s="17"/>
    </row>
    <row x14ac:dyDescent="0.25" r="93" customHeight="1" ht="15">
      <c r="A93" s="17"/>
      <c r="B93" s="14"/>
      <c r="C93" s="3"/>
      <c r="D93" s="3"/>
      <c r="E93" s="3"/>
      <c r="F93" s="3"/>
      <c r="G93" s="16"/>
      <c r="H93" s="18"/>
      <c r="I93" s="18"/>
      <c r="J93" s="279">
        <f>H93+I93</f>
      </c>
      <c r="K93" s="1"/>
      <c r="L93" s="123">
        <f>K93*I93</f>
      </c>
      <c r="M93" s="123">
        <f>K93*J93</f>
      </c>
      <c r="N93" s="16"/>
      <c r="O93" s="16"/>
      <c r="P93" s="282">
        <f>IF(ISBLANK(N93),O93/4.3,N93/20)</f>
      </c>
      <c r="Q93" s="1"/>
      <c r="R93" s="3"/>
      <c r="S93" s="3"/>
      <c r="T93" s="256">
        <f>IF(ISBLANK(R93),0,X93)</f>
      </c>
      <c r="U93" s="256">
        <f>IF(ISBLANK(S93),0,X93)</f>
      </c>
      <c r="V93" s="284">
        <f>IFERROR(Q93/K93,0)</f>
      </c>
      <c r="W93" s="123">
        <f>IFERROR(L93*V93,0)</f>
      </c>
      <c r="X93" s="256">
        <f>IFERROR(Q93+W93,0)</f>
      </c>
      <c r="Y93" s="256">
        <f>IFERROR(M93*V93,0)</f>
      </c>
      <c r="Z93" s="256">
        <f>Y93-(Y93*$B$1)</f>
      </c>
      <c r="AA93" s="285">
        <f>IFERROR(Z93/X93,"")</f>
      </c>
      <c r="AB93" s="286">
        <f>IFERROR(IF(ISBLANK(N93),Y93/O93,Y93/N93),0)</f>
      </c>
      <c r="AC93" s="286">
        <f>IFERROR(-1*(AB93*B$1),0)</f>
      </c>
      <c r="AD93" s="286">
        <f>IFERROR(SUM(AB93:AC93),0)</f>
      </c>
      <c r="AE93" s="286">
        <f>IF(ISBLANK(N93),AD93,AD93*5)</f>
      </c>
      <c r="AF93" s="287">
        <f>SUM(AG93:AV93)</f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18"/>
      <c r="AU93" s="18"/>
      <c r="AV93" s="18"/>
      <c r="AW93" s="18"/>
      <c r="AX93" s="18"/>
      <c r="AY93" s="18"/>
      <c r="AZ93" s="18"/>
      <c r="BA93" s="18"/>
      <c r="BB93" s="18"/>
      <c r="BC93" s="16"/>
      <c r="BD93" s="16"/>
      <c r="BE93" s="16"/>
      <c r="BF93" s="286">
        <f>Z93-AF93</f>
      </c>
      <c r="BG93" s="321">
        <f>IFERROR(AF93/Y93,0)</f>
      </c>
      <c r="BH93" s="284">
        <f>IFERROR(AF93/X93,0)</f>
      </c>
      <c r="BI93" s="284">
        <f>IFERROR(X93/SUM(X$3:X$12),0)</f>
      </c>
      <c r="BJ93" s="284">
        <f>IFERROR(BF93/SUM(BF$3:BF290),0)</f>
      </c>
      <c r="BK93" s="288">
        <f>BF93/'R&amp;H Portfolio'!Q$10</f>
      </c>
      <c r="BL93" s="286">
        <f>BI93*P93</f>
      </c>
      <c r="BM93" s="3"/>
      <c r="BN93" s="3"/>
      <c r="BO93" s="17"/>
    </row>
    <row x14ac:dyDescent="0.25" r="94" customHeight="1" ht="15">
      <c r="A94" s="17"/>
      <c r="B94" s="14"/>
      <c r="C94" s="3"/>
      <c r="D94" s="3"/>
      <c r="E94" s="3"/>
      <c r="F94" s="3"/>
      <c r="G94" s="16"/>
      <c r="H94" s="18"/>
      <c r="I94" s="18"/>
      <c r="J94" s="279">
        <f>H94+I94</f>
      </c>
      <c r="K94" s="1"/>
      <c r="L94" s="123">
        <f>K94*I94</f>
      </c>
      <c r="M94" s="123">
        <f>K94*J94</f>
      </c>
      <c r="N94" s="16"/>
      <c r="O94" s="16"/>
      <c r="P94" s="282">
        <f>IF(ISBLANK(N94),O94/4.3,N94/20)</f>
      </c>
      <c r="Q94" s="1"/>
      <c r="R94" s="3"/>
      <c r="S94" s="3"/>
      <c r="T94" s="256">
        <f>IF(ISBLANK(R94),0,X94)</f>
      </c>
      <c r="U94" s="256">
        <f>IF(ISBLANK(S94),0,X94)</f>
      </c>
      <c r="V94" s="284">
        <f>IFERROR(Q94/K94,0)</f>
      </c>
      <c r="W94" s="123">
        <f>IFERROR(L94*V94,0)</f>
      </c>
      <c r="X94" s="256">
        <f>IFERROR(Q94+W94,0)</f>
      </c>
      <c r="Y94" s="256">
        <f>IFERROR(M94*V94,0)</f>
      </c>
      <c r="Z94" s="256">
        <f>Y94-(Y94*$B$1)</f>
      </c>
      <c r="AA94" s="285">
        <f>IFERROR(Z94/X94,"")</f>
      </c>
      <c r="AB94" s="286">
        <f>IFERROR(IF(ISBLANK(N94),Y94/O94,Y94/N94),0)</f>
      </c>
      <c r="AC94" s="286">
        <f>IFERROR(-1*(AB94*B$1),0)</f>
      </c>
      <c r="AD94" s="286">
        <f>IFERROR(SUM(AB94:AC94),0)</f>
      </c>
      <c r="AE94" s="286">
        <f>IF(ISBLANK(N94),AD94,AD94*5)</f>
      </c>
      <c r="AF94" s="287">
        <f>SUM(AG94:AV94)</f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18"/>
      <c r="AU94" s="18"/>
      <c r="AV94" s="18"/>
      <c r="AW94" s="18"/>
      <c r="AX94" s="18"/>
      <c r="AY94" s="18"/>
      <c r="AZ94" s="18"/>
      <c r="BA94" s="18"/>
      <c r="BB94" s="18"/>
      <c r="BC94" s="16"/>
      <c r="BD94" s="16"/>
      <c r="BE94" s="16"/>
      <c r="BF94" s="286">
        <f>Z94-AF94</f>
      </c>
      <c r="BG94" s="321">
        <f>IFERROR(AF94/Y94,0)</f>
      </c>
      <c r="BH94" s="284">
        <f>IFERROR(AF94/X94,0)</f>
      </c>
      <c r="BI94" s="284">
        <f>IFERROR(X94/SUM(X$3:X$12),0)</f>
      </c>
      <c r="BJ94" s="284">
        <f>IFERROR(BF94/SUM(BF$3:BF291),0)</f>
      </c>
      <c r="BK94" s="288">
        <f>BF94/'R&amp;H Portfolio'!Q$10</f>
      </c>
      <c r="BL94" s="286">
        <f>BI94*P94</f>
      </c>
      <c r="BM94" s="3"/>
      <c r="BN94" s="3"/>
      <c r="BO94" s="17"/>
    </row>
    <row x14ac:dyDescent="0.25" r="95" customHeight="1" ht="15">
      <c r="A95" s="17"/>
      <c r="B95" s="14"/>
      <c r="C95" s="3"/>
      <c r="D95" s="3"/>
      <c r="E95" s="3"/>
      <c r="F95" s="3"/>
      <c r="G95" s="16"/>
      <c r="H95" s="18"/>
      <c r="I95" s="18"/>
      <c r="J95" s="279">
        <f>H95+I95</f>
      </c>
      <c r="K95" s="1"/>
      <c r="L95" s="123">
        <f>K95*I95</f>
      </c>
      <c r="M95" s="123">
        <f>K95*J95</f>
      </c>
      <c r="N95" s="16"/>
      <c r="O95" s="16"/>
      <c r="P95" s="282">
        <f>IF(ISBLANK(N95),O95/4.3,N95/20)</f>
      </c>
      <c r="Q95" s="1"/>
      <c r="R95" s="3"/>
      <c r="S95" s="3"/>
      <c r="T95" s="256">
        <f>IF(ISBLANK(R95),0,X95)</f>
      </c>
      <c r="U95" s="256">
        <f>IF(ISBLANK(S95),0,X95)</f>
      </c>
      <c r="V95" s="284">
        <f>IFERROR(Q95/K95,0)</f>
      </c>
      <c r="W95" s="123">
        <f>IFERROR(L95*V95,0)</f>
      </c>
      <c r="X95" s="256">
        <f>IFERROR(Q95+W95,0)</f>
      </c>
      <c r="Y95" s="256">
        <f>IFERROR(M95*V95,0)</f>
      </c>
      <c r="Z95" s="256">
        <f>Y95-(Y95*$B$1)</f>
      </c>
      <c r="AA95" s="285">
        <f>IFERROR(Z95/X95,"")</f>
      </c>
      <c r="AB95" s="286">
        <f>IFERROR(IF(ISBLANK(N95),Y95/O95,Y95/N95),0)</f>
      </c>
      <c r="AC95" s="286">
        <f>IFERROR(-1*(AB95*B$1),0)</f>
      </c>
      <c r="AD95" s="286">
        <f>IFERROR(SUM(AB95:AC95),0)</f>
      </c>
      <c r="AE95" s="286">
        <f>IF(ISBLANK(N95),AD95,AD95*5)</f>
      </c>
      <c r="AF95" s="287">
        <f>SUM(AG95:AV95)</f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18"/>
      <c r="AU95" s="18"/>
      <c r="AV95" s="18"/>
      <c r="AW95" s="18"/>
      <c r="AX95" s="18"/>
      <c r="AY95" s="18"/>
      <c r="AZ95" s="18"/>
      <c r="BA95" s="18"/>
      <c r="BB95" s="18"/>
      <c r="BC95" s="16"/>
      <c r="BD95" s="16"/>
      <c r="BE95" s="16"/>
      <c r="BF95" s="286">
        <f>Z95-AF95</f>
      </c>
      <c r="BG95" s="321">
        <f>IFERROR(AF95/Y95,0)</f>
      </c>
      <c r="BH95" s="284">
        <f>IFERROR(AF95/X95,0)</f>
      </c>
      <c r="BI95" s="284">
        <f>IFERROR(X95/SUM(X$3:X$12),0)</f>
      </c>
      <c r="BJ95" s="284">
        <f>IFERROR(BF95/SUM(BF$3:BF292),0)</f>
      </c>
      <c r="BK95" s="288">
        <f>BF95/'R&amp;H Portfolio'!Q$10</f>
      </c>
      <c r="BL95" s="286">
        <f>BI95*P95</f>
      </c>
      <c r="BM95" s="3"/>
      <c r="BN95" s="3"/>
      <c r="BO95" s="17"/>
    </row>
    <row x14ac:dyDescent="0.25" r="96" customHeight="1" ht="15">
      <c r="A96" s="17"/>
      <c r="B96" s="14"/>
      <c r="C96" s="3"/>
      <c r="D96" s="3"/>
      <c r="E96" s="3"/>
      <c r="F96" s="3"/>
      <c r="G96" s="16"/>
      <c r="H96" s="18"/>
      <c r="I96" s="18"/>
      <c r="J96" s="279">
        <f>H96+I96</f>
      </c>
      <c r="K96" s="1"/>
      <c r="L96" s="123">
        <f>K96*I96</f>
      </c>
      <c r="M96" s="123">
        <f>K96*J96</f>
      </c>
      <c r="N96" s="16"/>
      <c r="O96" s="16"/>
      <c r="P96" s="282">
        <f>IF(ISBLANK(N96),O96/4.3,N96/20)</f>
      </c>
      <c r="Q96" s="1"/>
      <c r="R96" s="3"/>
      <c r="S96" s="3"/>
      <c r="T96" s="256">
        <f>IF(ISBLANK(R96),0,X96)</f>
      </c>
      <c r="U96" s="256">
        <f>IF(ISBLANK(S96),0,X96)</f>
      </c>
      <c r="V96" s="284">
        <f>IFERROR(Q96/K96,0)</f>
      </c>
      <c r="W96" s="123">
        <f>IFERROR(L96*V96,0)</f>
      </c>
      <c r="X96" s="256">
        <f>IFERROR(Q96+W96,0)</f>
      </c>
      <c r="Y96" s="256">
        <f>IFERROR(M96*V96,0)</f>
      </c>
      <c r="Z96" s="256">
        <f>Y96-(Y96*$B$1)</f>
      </c>
      <c r="AA96" s="285">
        <f>IFERROR(Z96/X96,"")</f>
      </c>
      <c r="AB96" s="286">
        <f>IFERROR(IF(ISBLANK(N96),Y96/O96,Y96/N96),0)</f>
      </c>
      <c r="AC96" s="286">
        <f>IFERROR(-1*(AB96*B$1),0)</f>
      </c>
      <c r="AD96" s="286">
        <f>IFERROR(SUM(AB96:AC96),0)</f>
      </c>
      <c r="AE96" s="286">
        <f>IF(ISBLANK(N96),AD96,AD96*5)</f>
      </c>
      <c r="AF96" s="287">
        <f>SUM(AG96:AV96)</f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18"/>
      <c r="AU96" s="18"/>
      <c r="AV96" s="18"/>
      <c r="AW96" s="18"/>
      <c r="AX96" s="18"/>
      <c r="AY96" s="18"/>
      <c r="AZ96" s="18"/>
      <c r="BA96" s="18"/>
      <c r="BB96" s="18"/>
      <c r="BC96" s="16"/>
      <c r="BD96" s="16"/>
      <c r="BE96" s="16"/>
      <c r="BF96" s="286">
        <f>Z96-AF96</f>
      </c>
      <c r="BG96" s="321">
        <f>IFERROR(AF96/Y96,0)</f>
      </c>
      <c r="BH96" s="284">
        <f>IFERROR(AF96/X96,0)</f>
      </c>
      <c r="BI96" s="284">
        <f>IFERROR(X96/SUM(X$3:X$12),0)</f>
      </c>
      <c r="BJ96" s="284">
        <f>IFERROR(BF96/SUM(BF$3:BF293),0)</f>
      </c>
      <c r="BK96" s="288">
        <f>BF96/'R&amp;H Portfolio'!Q$10</f>
      </c>
      <c r="BL96" s="286">
        <f>BI96*P96</f>
      </c>
      <c r="BM96" s="3"/>
      <c r="BN96" s="3"/>
      <c r="BO96" s="17"/>
    </row>
    <row x14ac:dyDescent="0.25" r="97" customHeight="1" ht="15">
      <c r="A97" s="17"/>
      <c r="B97" s="14"/>
      <c r="C97" s="3"/>
      <c r="D97" s="3"/>
      <c r="E97" s="3"/>
      <c r="F97" s="3"/>
      <c r="G97" s="16"/>
      <c r="H97" s="18"/>
      <c r="I97" s="18"/>
      <c r="J97" s="279">
        <f>H97+I97</f>
      </c>
      <c r="K97" s="1"/>
      <c r="L97" s="123">
        <f>K97*I97</f>
      </c>
      <c r="M97" s="123">
        <f>K97*J97</f>
      </c>
      <c r="N97" s="16"/>
      <c r="O97" s="16"/>
      <c r="P97" s="282">
        <f>IF(ISBLANK(N97),O97/4.3,N97/20)</f>
      </c>
      <c r="Q97" s="1"/>
      <c r="R97" s="3"/>
      <c r="S97" s="3"/>
      <c r="T97" s="256">
        <f>IF(ISBLANK(R97),0,X97)</f>
      </c>
      <c r="U97" s="256">
        <f>IF(ISBLANK(S97),0,X97)</f>
      </c>
      <c r="V97" s="284">
        <f>IFERROR(Q97/K97,0)</f>
      </c>
      <c r="W97" s="123">
        <f>IFERROR(L97*V97,0)</f>
      </c>
      <c r="X97" s="256">
        <f>IFERROR(Q97+W97,0)</f>
      </c>
      <c r="Y97" s="256">
        <f>IFERROR(M97*V97,0)</f>
      </c>
      <c r="Z97" s="256">
        <f>Y97-(Y97*$B$1)</f>
      </c>
      <c r="AA97" s="285">
        <f>IFERROR(Z97/X97,"")</f>
      </c>
      <c r="AB97" s="286">
        <f>IFERROR(IF(ISBLANK(N97),Y97/O97,Y97/N97),0)</f>
      </c>
      <c r="AC97" s="286">
        <f>IFERROR(-1*(AB97*B$1),0)</f>
      </c>
      <c r="AD97" s="286">
        <f>IFERROR(SUM(AB97:AC97),0)</f>
      </c>
      <c r="AE97" s="286">
        <f>IF(ISBLANK(N97),AD97,AD97*5)</f>
      </c>
      <c r="AF97" s="287">
        <f>SUM(AG97:AV97)</f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18"/>
      <c r="AU97" s="18"/>
      <c r="AV97" s="18"/>
      <c r="AW97" s="18"/>
      <c r="AX97" s="18"/>
      <c r="AY97" s="18"/>
      <c r="AZ97" s="18"/>
      <c r="BA97" s="18"/>
      <c r="BB97" s="18"/>
      <c r="BC97" s="16"/>
      <c r="BD97" s="16"/>
      <c r="BE97" s="16"/>
      <c r="BF97" s="286">
        <f>Z97-AF97</f>
      </c>
      <c r="BG97" s="321">
        <f>IFERROR(AF97/Y97,0)</f>
      </c>
      <c r="BH97" s="284">
        <f>IFERROR(AF97/X97,0)</f>
      </c>
      <c r="BI97" s="284">
        <f>IFERROR(X97/SUM(X$3:X$12),0)</f>
      </c>
      <c r="BJ97" s="284">
        <f>IFERROR(BF97/SUM(BF$3:BF294),0)</f>
      </c>
      <c r="BK97" s="288">
        <f>BF97/'R&amp;H Portfolio'!Q$10</f>
      </c>
      <c r="BL97" s="286">
        <f>BI97*P97</f>
      </c>
      <c r="BM97" s="3"/>
      <c r="BN97" s="3"/>
      <c r="BO97" s="17"/>
    </row>
    <row x14ac:dyDescent="0.25" r="98" customHeight="1" ht="15">
      <c r="A98" s="17"/>
      <c r="B98" s="14"/>
      <c r="C98" s="3"/>
      <c r="D98" s="3"/>
      <c r="E98" s="3"/>
      <c r="F98" s="3"/>
      <c r="G98" s="16"/>
      <c r="H98" s="18"/>
      <c r="I98" s="18"/>
      <c r="J98" s="279">
        <f>H98+I98</f>
      </c>
      <c r="K98" s="1"/>
      <c r="L98" s="123">
        <f>K98*I98</f>
      </c>
      <c r="M98" s="123">
        <f>K98*J98</f>
      </c>
      <c r="N98" s="16"/>
      <c r="O98" s="16"/>
      <c r="P98" s="282">
        <f>IF(ISBLANK(N98),O98/4.3,N98/20)</f>
      </c>
      <c r="Q98" s="1"/>
      <c r="R98" s="3"/>
      <c r="S98" s="3"/>
      <c r="T98" s="256">
        <f>IF(ISBLANK(R98),0,X98)</f>
      </c>
      <c r="U98" s="256">
        <f>IF(ISBLANK(S98),0,X98)</f>
      </c>
      <c r="V98" s="284">
        <f>IFERROR(Q98/K98,0)</f>
      </c>
      <c r="W98" s="123">
        <f>IFERROR(L98*V98,0)</f>
      </c>
      <c r="X98" s="256">
        <f>IFERROR(Q98+W98,0)</f>
      </c>
      <c r="Y98" s="256">
        <f>IFERROR(M98*V98,0)</f>
      </c>
      <c r="Z98" s="256">
        <f>Y98-(Y98*$B$1)</f>
      </c>
      <c r="AA98" s="285">
        <f>IFERROR(Z98/X98,"")</f>
      </c>
      <c r="AB98" s="286">
        <f>IFERROR(IF(ISBLANK(N98),Y98/O98,Y98/N98),0)</f>
      </c>
      <c r="AC98" s="286">
        <f>IFERROR(-1*(AB98*B$1),0)</f>
      </c>
      <c r="AD98" s="286">
        <f>IFERROR(SUM(AB98:AC98),0)</f>
      </c>
      <c r="AE98" s="286">
        <f>IF(ISBLANK(N98),AD98,AD98*5)</f>
      </c>
      <c r="AF98" s="287">
        <f>SUM(AG98:AV98)</f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18"/>
      <c r="AU98" s="18"/>
      <c r="AV98" s="18"/>
      <c r="AW98" s="18"/>
      <c r="AX98" s="18"/>
      <c r="AY98" s="18"/>
      <c r="AZ98" s="18"/>
      <c r="BA98" s="18"/>
      <c r="BB98" s="18"/>
      <c r="BC98" s="16"/>
      <c r="BD98" s="16"/>
      <c r="BE98" s="16"/>
      <c r="BF98" s="286">
        <f>Z98-AF98</f>
      </c>
      <c r="BG98" s="321">
        <f>IFERROR(AF98/Y98,0)</f>
      </c>
      <c r="BH98" s="284">
        <f>IFERROR(AF98/X98,0)</f>
      </c>
      <c r="BI98" s="284">
        <f>IFERROR(X98/SUM(X$3:X$12),0)</f>
      </c>
      <c r="BJ98" s="284">
        <f>IFERROR(BF98/SUM(BF$3:BF295),0)</f>
      </c>
      <c r="BK98" s="288">
        <f>BF98/'R&amp;H Portfolio'!Q$10</f>
      </c>
      <c r="BL98" s="286">
        <f>BI98*P98</f>
      </c>
      <c r="BM98" s="3"/>
      <c r="BN98" s="3"/>
      <c r="BO98" s="17"/>
    </row>
    <row x14ac:dyDescent="0.25" r="99" customHeight="1" ht="15">
      <c r="A99" s="17"/>
      <c r="B99" s="14"/>
      <c r="C99" s="3"/>
      <c r="D99" s="3"/>
      <c r="E99" s="3"/>
      <c r="F99" s="3"/>
      <c r="G99" s="16"/>
      <c r="H99" s="18"/>
      <c r="I99" s="18"/>
      <c r="J99" s="279">
        <f>H99+I99</f>
      </c>
      <c r="K99" s="1"/>
      <c r="L99" s="123">
        <f>K99*I99</f>
      </c>
      <c r="M99" s="123">
        <f>K99*J99</f>
      </c>
      <c r="N99" s="16"/>
      <c r="O99" s="16"/>
      <c r="P99" s="282">
        <f>IF(ISBLANK(N99),O99/4.3,N99/20)</f>
      </c>
      <c r="Q99" s="1"/>
      <c r="R99" s="3"/>
      <c r="S99" s="3"/>
      <c r="T99" s="256">
        <f>IF(ISBLANK(R99),0,X99)</f>
      </c>
      <c r="U99" s="256">
        <f>IF(ISBLANK(S99),0,X99)</f>
      </c>
      <c r="V99" s="284">
        <f>IFERROR(Q99/K99,0)</f>
      </c>
      <c r="W99" s="123">
        <f>IFERROR(L99*V99,0)</f>
      </c>
      <c r="X99" s="256">
        <f>IFERROR(Q99+W99,0)</f>
      </c>
      <c r="Y99" s="256">
        <f>IFERROR(M99*V99,0)</f>
      </c>
      <c r="Z99" s="256">
        <f>Y99-(Y99*$B$1)</f>
      </c>
      <c r="AA99" s="285">
        <f>IFERROR(Z99/X99,"")</f>
      </c>
      <c r="AB99" s="286">
        <f>IFERROR(IF(ISBLANK(N99),Y99/O99,Y99/N99),0)</f>
      </c>
      <c r="AC99" s="286">
        <f>IFERROR(-1*(AB99*B$1),0)</f>
      </c>
      <c r="AD99" s="286">
        <f>IFERROR(SUM(AB99:AC99),0)</f>
      </c>
      <c r="AE99" s="286">
        <f>IF(ISBLANK(N99),AD99,AD99*5)</f>
      </c>
      <c r="AF99" s="287">
        <f>SUM(AG99:AV99)</f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18"/>
      <c r="AU99" s="18"/>
      <c r="AV99" s="18"/>
      <c r="AW99" s="18"/>
      <c r="AX99" s="18"/>
      <c r="AY99" s="18"/>
      <c r="AZ99" s="18"/>
      <c r="BA99" s="18"/>
      <c r="BB99" s="18"/>
      <c r="BC99" s="16"/>
      <c r="BD99" s="16"/>
      <c r="BE99" s="16"/>
      <c r="BF99" s="286">
        <f>Z99-AF99</f>
      </c>
      <c r="BG99" s="321">
        <f>IFERROR(AF99/Y99,0)</f>
      </c>
      <c r="BH99" s="284">
        <f>IFERROR(AF99/X99,0)</f>
      </c>
      <c r="BI99" s="284">
        <f>IFERROR(X99/SUM(X$3:X$12),0)</f>
      </c>
      <c r="BJ99" s="284">
        <f>IFERROR(BF99/SUM(BF$3:BF296),0)</f>
      </c>
      <c r="BK99" s="288">
        <f>BF99/'R&amp;H Portfolio'!Q$10</f>
      </c>
      <c r="BL99" s="286">
        <f>BI99*P99</f>
      </c>
      <c r="BM99" s="3"/>
      <c r="BN99" s="3"/>
      <c r="BO99" s="17"/>
    </row>
    <row x14ac:dyDescent="0.25" r="100" customHeight="1" ht="15">
      <c r="A100" s="17"/>
      <c r="B100" s="14"/>
      <c r="C100" s="3"/>
      <c r="D100" s="3"/>
      <c r="E100" s="3"/>
      <c r="F100" s="3"/>
      <c r="G100" s="16"/>
      <c r="H100" s="18"/>
      <c r="I100" s="18"/>
      <c r="J100" s="279">
        <f>H100+I100</f>
      </c>
      <c r="K100" s="1"/>
      <c r="L100" s="123">
        <f>K100*I100</f>
      </c>
      <c r="M100" s="123">
        <f>K100*J100</f>
      </c>
      <c r="N100" s="16"/>
      <c r="O100" s="16"/>
      <c r="P100" s="282">
        <f>IF(ISBLANK(N100),O100/4.3,N100/20)</f>
      </c>
      <c r="Q100" s="1"/>
      <c r="R100" s="3"/>
      <c r="S100" s="3"/>
      <c r="T100" s="256">
        <f>IF(ISBLANK(R100),0,X100)</f>
      </c>
      <c r="U100" s="256">
        <f>IF(ISBLANK(S100),0,X100)</f>
      </c>
      <c r="V100" s="284">
        <f>IFERROR(Q100/K100,0)</f>
      </c>
      <c r="W100" s="123">
        <f>IFERROR(L100*V100,0)</f>
      </c>
      <c r="X100" s="256">
        <f>IFERROR(Q100+W100,0)</f>
      </c>
      <c r="Y100" s="256">
        <f>IFERROR(M100*V100,0)</f>
      </c>
      <c r="Z100" s="256">
        <f>Y100-(Y100*$B$1)</f>
      </c>
      <c r="AA100" s="285">
        <f>IFERROR(Z100/X100,"")</f>
      </c>
      <c r="AB100" s="286">
        <f>IFERROR(IF(ISBLANK(N100),Y100/O100,Y100/N100),0)</f>
      </c>
      <c r="AC100" s="286">
        <f>IFERROR(-1*(AB100*B$1),0)</f>
      </c>
      <c r="AD100" s="286">
        <f>IFERROR(SUM(AB100:AC100),0)</f>
      </c>
      <c r="AE100" s="286">
        <f>IF(ISBLANK(N100),AD100,AD100*5)</f>
      </c>
      <c r="AF100" s="287">
        <f>SUM(AG100:AV100)</f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18"/>
      <c r="AU100" s="18"/>
      <c r="AV100" s="18"/>
      <c r="AW100" s="18"/>
      <c r="AX100" s="18"/>
      <c r="AY100" s="18"/>
      <c r="AZ100" s="18"/>
      <c r="BA100" s="18"/>
      <c r="BB100" s="18"/>
      <c r="BC100" s="16"/>
      <c r="BD100" s="16"/>
      <c r="BE100" s="16"/>
      <c r="BF100" s="286">
        <f>Z100-AF100</f>
      </c>
      <c r="BG100" s="321">
        <f>IFERROR(AF100/Y100,0)</f>
      </c>
      <c r="BH100" s="284">
        <f>IFERROR(AF100/X100,0)</f>
      </c>
      <c r="BI100" s="284">
        <f>IFERROR(X100/SUM(X$3:X$12),0)</f>
      </c>
      <c r="BJ100" s="284">
        <f>IFERROR(BF100/SUM(BF$3:BF297),0)</f>
      </c>
      <c r="BK100" s="288">
        <f>BF100/'R&amp;H Portfolio'!Q$10</f>
      </c>
      <c r="BL100" s="286">
        <f>BI100*P100</f>
      </c>
      <c r="BM100" s="3"/>
      <c r="BN100" s="3"/>
      <c r="BO100" s="17"/>
    </row>
    <row x14ac:dyDescent="0.25" r="101" customHeight="1" ht="15">
      <c r="A101" s="17"/>
      <c r="B101" s="14"/>
      <c r="C101" s="3"/>
      <c r="D101" s="3"/>
      <c r="E101" s="3"/>
      <c r="F101" s="3"/>
      <c r="G101" s="16"/>
      <c r="H101" s="18"/>
      <c r="I101" s="18"/>
      <c r="J101" s="279">
        <f>H101+I101</f>
      </c>
      <c r="K101" s="1"/>
      <c r="L101" s="123">
        <f>K101*I101</f>
      </c>
      <c r="M101" s="123">
        <f>K101*J101</f>
      </c>
      <c r="N101" s="16"/>
      <c r="O101" s="16"/>
      <c r="P101" s="282">
        <f>IF(ISBLANK(N101),O101/4.3,N101/20)</f>
      </c>
      <c r="Q101" s="1"/>
      <c r="R101" s="3"/>
      <c r="S101" s="3"/>
      <c r="T101" s="256">
        <f>IF(ISBLANK(R101),0,X101)</f>
      </c>
      <c r="U101" s="256">
        <f>IF(ISBLANK(S101),0,X101)</f>
      </c>
      <c r="V101" s="284">
        <f>IFERROR(Q101/K101,0)</f>
      </c>
      <c r="W101" s="123">
        <f>IFERROR(L101*V101,0)</f>
      </c>
      <c r="X101" s="256">
        <f>IFERROR(Q101+W101,0)</f>
      </c>
      <c r="Y101" s="256">
        <f>IFERROR(M101*V101,0)</f>
      </c>
      <c r="Z101" s="256">
        <f>Y101-(Y101*$B$1)</f>
      </c>
      <c r="AA101" s="285">
        <f>IFERROR(Z101/X101,"")</f>
      </c>
      <c r="AB101" s="286">
        <f>IFERROR(IF(ISBLANK(N101),Y101/O101,Y101/N101),0)</f>
      </c>
      <c r="AC101" s="286">
        <f>IFERROR(-1*(AB101*B$1),0)</f>
      </c>
      <c r="AD101" s="286">
        <f>IFERROR(SUM(AB101:AC101),0)</f>
      </c>
      <c r="AE101" s="286">
        <f>IF(ISBLANK(N101),AD101,AD101*5)</f>
      </c>
      <c r="AF101" s="287">
        <f>SUM(AG101:AV101)</f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18"/>
      <c r="AU101" s="18"/>
      <c r="AV101" s="18"/>
      <c r="AW101" s="18"/>
      <c r="AX101" s="18"/>
      <c r="AY101" s="18"/>
      <c r="AZ101" s="18"/>
      <c r="BA101" s="18"/>
      <c r="BB101" s="18"/>
      <c r="BC101" s="16"/>
      <c r="BD101" s="16"/>
      <c r="BE101" s="16"/>
      <c r="BF101" s="286">
        <f>Z101-AF101</f>
      </c>
      <c r="BG101" s="321">
        <f>IFERROR(AF101/Y101,0)</f>
      </c>
      <c r="BH101" s="284">
        <f>IFERROR(AF101/X101,0)</f>
      </c>
      <c r="BI101" s="284">
        <f>IFERROR(X101/SUM(X$3:X$12),0)</f>
      </c>
      <c r="BJ101" s="284">
        <f>IFERROR(BF101/SUM(BF$3:BF298),0)</f>
      </c>
      <c r="BK101" s="288">
        <f>BF101/'R&amp;H Portfolio'!Q$10</f>
      </c>
      <c r="BL101" s="286">
        <f>BI101*P101</f>
      </c>
      <c r="BM101" s="3"/>
      <c r="BN101" s="3"/>
      <c r="BO101" s="17"/>
    </row>
    <row x14ac:dyDescent="0.25" r="102" customHeight="1" ht="15">
      <c r="A102" s="17"/>
      <c r="B102" s="14"/>
      <c r="C102" s="3"/>
      <c r="D102" s="3"/>
      <c r="E102" s="3"/>
      <c r="F102" s="3"/>
      <c r="G102" s="16"/>
      <c r="H102" s="18"/>
      <c r="I102" s="18"/>
      <c r="J102" s="279">
        <f>H102+I102</f>
      </c>
      <c r="K102" s="1"/>
      <c r="L102" s="123">
        <f>K102*I102</f>
      </c>
      <c r="M102" s="123">
        <f>K102*J102</f>
      </c>
      <c r="N102" s="16"/>
      <c r="O102" s="16"/>
      <c r="P102" s="282">
        <f>IF(ISBLANK(N102),O102/4.3,N102/20)</f>
      </c>
      <c r="Q102" s="1"/>
      <c r="R102" s="3"/>
      <c r="S102" s="3"/>
      <c r="T102" s="256">
        <f>IF(ISBLANK(R102),0,X102)</f>
      </c>
      <c r="U102" s="256">
        <f>IF(ISBLANK(S102),0,X102)</f>
      </c>
      <c r="V102" s="284">
        <f>IFERROR(Q102/K102,0)</f>
      </c>
      <c r="W102" s="123">
        <f>IFERROR(L102*V102,0)</f>
      </c>
      <c r="X102" s="256">
        <f>IFERROR(Q102+W102,0)</f>
      </c>
      <c r="Y102" s="256">
        <f>IFERROR(M102*V102,0)</f>
      </c>
      <c r="Z102" s="256">
        <f>Y102-(Y102*$B$1)</f>
      </c>
      <c r="AA102" s="285">
        <f>IFERROR(Z102/X102,"")</f>
      </c>
      <c r="AB102" s="286">
        <f>IFERROR(IF(ISBLANK(N102),Y102/O102,Y102/N102),0)</f>
      </c>
      <c r="AC102" s="286">
        <f>IFERROR(-1*(AB102*B$1),0)</f>
      </c>
      <c r="AD102" s="286">
        <f>IFERROR(SUM(AB102:AC102),0)</f>
      </c>
      <c r="AE102" s="286">
        <f>IF(ISBLANK(N102),AD102,AD102*5)</f>
      </c>
      <c r="AF102" s="287">
        <f>SUM(AG102:AV102)</f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18"/>
      <c r="AU102" s="18"/>
      <c r="AV102" s="18"/>
      <c r="AW102" s="18"/>
      <c r="AX102" s="18"/>
      <c r="AY102" s="18"/>
      <c r="AZ102" s="18"/>
      <c r="BA102" s="18"/>
      <c r="BB102" s="18"/>
      <c r="BC102" s="16"/>
      <c r="BD102" s="16"/>
      <c r="BE102" s="16"/>
      <c r="BF102" s="286">
        <f>Z102-AF102</f>
      </c>
      <c r="BG102" s="321">
        <f>IFERROR(AF102/Y102,0)</f>
      </c>
      <c r="BH102" s="284">
        <f>IFERROR(AF102/X102,0)</f>
      </c>
      <c r="BI102" s="284">
        <f>IFERROR(X102/SUM(X$3:X$12),0)</f>
      </c>
      <c r="BJ102" s="284">
        <f>IFERROR(BF102/SUM(BF$3:BF299),0)</f>
      </c>
      <c r="BK102" s="288">
        <f>BF102/'R&amp;H Portfolio'!Q$10</f>
      </c>
      <c r="BL102" s="286">
        <f>BI102*P102</f>
      </c>
      <c r="BM102" s="3"/>
      <c r="BN102" s="3"/>
      <c r="BO102" s="17"/>
    </row>
    <row x14ac:dyDescent="0.25" r="103" customHeight="1" ht="15">
      <c r="A103" s="17"/>
      <c r="B103" s="14"/>
      <c r="C103" s="3"/>
      <c r="D103" s="3"/>
      <c r="E103" s="3"/>
      <c r="F103" s="3"/>
      <c r="G103" s="16"/>
      <c r="H103" s="18"/>
      <c r="I103" s="18"/>
      <c r="J103" s="279">
        <f>H103+I103</f>
      </c>
      <c r="K103" s="1"/>
      <c r="L103" s="123">
        <f>K103*I103</f>
      </c>
      <c r="M103" s="123">
        <f>K103*J103</f>
      </c>
      <c r="N103" s="16"/>
      <c r="O103" s="16"/>
      <c r="P103" s="282">
        <f>IF(ISBLANK(N103),O103/4.3,N103/20)</f>
      </c>
      <c r="Q103" s="1"/>
      <c r="R103" s="3"/>
      <c r="S103" s="3"/>
      <c r="T103" s="256">
        <f>IF(ISBLANK(R103),0,X103)</f>
      </c>
      <c r="U103" s="256">
        <f>IF(ISBLANK(S103),0,X103)</f>
      </c>
      <c r="V103" s="284">
        <f>IFERROR(Q103/K103,0)</f>
      </c>
      <c r="W103" s="123">
        <f>IFERROR(L103*V103,0)</f>
      </c>
      <c r="X103" s="256">
        <f>IFERROR(Q103+W103,0)</f>
      </c>
      <c r="Y103" s="256">
        <f>IFERROR(M103*V103,0)</f>
      </c>
      <c r="Z103" s="256">
        <f>Y103-(Y103*$B$1)</f>
      </c>
      <c r="AA103" s="285">
        <f>IFERROR(Z103/X103,"")</f>
      </c>
      <c r="AB103" s="286">
        <f>IFERROR(IF(ISBLANK(N103),Y103/O103,Y103/N103),0)</f>
      </c>
      <c r="AC103" s="286">
        <f>IFERROR(-1*(AB103*B$1),0)</f>
      </c>
      <c r="AD103" s="286">
        <f>IFERROR(SUM(AB103:AC103),0)</f>
      </c>
      <c r="AE103" s="286">
        <f>IF(ISBLANK(N103),AD103,AD103*5)</f>
      </c>
      <c r="AF103" s="287">
        <f>SUM(AG103:AV103)</f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18"/>
      <c r="AU103" s="18"/>
      <c r="AV103" s="18"/>
      <c r="AW103" s="18"/>
      <c r="AX103" s="18"/>
      <c r="AY103" s="18"/>
      <c r="AZ103" s="18"/>
      <c r="BA103" s="18"/>
      <c r="BB103" s="18"/>
      <c r="BC103" s="16"/>
      <c r="BD103" s="16"/>
      <c r="BE103" s="16"/>
      <c r="BF103" s="286">
        <f>Z103-AF103</f>
      </c>
      <c r="BG103" s="321">
        <f>IFERROR(AF103/Y103,0)</f>
      </c>
      <c r="BH103" s="284">
        <f>IFERROR(AF103/X103,0)</f>
      </c>
      <c r="BI103" s="284">
        <f>IFERROR(X103/SUM(X$3:X$12),0)</f>
      </c>
      <c r="BJ103" s="284">
        <f>IFERROR(BF103/SUM(BF$3:BF300),0)</f>
      </c>
      <c r="BK103" s="288">
        <f>BF103/'R&amp;H Portfolio'!Q$10</f>
      </c>
      <c r="BL103" s="286">
        <f>BI103*P103</f>
      </c>
      <c r="BM103" s="3"/>
      <c r="BN103" s="3"/>
      <c r="BO103" s="17"/>
    </row>
    <row x14ac:dyDescent="0.25" r="104" customHeight="1" ht="15">
      <c r="A104" s="17"/>
      <c r="B104" s="14"/>
      <c r="C104" s="3"/>
      <c r="D104" s="3"/>
      <c r="E104" s="3"/>
      <c r="F104" s="3"/>
      <c r="G104" s="16"/>
      <c r="H104" s="18"/>
      <c r="I104" s="18"/>
      <c r="J104" s="279">
        <f>H104+I104</f>
      </c>
      <c r="K104" s="1"/>
      <c r="L104" s="123">
        <f>K104*I104</f>
      </c>
      <c r="M104" s="123">
        <f>K104*J104</f>
      </c>
      <c r="N104" s="16"/>
      <c r="O104" s="16"/>
      <c r="P104" s="282">
        <f>IF(ISBLANK(N104),O104/4.3,N104/20)</f>
      </c>
      <c r="Q104" s="1"/>
      <c r="R104" s="3"/>
      <c r="S104" s="3"/>
      <c r="T104" s="256">
        <f>IF(ISBLANK(R104),0,X104)</f>
      </c>
      <c r="U104" s="256">
        <f>IF(ISBLANK(S104),0,X104)</f>
      </c>
      <c r="V104" s="284">
        <f>IFERROR(Q104/K104,0)</f>
      </c>
      <c r="W104" s="123">
        <f>IFERROR(L104*V104,0)</f>
      </c>
      <c r="X104" s="256">
        <f>IFERROR(Q104+W104,0)</f>
      </c>
      <c r="Y104" s="256">
        <f>IFERROR(M104*V104,0)</f>
      </c>
      <c r="Z104" s="256">
        <f>Y104-(Y104*$B$1)</f>
      </c>
      <c r="AA104" s="285">
        <f>IFERROR(Z104/X104,"")</f>
      </c>
      <c r="AB104" s="286">
        <f>IFERROR(IF(ISBLANK(N104),Y104/O104,Y104/N104),0)</f>
      </c>
      <c r="AC104" s="286">
        <f>IFERROR(-1*(AB104*B$1),0)</f>
      </c>
      <c r="AD104" s="286">
        <f>IFERROR(SUM(AB104:AC104),0)</f>
      </c>
      <c r="AE104" s="286">
        <f>IF(ISBLANK(N104),AD104,AD104*5)</f>
      </c>
      <c r="AF104" s="287">
        <f>SUM(AG104:AV104)</f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18"/>
      <c r="AU104" s="18"/>
      <c r="AV104" s="18"/>
      <c r="AW104" s="18"/>
      <c r="AX104" s="18"/>
      <c r="AY104" s="18"/>
      <c r="AZ104" s="18"/>
      <c r="BA104" s="18"/>
      <c r="BB104" s="18"/>
      <c r="BC104" s="16"/>
      <c r="BD104" s="16"/>
      <c r="BE104" s="16"/>
      <c r="BF104" s="286">
        <f>Z104-AF104</f>
      </c>
      <c r="BG104" s="321">
        <f>IFERROR(AF104/Y104,0)</f>
      </c>
      <c r="BH104" s="284">
        <f>IFERROR(AF104/X104,0)</f>
      </c>
      <c r="BI104" s="284">
        <f>IFERROR(X104/SUM(X$3:X$12),0)</f>
      </c>
      <c r="BJ104" s="284">
        <f>IFERROR(BF104/SUM(BF$3:BF301),0)</f>
      </c>
      <c r="BK104" s="288">
        <f>BF104/'R&amp;H Portfolio'!Q$10</f>
      </c>
      <c r="BL104" s="286">
        <f>BI104*P104</f>
      </c>
      <c r="BM104" s="3"/>
      <c r="BN104" s="3"/>
      <c r="BO104" s="17"/>
    </row>
    <row x14ac:dyDescent="0.25" r="105" customHeight="1" ht="15">
      <c r="A105" s="17"/>
      <c r="B105" s="14"/>
      <c r="C105" s="3"/>
      <c r="D105" s="3"/>
      <c r="E105" s="3"/>
      <c r="F105" s="3"/>
      <c r="G105" s="16"/>
      <c r="H105" s="18"/>
      <c r="I105" s="18"/>
      <c r="J105" s="279">
        <f>H105+I105</f>
      </c>
      <c r="K105" s="1"/>
      <c r="L105" s="123">
        <f>K105*I105</f>
      </c>
      <c r="M105" s="123">
        <f>K105*J105</f>
      </c>
      <c r="N105" s="16"/>
      <c r="O105" s="16"/>
      <c r="P105" s="282">
        <f>IF(ISBLANK(N105),O105/4.3,N105/20)</f>
      </c>
      <c r="Q105" s="1"/>
      <c r="R105" s="3"/>
      <c r="S105" s="3"/>
      <c r="T105" s="256">
        <f>IF(ISBLANK(R105),0,X105)</f>
      </c>
      <c r="U105" s="256">
        <f>IF(ISBLANK(S105),0,X105)</f>
      </c>
      <c r="V105" s="284">
        <f>IFERROR(Q105/K105,0)</f>
      </c>
      <c r="W105" s="123">
        <f>IFERROR(L105*V105,0)</f>
      </c>
      <c r="X105" s="256">
        <f>IFERROR(Q105+W105,0)</f>
      </c>
      <c r="Y105" s="256">
        <f>IFERROR(M105*V105,0)</f>
      </c>
      <c r="Z105" s="256">
        <f>Y105-(Y105*$B$1)</f>
      </c>
      <c r="AA105" s="285">
        <f>IFERROR(Z105/X105,"")</f>
      </c>
      <c r="AB105" s="286">
        <f>IFERROR(IF(ISBLANK(N105),Y105/O105,Y105/N105),0)</f>
      </c>
      <c r="AC105" s="286">
        <f>IFERROR(-1*(AB105*B$1),0)</f>
      </c>
      <c r="AD105" s="286">
        <f>IFERROR(SUM(AB105:AC105),0)</f>
      </c>
      <c r="AE105" s="286">
        <f>IF(ISBLANK(N105),AD105,AD105*5)</f>
      </c>
      <c r="AF105" s="287">
        <f>SUM(AG105:AV105)</f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18"/>
      <c r="AU105" s="18"/>
      <c r="AV105" s="18"/>
      <c r="AW105" s="18"/>
      <c r="AX105" s="18"/>
      <c r="AY105" s="18"/>
      <c r="AZ105" s="18"/>
      <c r="BA105" s="18"/>
      <c r="BB105" s="18"/>
      <c r="BC105" s="16"/>
      <c r="BD105" s="16"/>
      <c r="BE105" s="16"/>
      <c r="BF105" s="286">
        <f>Z105-AF105</f>
      </c>
      <c r="BG105" s="321">
        <f>IFERROR(AF105/Y105,0)</f>
      </c>
      <c r="BH105" s="284">
        <f>IFERROR(AF105/X105,0)</f>
      </c>
      <c r="BI105" s="284">
        <f>IFERROR(X105/SUM(X$3:X$12),0)</f>
      </c>
      <c r="BJ105" s="284">
        <f>IFERROR(BF105/SUM(BF$3:BF302),0)</f>
      </c>
      <c r="BK105" s="288">
        <f>BF105/'R&amp;H Portfolio'!Q$10</f>
      </c>
      <c r="BL105" s="286">
        <f>BI105*P105</f>
      </c>
      <c r="BM105" s="3"/>
      <c r="BN105" s="3"/>
      <c r="BO105" s="17"/>
    </row>
    <row x14ac:dyDescent="0.25" r="106" customHeight="1" ht="15">
      <c r="A106" s="17"/>
      <c r="B106" s="14"/>
      <c r="C106" s="3"/>
      <c r="D106" s="3"/>
      <c r="E106" s="3"/>
      <c r="F106" s="3"/>
      <c r="G106" s="16"/>
      <c r="H106" s="18"/>
      <c r="I106" s="18"/>
      <c r="J106" s="279">
        <f>H106+I106</f>
      </c>
      <c r="K106" s="1"/>
      <c r="L106" s="123">
        <f>K106*I106</f>
      </c>
      <c r="M106" s="123">
        <f>K106*J106</f>
      </c>
      <c r="N106" s="16"/>
      <c r="O106" s="16"/>
      <c r="P106" s="282">
        <f>IF(ISBLANK(N106),O106/4.3,N106/20)</f>
      </c>
      <c r="Q106" s="1"/>
      <c r="R106" s="3"/>
      <c r="S106" s="3"/>
      <c r="T106" s="256">
        <f>IF(ISBLANK(R106),0,X106)</f>
      </c>
      <c r="U106" s="256">
        <f>IF(ISBLANK(S106),0,X106)</f>
      </c>
      <c r="V106" s="284">
        <f>IFERROR(Q106/K106,0)</f>
      </c>
      <c r="W106" s="123">
        <f>IFERROR(L106*V106,0)</f>
      </c>
      <c r="X106" s="256">
        <f>IFERROR(Q106+W106,0)</f>
      </c>
      <c r="Y106" s="256">
        <f>IFERROR(M106*V106,0)</f>
      </c>
      <c r="Z106" s="256">
        <f>Y106-(Y106*$B$1)</f>
      </c>
      <c r="AA106" s="285">
        <f>IFERROR(Z106/X106,"")</f>
      </c>
      <c r="AB106" s="286">
        <f>IFERROR(IF(ISBLANK(N106),Y106/O106,Y106/N106),0)</f>
      </c>
      <c r="AC106" s="286">
        <f>IFERROR(-1*(AB106*B$1),0)</f>
      </c>
      <c r="AD106" s="286">
        <f>IFERROR(SUM(AB106:AC106),0)</f>
      </c>
      <c r="AE106" s="286">
        <f>IF(ISBLANK(N106),AD106,AD106*5)</f>
      </c>
      <c r="AF106" s="287">
        <f>SUM(AG106:AV106)</f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18"/>
      <c r="AU106" s="18"/>
      <c r="AV106" s="18"/>
      <c r="AW106" s="18"/>
      <c r="AX106" s="18"/>
      <c r="AY106" s="18"/>
      <c r="AZ106" s="18"/>
      <c r="BA106" s="18"/>
      <c r="BB106" s="18"/>
      <c r="BC106" s="16"/>
      <c r="BD106" s="16"/>
      <c r="BE106" s="16"/>
      <c r="BF106" s="286">
        <f>Z106-AF106</f>
      </c>
      <c r="BG106" s="321">
        <f>IFERROR(AF106/Y106,0)</f>
      </c>
      <c r="BH106" s="284">
        <f>IFERROR(AF106/X106,0)</f>
      </c>
      <c r="BI106" s="284">
        <f>IFERROR(X106/SUM(X$3:X$12),0)</f>
      </c>
      <c r="BJ106" s="284">
        <f>IFERROR(BF106/SUM(BF$3:BF303),0)</f>
      </c>
      <c r="BK106" s="288">
        <f>BF106/'R&amp;H Portfolio'!Q$10</f>
      </c>
      <c r="BL106" s="286">
        <f>BI106*P106</f>
      </c>
      <c r="BM106" s="3"/>
      <c r="BN106" s="3"/>
      <c r="BO106" s="17"/>
    </row>
    <row x14ac:dyDescent="0.25" r="107" customHeight="1" ht="15">
      <c r="A107" s="17"/>
      <c r="B107" s="14"/>
      <c r="C107" s="3"/>
      <c r="D107" s="3"/>
      <c r="E107" s="3"/>
      <c r="F107" s="3"/>
      <c r="G107" s="16"/>
      <c r="H107" s="18"/>
      <c r="I107" s="18"/>
      <c r="J107" s="279">
        <f>H107+I107</f>
      </c>
      <c r="K107" s="1"/>
      <c r="L107" s="123">
        <f>K107*I107</f>
      </c>
      <c r="M107" s="123">
        <f>K107*J107</f>
      </c>
      <c r="N107" s="16"/>
      <c r="O107" s="16"/>
      <c r="P107" s="282">
        <f>IF(ISBLANK(N107),O107/4.3,N107/20)</f>
      </c>
      <c r="Q107" s="1"/>
      <c r="R107" s="3"/>
      <c r="S107" s="3"/>
      <c r="T107" s="256">
        <f>IF(ISBLANK(R107),0,X107)</f>
      </c>
      <c r="U107" s="256">
        <f>IF(ISBLANK(S107),0,X107)</f>
      </c>
      <c r="V107" s="284">
        <f>IFERROR(Q107/K107,0)</f>
      </c>
      <c r="W107" s="123">
        <f>IFERROR(L107*V107,0)</f>
      </c>
      <c r="X107" s="256">
        <f>IFERROR(Q107+W107,0)</f>
      </c>
      <c r="Y107" s="256">
        <f>IFERROR(M107*V107,0)</f>
      </c>
      <c r="Z107" s="256">
        <f>Y107-(Y107*$B$1)</f>
      </c>
      <c r="AA107" s="285">
        <f>IFERROR(Z107/X107,"")</f>
      </c>
      <c r="AB107" s="286">
        <f>IFERROR(IF(ISBLANK(N107),Y107/O107,Y107/N107),0)</f>
      </c>
      <c r="AC107" s="286">
        <f>IFERROR(-1*(AB107*B$1),0)</f>
      </c>
      <c r="AD107" s="286">
        <f>IFERROR(SUM(AB107:AC107),0)</f>
      </c>
      <c r="AE107" s="286">
        <f>IF(ISBLANK(N107),AD107,AD107*5)</f>
      </c>
      <c r="AF107" s="287">
        <f>SUM(AG107:AV107)</f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18"/>
      <c r="AU107" s="18"/>
      <c r="AV107" s="18"/>
      <c r="AW107" s="18"/>
      <c r="AX107" s="18"/>
      <c r="AY107" s="18"/>
      <c r="AZ107" s="18"/>
      <c r="BA107" s="18"/>
      <c r="BB107" s="18"/>
      <c r="BC107" s="16"/>
      <c r="BD107" s="16"/>
      <c r="BE107" s="16"/>
      <c r="BF107" s="286">
        <f>Z107-AF107</f>
      </c>
      <c r="BG107" s="321">
        <f>IFERROR(AF107/Y107,0)</f>
      </c>
      <c r="BH107" s="284">
        <f>IFERROR(AF107/X107,0)</f>
      </c>
      <c r="BI107" s="284">
        <f>IFERROR(X107/SUM(X$3:X$12),0)</f>
      </c>
      <c r="BJ107" s="284">
        <f>IFERROR(BF107/SUM(BF$3:BF304),0)</f>
      </c>
      <c r="BK107" s="288">
        <f>BF107/'R&amp;H Portfolio'!Q$10</f>
      </c>
      <c r="BL107" s="286">
        <f>BI107*P107</f>
      </c>
      <c r="BM107" s="3"/>
      <c r="BN107" s="3"/>
      <c r="BO107" s="17"/>
    </row>
    <row x14ac:dyDescent="0.25" r="108" customHeight="1" ht="15">
      <c r="A108" s="17"/>
      <c r="B108" s="14"/>
      <c r="C108" s="3"/>
      <c r="D108" s="3"/>
      <c r="E108" s="3"/>
      <c r="F108" s="3"/>
      <c r="G108" s="16"/>
      <c r="H108" s="18"/>
      <c r="I108" s="18"/>
      <c r="J108" s="279">
        <f>H108+I108</f>
      </c>
      <c r="K108" s="1"/>
      <c r="L108" s="123">
        <f>K108*I108</f>
      </c>
      <c r="M108" s="123">
        <f>K108*J108</f>
      </c>
      <c r="N108" s="16"/>
      <c r="O108" s="16"/>
      <c r="P108" s="282">
        <f>IF(ISBLANK(N108),O108/4.3,N108/20)</f>
      </c>
      <c r="Q108" s="1"/>
      <c r="R108" s="3"/>
      <c r="S108" s="3"/>
      <c r="T108" s="256">
        <f>IF(ISBLANK(R108),0,X108)</f>
      </c>
      <c r="U108" s="256">
        <f>IF(ISBLANK(S108),0,X108)</f>
      </c>
      <c r="V108" s="284">
        <f>IFERROR(Q108/K108,0)</f>
      </c>
      <c r="W108" s="123">
        <f>IFERROR(L108*V108,0)</f>
      </c>
      <c r="X108" s="256">
        <f>IFERROR(Q108+W108,0)</f>
      </c>
      <c r="Y108" s="256">
        <f>IFERROR(M108*V108,0)</f>
      </c>
      <c r="Z108" s="256">
        <f>Y108-(Y108*$B$1)</f>
      </c>
      <c r="AA108" s="285">
        <f>IFERROR(Z108/X108,"")</f>
      </c>
      <c r="AB108" s="286">
        <f>IFERROR(IF(ISBLANK(N108),Y108/O108,Y108/N108),0)</f>
      </c>
      <c r="AC108" s="286">
        <f>IFERROR(-1*(AB108*B$1),0)</f>
      </c>
      <c r="AD108" s="286">
        <f>IFERROR(SUM(AB108:AC108),0)</f>
      </c>
      <c r="AE108" s="286">
        <f>IF(ISBLANK(N108),AD108,AD108*5)</f>
      </c>
      <c r="AF108" s="287">
        <f>SUM(AG108:AV108)</f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18"/>
      <c r="AU108" s="18"/>
      <c r="AV108" s="18"/>
      <c r="AW108" s="18"/>
      <c r="AX108" s="18"/>
      <c r="AY108" s="18"/>
      <c r="AZ108" s="18"/>
      <c r="BA108" s="18"/>
      <c r="BB108" s="18"/>
      <c r="BC108" s="16"/>
      <c r="BD108" s="16"/>
      <c r="BE108" s="16"/>
      <c r="BF108" s="286">
        <f>Z108-AF108</f>
      </c>
      <c r="BG108" s="321">
        <f>IFERROR(AF108/Y108,0)</f>
      </c>
      <c r="BH108" s="284">
        <f>IFERROR(AF108/X108,0)</f>
      </c>
      <c r="BI108" s="284">
        <f>IFERROR(X108/SUM(X$3:X$12),0)</f>
      </c>
      <c r="BJ108" s="284">
        <f>IFERROR(BF108/SUM(BF$3:BF305),0)</f>
      </c>
      <c r="BK108" s="288">
        <f>BF108/'R&amp;H Portfolio'!Q$10</f>
      </c>
      <c r="BL108" s="286">
        <f>BI108*P108</f>
      </c>
      <c r="BM108" s="3"/>
      <c r="BN108" s="3"/>
      <c r="BO108" s="17"/>
    </row>
    <row x14ac:dyDescent="0.25" r="109" customHeight="1" ht="15">
      <c r="A109" s="17"/>
      <c r="B109" s="14"/>
      <c r="C109" s="3"/>
      <c r="D109" s="3"/>
      <c r="E109" s="3"/>
      <c r="F109" s="3"/>
      <c r="G109" s="16"/>
      <c r="H109" s="18"/>
      <c r="I109" s="18"/>
      <c r="J109" s="279">
        <f>H109+I109</f>
      </c>
      <c r="K109" s="1"/>
      <c r="L109" s="123">
        <f>K109*I109</f>
      </c>
      <c r="M109" s="123">
        <f>K109*J109</f>
      </c>
      <c r="N109" s="16"/>
      <c r="O109" s="16"/>
      <c r="P109" s="282">
        <f>IF(ISBLANK(N109),O109/4.3,N109/20)</f>
      </c>
      <c r="Q109" s="1"/>
      <c r="R109" s="3"/>
      <c r="S109" s="3"/>
      <c r="T109" s="256">
        <f>IF(ISBLANK(R109),0,X109)</f>
      </c>
      <c r="U109" s="256">
        <f>IF(ISBLANK(S109),0,X109)</f>
      </c>
      <c r="V109" s="284">
        <f>IFERROR(Q109/K109,0)</f>
      </c>
      <c r="W109" s="123">
        <f>IFERROR(L109*V109,0)</f>
      </c>
      <c r="X109" s="256">
        <f>IFERROR(Q109+W109,0)</f>
      </c>
      <c r="Y109" s="256">
        <f>IFERROR(M109*V109,0)</f>
      </c>
      <c r="Z109" s="256">
        <f>Y109-(Y109*$B$1)</f>
      </c>
      <c r="AA109" s="285">
        <f>IFERROR(Z109/X109,"")</f>
      </c>
      <c r="AB109" s="286">
        <f>IFERROR(IF(ISBLANK(N109),Y109/O109,Y109/N109),0)</f>
      </c>
      <c r="AC109" s="286">
        <f>IFERROR(-1*(AB109*B$1),0)</f>
      </c>
      <c r="AD109" s="286">
        <f>IFERROR(SUM(AB109:AC109),0)</f>
      </c>
      <c r="AE109" s="286">
        <f>IF(ISBLANK(N109),AD109,AD109*5)</f>
      </c>
      <c r="AF109" s="287">
        <f>SUM(AG109:AV109)</f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18"/>
      <c r="AU109" s="18"/>
      <c r="AV109" s="18"/>
      <c r="AW109" s="18"/>
      <c r="AX109" s="18"/>
      <c r="AY109" s="18"/>
      <c r="AZ109" s="18"/>
      <c r="BA109" s="18"/>
      <c r="BB109" s="18"/>
      <c r="BC109" s="16"/>
      <c r="BD109" s="16"/>
      <c r="BE109" s="16"/>
      <c r="BF109" s="286">
        <f>Z109-AF109</f>
      </c>
      <c r="BG109" s="321">
        <f>IFERROR(AF109/Y109,0)</f>
      </c>
      <c r="BH109" s="284">
        <f>IFERROR(AF109/X109,0)</f>
      </c>
      <c r="BI109" s="284">
        <f>IFERROR(X109/SUM(X$3:X$12),0)</f>
      </c>
      <c r="BJ109" s="284">
        <f>IFERROR(BF109/SUM(BF$3:BF306),0)</f>
      </c>
      <c r="BK109" s="288">
        <f>BF109/'R&amp;H Portfolio'!Q$10</f>
      </c>
      <c r="BL109" s="286">
        <f>BI109*P109</f>
      </c>
      <c r="BM109" s="3"/>
      <c r="BN109" s="3"/>
      <c r="BO109" s="17"/>
    </row>
    <row x14ac:dyDescent="0.25" r="110" customHeight="1" ht="15">
      <c r="A110" s="17"/>
      <c r="B110" s="14"/>
      <c r="C110" s="3"/>
      <c r="D110" s="3"/>
      <c r="E110" s="3"/>
      <c r="F110" s="3"/>
      <c r="G110" s="16"/>
      <c r="H110" s="18"/>
      <c r="I110" s="18"/>
      <c r="J110" s="279">
        <f>H110+I110</f>
      </c>
      <c r="K110" s="1"/>
      <c r="L110" s="123">
        <f>K110*I110</f>
      </c>
      <c r="M110" s="123">
        <f>K110*J110</f>
      </c>
      <c r="N110" s="16"/>
      <c r="O110" s="16"/>
      <c r="P110" s="282">
        <f>IF(ISBLANK(N110),O110/4.3,N110/20)</f>
      </c>
      <c r="Q110" s="1"/>
      <c r="R110" s="3"/>
      <c r="S110" s="3"/>
      <c r="T110" s="256">
        <f>IF(ISBLANK(R110),0,X110)</f>
      </c>
      <c r="U110" s="256">
        <f>IF(ISBLANK(S110),0,X110)</f>
      </c>
      <c r="V110" s="284">
        <f>IFERROR(Q110/K110,0)</f>
      </c>
      <c r="W110" s="123">
        <f>IFERROR(L110*V110,0)</f>
      </c>
      <c r="X110" s="256">
        <f>IFERROR(Q110+W110,0)</f>
      </c>
      <c r="Y110" s="256">
        <f>IFERROR(M110*V110,0)</f>
      </c>
      <c r="Z110" s="256">
        <f>Y110-(Y110*$B$1)</f>
      </c>
      <c r="AA110" s="285">
        <f>IFERROR(Z110/X110,"")</f>
      </c>
      <c r="AB110" s="286">
        <f>IFERROR(IF(ISBLANK(N110),Y110/O110,Y110/N110),0)</f>
      </c>
      <c r="AC110" s="286">
        <f>IFERROR(-1*(AB110*B$1),0)</f>
      </c>
      <c r="AD110" s="286">
        <f>IFERROR(SUM(AB110:AC110),0)</f>
      </c>
      <c r="AE110" s="286">
        <f>IF(ISBLANK(N110),AD110,AD110*5)</f>
      </c>
      <c r="AF110" s="287">
        <f>SUM(AG110:AV110)</f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18"/>
      <c r="AU110" s="18"/>
      <c r="AV110" s="18"/>
      <c r="AW110" s="18"/>
      <c r="AX110" s="18"/>
      <c r="AY110" s="18"/>
      <c r="AZ110" s="18"/>
      <c r="BA110" s="18"/>
      <c r="BB110" s="18"/>
      <c r="BC110" s="16"/>
      <c r="BD110" s="16"/>
      <c r="BE110" s="16"/>
      <c r="BF110" s="286">
        <f>Z110-AF110</f>
      </c>
      <c r="BG110" s="321">
        <f>IFERROR(AF110/Y110,0)</f>
      </c>
      <c r="BH110" s="284">
        <f>IFERROR(AF110/X110,0)</f>
      </c>
      <c r="BI110" s="284">
        <f>IFERROR(X110/SUM(X$3:X$12),0)</f>
      </c>
      <c r="BJ110" s="284">
        <f>IFERROR(BF110/SUM(BF$3:BF307),0)</f>
      </c>
      <c r="BK110" s="288">
        <f>BF110/'R&amp;H Portfolio'!Q$10</f>
      </c>
      <c r="BL110" s="286">
        <f>BI110*P110</f>
      </c>
      <c r="BM110" s="3"/>
      <c r="BN110" s="3"/>
      <c r="BO110" s="17"/>
    </row>
    <row x14ac:dyDescent="0.25" r="111" customHeight="1" ht="15">
      <c r="A111" s="17"/>
      <c r="B111" s="14"/>
      <c r="C111" s="3"/>
      <c r="D111" s="3"/>
      <c r="E111" s="3"/>
      <c r="F111" s="3"/>
      <c r="G111" s="16"/>
      <c r="H111" s="18"/>
      <c r="I111" s="18"/>
      <c r="J111" s="279">
        <f>H111+I111</f>
      </c>
      <c r="K111" s="1"/>
      <c r="L111" s="123">
        <f>K111*I111</f>
      </c>
      <c r="M111" s="123">
        <f>K111*J111</f>
      </c>
      <c r="N111" s="16"/>
      <c r="O111" s="16"/>
      <c r="P111" s="282">
        <f>IF(ISBLANK(N111),O111/4.3,N111/20)</f>
      </c>
      <c r="Q111" s="1"/>
      <c r="R111" s="3"/>
      <c r="S111" s="3"/>
      <c r="T111" s="256">
        <f>IF(ISBLANK(R111),0,X111)</f>
      </c>
      <c r="U111" s="256">
        <f>IF(ISBLANK(S111),0,X111)</f>
      </c>
      <c r="V111" s="284">
        <f>IFERROR(Q111/K111,0)</f>
      </c>
      <c r="W111" s="123">
        <f>IFERROR(L111*V111,0)</f>
      </c>
      <c r="X111" s="256">
        <f>IFERROR(Q111+W111,0)</f>
      </c>
      <c r="Y111" s="256">
        <f>IFERROR(M111*V111,0)</f>
      </c>
      <c r="Z111" s="256">
        <f>Y111-(Y111*$B$1)</f>
      </c>
      <c r="AA111" s="285">
        <f>IFERROR(Z111/X111,"")</f>
      </c>
      <c r="AB111" s="286">
        <f>IFERROR(IF(ISBLANK(N111),Y111/O111,Y111/N111),0)</f>
      </c>
      <c r="AC111" s="286">
        <f>IFERROR(-1*(AB111*B$1),0)</f>
      </c>
      <c r="AD111" s="286">
        <f>IFERROR(SUM(AB111:AC111),0)</f>
      </c>
      <c r="AE111" s="286">
        <f>IF(ISBLANK(N111),AD111,AD111*5)</f>
      </c>
      <c r="AF111" s="287">
        <f>SUM(AG111:AV111)</f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18"/>
      <c r="AU111" s="18"/>
      <c r="AV111" s="18"/>
      <c r="AW111" s="18"/>
      <c r="AX111" s="18"/>
      <c r="AY111" s="18"/>
      <c r="AZ111" s="18"/>
      <c r="BA111" s="18"/>
      <c r="BB111" s="18"/>
      <c r="BC111" s="16"/>
      <c r="BD111" s="16"/>
      <c r="BE111" s="16"/>
      <c r="BF111" s="286">
        <f>Z111-AF111</f>
      </c>
      <c r="BG111" s="321">
        <f>IFERROR(AF111/Y111,0)</f>
      </c>
      <c r="BH111" s="284">
        <f>IFERROR(AF111/X111,0)</f>
      </c>
      <c r="BI111" s="284">
        <f>IFERROR(X111/SUM(X$3:X$12),0)</f>
      </c>
      <c r="BJ111" s="284">
        <f>IFERROR(BF111/SUM(BF$3:BF308),0)</f>
      </c>
      <c r="BK111" s="288">
        <f>BF111/'R&amp;H Portfolio'!Q$10</f>
      </c>
      <c r="BL111" s="286">
        <f>BI111*P111</f>
      </c>
      <c r="BM111" s="3"/>
      <c r="BN111" s="3"/>
      <c r="BO111" s="17"/>
    </row>
    <row x14ac:dyDescent="0.25" r="112" customHeight="1" ht="15">
      <c r="A112" s="17"/>
      <c r="B112" s="14"/>
      <c r="C112" s="3"/>
      <c r="D112" s="3"/>
      <c r="E112" s="3"/>
      <c r="F112" s="3"/>
      <c r="G112" s="16"/>
      <c r="H112" s="18"/>
      <c r="I112" s="18"/>
      <c r="J112" s="279">
        <f>H112+I112</f>
      </c>
      <c r="K112" s="1"/>
      <c r="L112" s="123">
        <f>K112*I112</f>
      </c>
      <c r="M112" s="123">
        <f>K112*J112</f>
      </c>
      <c r="N112" s="16"/>
      <c r="O112" s="16"/>
      <c r="P112" s="282">
        <f>IF(ISBLANK(N112),O112/4.3,N112/20)</f>
      </c>
      <c r="Q112" s="1"/>
      <c r="R112" s="3"/>
      <c r="S112" s="3"/>
      <c r="T112" s="256">
        <f>IF(ISBLANK(R112),0,X112)</f>
      </c>
      <c r="U112" s="256">
        <f>IF(ISBLANK(S112),0,X112)</f>
      </c>
      <c r="V112" s="284">
        <f>IFERROR(Q112/K112,0)</f>
      </c>
      <c r="W112" s="123">
        <f>IFERROR(L112*V112,0)</f>
      </c>
      <c r="X112" s="256">
        <f>IFERROR(Q112+W112,0)</f>
      </c>
      <c r="Y112" s="256">
        <f>IFERROR(M112*V112,0)</f>
      </c>
      <c r="Z112" s="256">
        <f>Y112-(Y112*$B$1)</f>
      </c>
      <c r="AA112" s="285">
        <f>IFERROR(Z112/X112,"")</f>
      </c>
      <c r="AB112" s="286">
        <f>IFERROR(IF(ISBLANK(N112),Y112/O112,Y112/N112),0)</f>
      </c>
      <c r="AC112" s="286">
        <f>IFERROR(-1*(AB112*B$1),0)</f>
      </c>
      <c r="AD112" s="286">
        <f>IFERROR(SUM(AB112:AC112),0)</f>
      </c>
      <c r="AE112" s="286">
        <f>IF(ISBLANK(N112),AD112,AD112*5)</f>
      </c>
      <c r="AF112" s="287">
        <f>SUM(AG112:AV112)</f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18"/>
      <c r="AU112" s="18"/>
      <c r="AV112" s="18"/>
      <c r="AW112" s="18"/>
      <c r="AX112" s="18"/>
      <c r="AY112" s="18"/>
      <c r="AZ112" s="18"/>
      <c r="BA112" s="18"/>
      <c r="BB112" s="18"/>
      <c r="BC112" s="16"/>
      <c r="BD112" s="16"/>
      <c r="BE112" s="16"/>
      <c r="BF112" s="286">
        <f>Z112-AF112</f>
      </c>
      <c r="BG112" s="321">
        <f>IFERROR(AF112/Y112,0)</f>
      </c>
      <c r="BH112" s="284">
        <f>IFERROR(AF112/X112,0)</f>
      </c>
      <c r="BI112" s="284">
        <f>IFERROR(X112/SUM(X$3:X$12),0)</f>
      </c>
      <c r="BJ112" s="284">
        <f>IFERROR(BF112/SUM(BF$3:BF309),0)</f>
      </c>
      <c r="BK112" s="288">
        <f>BF112/'R&amp;H Portfolio'!Q$10</f>
      </c>
      <c r="BL112" s="286">
        <f>BI112*P112</f>
      </c>
      <c r="BM112" s="3"/>
      <c r="BN112" s="3"/>
      <c r="BO112" s="17"/>
    </row>
    <row x14ac:dyDescent="0.25" r="113" customHeight="1" ht="15">
      <c r="A113" s="17"/>
      <c r="B113" s="14"/>
      <c r="C113" s="3"/>
      <c r="D113" s="3"/>
      <c r="E113" s="3"/>
      <c r="F113" s="3"/>
      <c r="G113" s="16"/>
      <c r="H113" s="18"/>
      <c r="I113" s="18"/>
      <c r="J113" s="279">
        <f>H113+I113</f>
      </c>
      <c r="K113" s="1"/>
      <c r="L113" s="123">
        <f>K113*I113</f>
      </c>
      <c r="M113" s="123">
        <f>K113*J113</f>
      </c>
      <c r="N113" s="16"/>
      <c r="O113" s="16"/>
      <c r="P113" s="282">
        <f>IF(ISBLANK(N113),O113/4.3,N113/20)</f>
      </c>
      <c r="Q113" s="1"/>
      <c r="R113" s="3"/>
      <c r="S113" s="3"/>
      <c r="T113" s="256">
        <f>IF(ISBLANK(R113),0,X113)</f>
      </c>
      <c r="U113" s="256">
        <f>IF(ISBLANK(S113),0,X113)</f>
      </c>
      <c r="V113" s="284">
        <f>IFERROR(Q113/K113,0)</f>
      </c>
      <c r="W113" s="123">
        <f>IFERROR(L113*V113,0)</f>
      </c>
      <c r="X113" s="256">
        <f>IFERROR(Q113+W113,0)</f>
      </c>
      <c r="Y113" s="256">
        <f>IFERROR(M113*V113,0)</f>
      </c>
      <c r="Z113" s="256">
        <f>Y113-(Y113*$B$1)</f>
      </c>
      <c r="AA113" s="285">
        <f>IFERROR(Z113/X113,"")</f>
      </c>
      <c r="AB113" s="286">
        <f>IFERROR(IF(ISBLANK(N113),Y113/O113,Y113/N113),0)</f>
      </c>
      <c r="AC113" s="286">
        <f>IFERROR(-1*(AB113*B$1),0)</f>
      </c>
      <c r="AD113" s="286">
        <f>IFERROR(SUM(AB113:AC113),0)</f>
      </c>
      <c r="AE113" s="286">
        <f>IF(ISBLANK(N113),AD113,AD113*5)</f>
      </c>
      <c r="AF113" s="287">
        <f>SUM(AG113:AV113)</f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18"/>
      <c r="AU113" s="18"/>
      <c r="AV113" s="18"/>
      <c r="AW113" s="18"/>
      <c r="AX113" s="18"/>
      <c r="AY113" s="18"/>
      <c r="AZ113" s="18"/>
      <c r="BA113" s="18"/>
      <c r="BB113" s="18"/>
      <c r="BC113" s="16"/>
      <c r="BD113" s="16"/>
      <c r="BE113" s="16"/>
      <c r="BF113" s="286">
        <f>Z113-AF113</f>
      </c>
      <c r="BG113" s="321">
        <f>IFERROR(AF113/Y113,0)</f>
      </c>
      <c r="BH113" s="284">
        <f>IFERROR(AF113/X113,0)</f>
      </c>
      <c r="BI113" s="284">
        <f>IFERROR(X113/SUM(X$3:X$12),0)</f>
      </c>
      <c r="BJ113" s="284">
        <f>IFERROR(BF113/SUM(BF$3:BF310),0)</f>
      </c>
      <c r="BK113" s="288">
        <f>BF113/'R&amp;H Portfolio'!Q$10</f>
      </c>
      <c r="BL113" s="286">
        <f>BI113*P113</f>
      </c>
      <c r="BM113" s="3"/>
      <c r="BN113" s="3"/>
      <c r="BO113" s="17"/>
    </row>
    <row x14ac:dyDescent="0.25" r="114" customHeight="1" ht="15">
      <c r="A114" s="17"/>
      <c r="B114" s="14"/>
      <c r="C114" s="3"/>
      <c r="D114" s="3"/>
      <c r="E114" s="3"/>
      <c r="F114" s="3"/>
      <c r="G114" s="16"/>
      <c r="H114" s="18"/>
      <c r="I114" s="18"/>
      <c r="J114" s="279">
        <f>H114+I114</f>
      </c>
      <c r="K114" s="1"/>
      <c r="L114" s="123">
        <f>K114*I114</f>
      </c>
      <c r="M114" s="123">
        <f>K114*J114</f>
      </c>
      <c r="N114" s="16"/>
      <c r="O114" s="16"/>
      <c r="P114" s="282">
        <f>IF(ISBLANK(N114),O114/4.3,N114/20)</f>
      </c>
      <c r="Q114" s="1"/>
      <c r="R114" s="3"/>
      <c r="S114" s="3"/>
      <c r="T114" s="256">
        <f>IF(ISBLANK(R114),0,X114)</f>
      </c>
      <c r="U114" s="256">
        <f>IF(ISBLANK(S114),0,X114)</f>
      </c>
      <c r="V114" s="284">
        <f>IFERROR(Q114/K114,0)</f>
      </c>
      <c r="W114" s="123">
        <f>IFERROR(L114*V114,0)</f>
      </c>
      <c r="X114" s="256">
        <f>IFERROR(Q114+W114,0)</f>
      </c>
      <c r="Y114" s="256">
        <f>IFERROR(M114*V114,0)</f>
      </c>
      <c r="Z114" s="256">
        <f>Y114-(Y114*$B$1)</f>
      </c>
      <c r="AA114" s="285">
        <f>IFERROR(Z114/X114,"")</f>
      </c>
      <c r="AB114" s="286">
        <f>IFERROR(IF(ISBLANK(N114),Y114/O114,Y114/N114),0)</f>
      </c>
      <c r="AC114" s="286">
        <f>IFERROR(-1*(AB114*B$1),0)</f>
      </c>
      <c r="AD114" s="286">
        <f>IFERROR(SUM(AB114:AC114),0)</f>
      </c>
      <c r="AE114" s="286">
        <f>IF(ISBLANK(N114),AD114,AD114*5)</f>
      </c>
      <c r="AF114" s="287">
        <f>SUM(AG114:AV114)</f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18"/>
      <c r="AU114" s="18"/>
      <c r="AV114" s="18"/>
      <c r="AW114" s="18"/>
      <c r="AX114" s="18"/>
      <c r="AY114" s="18"/>
      <c r="AZ114" s="18"/>
      <c r="BA114" s="18"/>
      <c r="BB114" s="18"/>
      <c r="BC114" s="16"/>
      <c r="BD114" s="16"/>
      <c r="BE114" s="16"/>
      <c r="BF114" s="286">
        <f>Z114-AF114</f>
      </c>
      <c r="BG114" s="321">
        <f>IFERROR(AF114/Y114,0)</f>
      </c>
      <c r="BH114" s="284">
        <f>IFERROR(AF114/X114,0)</f>
      </c>
      <c r="BI114" s="284">
        <f>IFERROR(X114/SUM(X$3:X$12),0)</f>
      </c>
      <c r="BJ114" s="284">
        <f>IFERROR(BF114/SUM(BF$3:BF311),0)</f>
      </c>
      <c r="BK114" s="288">
        <f>BF114/'R&amp;H Portfolio'!Q$10</f>
      </c>
      <c r="BL114" s="286">
        <f>BI114*P114</f>
      </c>
      <c r="BM114" s="3"/>
      <c r="BN114" s="3"/>
      <c r="BO114" s="17"/>
    </row>
    <row x14ac:dyDescent="0.25" r="115" customHeight="1" ht="15">
      <c r="A115" s="17"/>
      <c r="B115" s="14"/>
      <c r="C115" s="3"/>
      <c r="D115" s="3"/>
      <c r="E115" s="3"/>
      <c r="F115" s="3"/>
      <c r="G115" s="16"/>
      <c r="H115" s="18"/>
      <c r="I115" s="18"/>
      <c r="J115" s="279">
        <f>H115+I115</f>
      </c>
      <c r="K115" s="1"/>
      <c r="L115" s="123">
        <f>K115*I115</f>
      </c>
      <c r="M115" s="123">
        <f>K115*J115</f>
      </c>
      <c r="N115" s="16"/>
      <c r="O115" s="16"/>
      <c r="P115" s="282">
        <f>IF(ISBLANK(N115),O115/4.3,N115/20)</f>
      </c>
      <c r="Q115" s="1"/>
      <c r="R115" s="3"/>
      <c r="S115" s="3"/>
      <c r="T115" s="256">
        <f>IF(ISBLANK(R115),0,X115)</f>
      </c>
      <c r="U115" s="256">
        <f>IF(ISBLANK(S115),0,X115)</f>
      </c>
      <c r="V115" s="284">
        <f>IFERROR(Q115/K115,0)</f>
      </c>
      <c r="W115" s="123">
        <f>IFERROR(L115*V115,0)</f>
      </c>
      <c r="X115" s="256">
        <f>IFERROR(Q115+W115,0)</f>
      </c>
      <c r="Y115" s="256">
        <f>IFERROR(M115*V115,0)</f>
      </c>
      <c r="Z115" s="256">
        <f>Y115-(Y115*$B$1)</f>
      </c>
      <c r="AA115" s="285">
        <f>IFERROR(Z115/X115,"")</f>
      </c>
      <c r="AB115" s="286">
        <f>IFERROR(IF(ISBLANK(N115),Y115/O115,Y115/N115),0)</f>
      </c>
      <c r="AC115" s="286">
        <f>IFERROR(-1*(AB115*B$1),0)</f>
      </c>
      <c r="AD115" s="286">
        <f>IFERROR(SUM(AB115:AC115),0)</f>
      </c>
      <c r="AE115" s="286">
        <f>IF(ISBLANK(N115),AD115,AD115*5)</f>
      </c>
      <c r="AF115" s="287">
        <f>SUM(AG115:AV115)</f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18"/>
      <c r="AU115" s="18"/>
      <c r="AV115" s="18"/>
      <c r="AW115" s="18"/>
      <c r="AX115" s="18"/>
      <c r="AY115" s="18"/>
      <c r="AZ115" s="18"/>
      <c r="BA115" s="18"/>
      <c r="BB115" s="18"/>
      <c r="BC115" s="16"/>
      <c r="BD115" s="16"/>
      <c r="BE115" s="16"/>
      <c r="BF115" s="286">
        <f>Z115-AF115</f>
      </c>
      <c r="BG115" s="321">
        <f>IFERROR(AF115/Y115,0)</f>
      </c>
      <c r="BH115" s="284">
        <f>IFERROR(AF115/X115,0)</f>
      </c>
      <c r="BI115" s="284">
        <f>IFERROR(X115/SUM(X$3:X$12),0)</f>
      </c>
      <c r="BJ115" s="284">
        <f>IFERROR(BF115/SUM(BF$3:BF312),0)</f>
      </c>
      <c r="BK115" s="288">
        <f>BF115/'R&amp;H Portfolio'!Q$10</f>
      </c>
      <c r="BL115" s="286">
        <f>BI115*P115</f>
      </c>
      <c r="BM115" s="3"/>
      <c r="BN115" s="3"/>
      <c r="BO115" s="17"/>
    </row>
    <row x14ac:dyDescent="0.25" r="116" customHeight="1" ht="15">
      <c r="A116" s="17"/>
      <c r="B116" s="14"/>
      <c r="C116" s="3"/>
      <c r="D116" s="3"/>
      <c r="E116" s="3"/>
      <c r="F116" s="3"/>
      <c r="G116" s="16"/>
      <c r="H116" s="18"/>
      <c r="I116" s="18"/>
      <c r="J116" s="279">
        <f>H116+I116</f>
      </c>
      <c r="K116" s="1"/>
      <c r="L116" s="123">
        <f>K116*I116</f>
      </c>
      <c r="M116" s="123">
        <f>K116*J116</f>
      </c>
      <c r="N116" s="16"/>
      <c r="O116" s="16"/>
      <c r="P116" s="282">
        <f>IF(ISBLANK(N116),O116/4.3,N116/20)</f>
      </c>
      <c r="Q116" s="1"/>
      <c r="R116" s="3"/>
      <c r="S116" s="3"/>
      <c r="T116" s="256">
        <f>IF(ISBLANK(R116),0,X116)</f>
      </c>
      <c r="U116" s="256">
        <f>IF(ISBLANK(S116),0,X116)</f>
      </c>
      <c r="V116" s="284">
        <f>IFERROR(Q116/K116,0)</f>
      </c>
      <c r="W116" s="123">
        <f>IFERROR(L116*V116,0)</f>
      </c>
      <c r="X116" s="256">
        <f>IFERROR(Q116+W116,0)</f>
      </c>
      <c r="Y116" s="256">
        <f>IFERROR(M116*V116,0)</f>
      </c>
      <c r="Z116" s="256">
        <f>Y116-(Y116*$B$1)</f>
      </c>
      <c r="AA116" s="285">
        <f>IFERROR(Z116/X116,"")</f>
      </c>
      <c r="AB116" s="286">
        <f>IFERROR(IF(ISBLANK(N116),Y116/O116,Y116/N116),0)</f>
      </c>
      <c r="AC116" s="286">
        <f>IFERROR(-1*(AB116*B$1),0)</f>
      </c>
      <c r="AD116" s="286">
        <f>IFERROR(SUM(AB116:AC116),0)</f>
      </c>
      <c r="AE116" s="286">
        <f>IF(ISBLANK(N116),AD116,AD116*5)</f>
      </c>
      <c r="AF116" s="287">
        <f>SUM(AG116:AV116)</f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18"/>
      <c r="AU116" s="18"/>
      <c r="AV116" s="18"/>
      <c r="AW116" s="18"/>
      <c r="AX116" s="18"/>
      <c r="AY116" s="18"/>
      <c r="AZ116" s="18"/>
      <c r="BA116" s="18"/>
      <c r="BB116" s="18"/>
      <c r="BC116" s="16"/>
      <c r="BD116" s="16"/>
      <c r="BE116" s="16"/>
      <c r="BF116" s="286">
        <f>Z116-AF116</f>
      </c>
      <c r="BG116" s="321">
        <f>IFERROR(AF116/Y116,0)</f>
      </c>
      <c r="BH116" s="284">
        <f>IFERROR(AF116/X116,0)</f>
      </c>
      <c r="BI116" s="284">
        <f>IFERROR(X116/SUM(X$3:X$12),0)</f>
      </c>
      <c r="BJ116" s="284">
        <f>IFERROR(BF116/SUM(BF$3:BF313),0)</f>
      </c>
      <c r="BK116" s="288">
        <f>BF116/'R&amp;H Portfolio'!Q$10</f>
      </c>
      <c r="BL116" s="286">
        <f>BI116*P116</f>
      </c>
      <c r="BM116" s="3"/>
      <c r="BN116" s="3"/>
      <c r="BO116" s="17"/>
    </row>
    <row x14ac:dyDescent="0.25" r="117" customHeight="1" ht="15">
      <c r="A117" s="17"/>
      <c r="B117" s="14"/>
      <c r="C117" s="3"/>
      <c r="D117" s="3"/>
      <c r="E117" s="3"/>
      <c r="F117" s="3"/>
      <c r="G117" s="16"/>
      <c r="H117" s="18"/>
      <c r="I117" s="18"/>
      <c r="J117" s="279">
        <f>H117+I117</f>
      </c>
      <c r="K117" s="1"/>
      <c r="L117" s="123">
        <f>K117*I117</f>
      </c>
      <c r="M117" s="123">
        <f>K117*J117</f>
      </c>
      <c r="N117" s="16"/>
      <c r="O117" s="16"/>
      <c r="P117" s="282">
        <f>IF(ISBLANK(N117),O117/4.3,N117/20)</f>
      </c>
      <c r="Q117" s="1"/>
      <c r="R117" s="3"/>
      <c r="S117" s="3"/>
      <c r="T117" s="256">
        <f>IF(ISBLANK(R117),0,X117)</f>
      </c>
      <c r="U117" s="256">
        <f>IF(ISBLANK(S117),0,X117)</f>
      </c>
      <c r="V117" s="284">
        <f>IFERROR(Q117/K117,0)</f>
      </c>
      <c r="W117" s="123">
        <f>IFERROR(L117*V117,0)</f>
      </c>
      <c r="X117" s="256">
        <f>IFERROR(Q117+W117,0)</f>
      </c>
      <c r="Y117" s="256">
        <f>IFERROR(M117*V117,0)</f>
      </c>
      <c r="Z117" s="256">
        <f>Y117-(Y117*$B$1)</f>
      </c>
      <c r="AA117" s="285">
        <f>IFERROR(Z117/X117,"")</f>
      </c>
      <c r="AB117" s="286">
        <f>IFERROR(IF(ISBLANK(N117),Y117/O117,Y117/N117),0)</f>
      </c>
      <c r="AC117" s="286">
        <f>IFERROR(-1*(AB117*B$1),0)</f>
      </c>
      <c r="AD117" s="286">
        <f>IFERROR(SUM(AB117:AC117),0)</f>
      </c>
      <c r="AE117" s="286">
        <f>IF(ISBLANK(N117),AD117,AD117*5)</f>
      </c>
      <c r="AF117" s="287">
        <f>SUM(AG117:AV117)</f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18"/>
      <c r="AU117" s="18"/>
      <c r="AV117" s="18"/>
      <c r="AW117" s="18"/>
      <c r="AX117" s="18"/>
      <c r="AY117" s="18"/>
      <c r="AZ117" s="18"/>
      <c r="BA117" s="18"/>
      <c r="BB117" s="18"/>
      <c r="BC117" s="16"/>
      <c r="BD117" s="16"/>
      <c r="BE117" s="16"/>
      <c r="BF117" s="286">
        <f>Z117-AF117</f>
      </c>
      <c r="BG117" s="321">
        <f>IFERROR(AF117/Y117,0)</f>
      </c>
      <c r="BH117" s="284">
        <f>IFERROR(AF117/X117,0)</f>
      </c>
      <c r="BI117" s="284">
        <f>IFERROR(X117/SUM(X$3:X$12),0)</f>
      </c>
      <c r="BJ117" s="284">
        <f>IFERROR(BF117/SUM(BF$3:BF314),0)</f>
      </c>
      <c r="BK117" s="288">
        <f>BF117/'R&amp;H Portfolio'!Q$10</f>
      </c>
      <c r="BL117" s="286">
        <f>BI117*P117</f>
      </c>
      <c r="BM117" s="3"/>
      <c r="BN117" s="3"/>
      <c r="BO117" s="17"/>
    </row>
    <row x14ac:dyDescent="0.25" r="118" customHeight="1" ht="15">
      <c r="A118" s="17"/>
      <c r="B118" s="14"/>
      <c r="C118" s="3"/>
      <c r="D118" s="3"/>
      <c r="E118" s="3"/>
      <c r="F118" s="3"/>
      <c r="G118" s="16"/>
      <c r="H118" s="18"/>
      <c r="I118" s="18"/>
      <c r="J118" s="279">
        <f>H118+I118</f>
      </c>
      <c r="K118" s="1"/>
      <c r="L118" s="123">
        <f>K118*I118</f>
      </c>
      <c r="M118" s="123">
        <f>K118*J118</f>
      </c>
      <c r="N118" s="16"/>
      <c r="O118" s="16"/>
      <c r="P118" s="282">
        <f>IF(ISBLANK(N118),O118/4.3,N118/20)</f>
      </c>
      <c r="Q118" s="1"/>
      <c r="R118" s="3"/>
      <c r="S118" s="3"/>
      <c r="T118" s="256">
        <f>IF(ISBLANK(R118),0,X118)</f>
      </c>
      <c r="U118" s="256">
        <f>IF(ISBLANK(S118),0,X118)</f>
      </c>
      <c r="V118" s="284">
        <f>IFERROR(Q118/K118,0)</f>
      </c>
      <c r="W118" s="123">
        <f>IFERROR(L118*V118,0)</f>
      </c>
      <c r="X118" s="256">
        <f>IFERROR(Q118+W118,0)</f>
      </c>
      <c r="Y118" s="256">
        <f>IFERROR(M118*V118,0)</f>
      </c>
      <c r="Z118" s="256">
        <f>Y118-(Y118*$B$1)</f>
      </c>
      <c r="AA118" s="285">
        <f>IFERROR(Z118/X118,"")</f>
      </c>
      <c r="AB118" s="286">
        <f>IFERROR(IF(ISBLANK(N118),Y118/O118,Y118/N118),0)</f>
      </c>
      <c r="AC118" s="286">
        <f>IFERROR(-1*(AB118*B$1),0)</f>
      </c>
      <c r="AD118" s="286">
        <f>IFERROR(SUM(AB118:AC118),0)</f>
      </c>
      <c r="AE118" s="286">
        <f>IF(ISBLANK(N118),AD118,AD118*5)</f>
      </c>
      <c r="AF118" s="287">
        <f>SUM(AG118:AV118)</f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18"/>
      <c r="AU118" s="18"/>
      <c r="AV118" s="18"/>
      <c r="AW118" s="18"/>
      <c r="AX118" s="18"/>
      <c r="AY118" s="18"/>
      <c r="AZ118" s="18"/>
      <c r="BA118" s="18"/>
      <c r="BB118" s="18"/>
      <c r="BC118" s="16"/>
      <c r="BD118" s="16"/>
      <c r="BE118" s="16"/>
      <c r="BF118" s="286">
        <f>Z118-AF118</f>
      </c>
      <c r="BG118" s="321">
        <f>IFERROR(AF118/Y118,0)</f>
      </c>
      <c r="BH118" s="284">
        <f>IFERROR(AF118/X118,0)</f>
      </c>
      <c r="BI118" s="284">
        <f>IFERROR(X118/SUM(X$3:X$12),0)</f>
      </c>
      <c r="BJ118" s="284">
        <f>IFERROR(BF118/SUM(BF$3:BF315),0)</f>
      </c>
      <c r="BK118" s="288">
        <f>BF118/'R&amp;H Portfolio'!Q$10</f>
      </c>
      <c r="BL118" s="286">
        <f>BI118*P118</f>
      </c>
      <c r="BM118" s="3"/>
      <c r="BN118" s="3"/>
      <c r="BO118" s="17"/>
    </row>
    <row x14ac:dyDescent="0.25" r="119" customHeight="1" ht="15">
      <c r="A119" s="17"/>
      <c r="B119" s="14"/>
      <c r="C119" s="3"/>
      <c r="D119" s="3"/>
      <c r="E119" s="3"/>
      <c r="F119" s="3"/>
      <c r="G119" s="16"/>
      <c r="H119" s="18"/>
      <c r="I119" s="18"/>
      <c r="J119" s="279">
        <f>H119+I119</f>
      </c>
      <c r="K119" s="1"/>
      <c r="L119" s="123">
        <f>K119*I119</f>
      </c>
      <c r="M119" s="123">
        <f>K119*J119</f>
      </c>
      <c r="N119" s="16"/>
      <c r="O119" s="16"/>
      <c r="P119" s="282">
        <f>IF(ISBLANK(N119),O119/4.3,N119/20)</f>
      </c>
      <c r="Q119" s="1"/>
      <c r="R119" s="3"/>
      <c r="S119" s="3"/>
      <c r="T119" s="256">
        <f>IF(ISBLANK(R119),0,X119)</f>
      </c>
      <c r="U119" s="256">
        <f>IF(ISBLANK(S119),0,X119)</f>
      </c>
      <c r="V119" s="284">
        <f>IFERROR(Q119/K119,0)</f>
      </c>
      <c r="W119" s="123">
        <f>IFERROR(L119*V119,0)</f>
      </c>
      <c r="X119" s="256">
        <f>IFERROR(Q119+W119,0)</f>
      </c>
      <c r="Y119" s="256">
        <f>IFERROR(M119*V119,0)</f>
      </c>
      <c r="Z119" s="256">
        <f>Y119-(Y119*$B$1)</f>
      </c>
      <c r="AA119" s="285">
        <f>IFERROR(Z119/X119,"")</f>
      </c>
      <c r="AB119" s="286">
        <f>IFERROR(IF(ISBLANK(N119),Y119/O119,Y119/N119),0)</f>
      </c>
      <c r="AC119" s="286">
        <f>IFERROR(-1*(AB119*B$1),0)</f>
      </c>
      <c r="AD119" s="286">
        <f>IFERROR(SUM(AB119:AC119),0)</f>
      </c>
      <c r="AE119" s="286">
        <f>IF(ISBLANK(N119),AD119,AD119*5)</f>
      </c>
      <c r="AF119" s="287">
        <f>SUM(AG119:AV119)</f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18"/>
      <c r="AU119" s="18"/>
      <c r="AV119" s="18"/>
      <c r="AW119" s="18"/>
      <c r="AX119" s="18"/>
      <c r="AY119" s="18"/>
      <c r="AZ119" s="18"/>
      <c r="BA119" s="18"/>
      <c r="BB119" s="18"/>
      <c r="BC119" s="16"/>
      <c r="BD119" s="16"/>
      <c r="BE119" s="16"/>
      <c r="BF119" s="286">
        <f>Z119-AF119</f>
      </c>
      <c r="BG119" s="321">
        <f>IFERROR(AF119/Y119,0)</f>
      </c>
      <c r="BH119" s="284">
        <f>IFERROR(AF119/X119,0)</f>
      </c>
      <c r="BI119" s="284">
        <f>IFERROR(X119/SUM(X$3:X$12),0)</f>
      </c>
      <c r="BJ119" s="284">
        <f>IFERROR(BF119/SUM(BF$3:BF316),0)</f>
      </c>
      <c r="BK119" s="288">
        <f>BF119/'R&amp;H Portfolio'!Q$10</f>
      </c>
      <c r="BL119" s="286">
        <f>BI119*P119</f>
      </c>
      <c r="BM119" s="3"/>
      <c r="BN119" s="3"/>
      <c r="BO119" s="17"/>
    </row>
    <row x14ac:dyDescent="0.25" r="120" customHeight="1" ht="15">
      <c r="A120" s="17"/>
      <c r="B120" s="14"/>
      <c r="C120" s="3"/>
      <c r="D120" s="3"/>
      <c r="E120" s="3"/>
      <c r="F120" s="3"/>
      <c r="G120" s="16"/>
      <c r="H120" s="18"/>
      <c r="I120" s="18"/>
      <c r="J120" s="279">
        <f>H120+I120</f>
      </c>
      <c r="K120" s="1"/>
      <c r="L120" s="123">
        <f>K120*I120</f>
      </c>
      <c r="M120" s="123">
        <f>K120*J120</f>
      </c>
      <c r="N120" s="16"/>
      <c r="O120" s="16"/>
      <c r="P120" s="282">
        <f>IF(ISBLANK(N120),O120/4.3,N120/20)</f>
      </c>
      <c r="Q120" s="1"/>
      <c r="R120" s="3"/>
      <c r="S120" s="3"/>
      <c r="T120" s="256">
        <f>IF(ISBLANK(R120),0,X120)</f>
      </c>
      <c r="U120" s="256">
        <f>IF(ISBLANK(S120),0,X120)</f>
      </c>
      <c r="V120" s="284">
        <f>IFERROR(Q120/K120,0)</f>
      </c>
      <c r="W120" s="123">
        <f>IFERROR(L120*V120,0)</f>
      </c>
      <c r="X120" s="256">
        <f>IFERROR(Q120+W120,0)</f>
      </c>
      <c r="Y120" s="256">
        <f>IFERROR(M120*V120,0)</f>
      </c>
      <c r="Z120" s="256">
        <f>Y120-(Y120*$B$1)</f>
      </c>
      <c r="AA120" s="285">
        <f>IFERROR(Z120/X120,"")</f>
      </c>
      <c r="AB120" s="286">
        <f>IFERROR(IF(ISBLANK(N120),Y120/O120,Y120/N120),0)</f>
      </c>
      <c r="AC120" s="286">
        <f>IFERROR(-1*(AB120*B$1),0)</f>
      </c>
      <c r="AD120" s="286">
        <f>IFERROR(SUM(AB120:AC120),0)</f>
      </c>
      <c r="AE120" s="286">
        <f>IF(ISBLANK(N120),AD120,AD120*5)</f>
      </c>
      <c r="AF120" s="287">
        <f>SUM(AG120:AV120)</f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18"/>
      <c r="AU120" s="18"/>
      <c r="AV120" s="18"/>
      <c r="AW120" s="18"/>
      <c r="AX120" s="18"/>
      <c r="AY120" s="18"/>
      <c r="AZ120" s="18"/>
      <c r="BA120" s="18"/>
      <c r="BB120" s="18"/>
      <c r="BC120" s="16"/>
      <c r="BD120" s="16"/>
      <c r="BE120" s="16"/>
      <c r="BF120" s="286">
        <f>Z120-AF120</f>
      </c>
      <c r="BG120" s="321">
        <f>IFERROR(AF120/Y120,0)</f>
      </c>
      <c r="BH120" s="284">
        <f>IFERROR(AF120/X120,0)</f>
      </c>
      <c r="BI120" s="284">
        <f>IFERROR(X120/SUM(X$3:X$12),0)</f>
      </c>
      <c r="BJ120" s="284">
        <f>IFERROR(BF120/SUM(BF$3:BF317),0)</f>
      </c>
      <c r="BK120" s="288">
        <f>BF120/'R&amp;H Portfolio'!Q$10</f>
      </c>
      <c r="BL120" s="286">
        <f>BI120*P120</f>
      </c>
      <c r="BM120" s="3"/>
      <c r="BN120" s="3"/>
      <c r="BO120" s="17"/>
    </row>
    <row x14ac:dyDescent="0.25" r="121" customHeight="1" ht="15">
      <c r="A121" s="17"/>
      <c r="B121" s="14"/>
      <c r="C121" s="3"/>
      <c r="D121" s="3"/>
      <c r="E121" s="3"/>
      <c r="F121" s="3"/>
      <c r="G121" s="16"/>
      <c r="H121" s="18"/>
      <c r="I121" s="18"/>
      <c r="J121" s="279">
        <f>H121+I121</f>
      </c>
      <c r="K121" s="1"/>
      <c r="L121" s="123">
        <f>K121*I121</f>
      </c>
      <c r="M121" s="123">
        <f>K121*J121</f>
      </c>
      <c r="N121" s="16"/>
      <c r="O121" s="16"/>
      <c r="P121" s="282">
        <f>IF(ISBLANK(N121),O121/4.3,N121/20)</f>
      </c>
      <c r="Q121" s="1"/>
      <c r="R121" s="3"/>
      <c r="S121" s="3"/>
      <c r="T121" s="256">
        <f>IF(ISBLANK(R121),0,X121)</f>
      </c>
      <c r="U121" s="256">
        <f>IF(ISBLANK(S121),0,X121)</f>
      </c>
      <c r="V121" s="284">
        <f>IFERROR(Q121/K121,0)</f>
      </c>
      <c r="W121" s="123">
        <f>IFERROR(L121*V121,0)</f>
      </c>
      <c r="X121" s="256">
        <f>IFERROR(Q121+W121,0)</f>
      </c>
      <c r="Y121" s="256">
        <f>IFERROR(M121*V121,0)</f>
      </c>
      <c r="Z121" s="256">
        <f>Y121-(Y121*$B$1)</f>
      </c>
      <c r="AA121" s="285">
        <f>IFERROR(Z121/X121,"")</f>
      </c>
      <c r="AB121" s="286">
        <f>IFERROR(IF(ISBLANK(N121),Y121/O121,Y121/N121),0)</f>
      </c>
      <c r="AC121" s="286">
        <f>IFERROR(-1*(AB121*B$1),0)</f>
      </c>
      <c r="AD121" s="286">
        <f>IFERROR(SUM(AB121:AC121),0)</f>
      </c>
      <c r="AE121" s="286">
        <f>IF(ISBLANK(N121),AD121,AD121*5)</f>
      </c>
      <c r="AF121" s="287">
        <f>SUM(AG121:AV121)</f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18"/>
      <c r="AU121" s="18"/>
      <c r="AV121" s="18"/>
      <c r="AW121" s="18"/>
      <c r="AX121" s="18"/>
      <c r="AY121" s="18"/>
      <c r="AZ121" s="18"/>
      <c r="BA121" s="18"/>
      <c r="BB121" s="18"/>
      <c r="BC121" s="16"/>
      <c r="BD121" s="16"/>
      <c r="BE121" s="16"/>
      <c r="BF121" s="286">
        <f>Z121-AF121</f>
      </c>
      <c r="BG121" s="321">
        <f>IFERROR(AF121/Y121,0)</f>
      </c>
      <c r="BH121" s="284">
        <f>IFERROR(AF121/X121,0)</f>
      </c>
      <c r="BI121" s="284">
        <f>IFERROR(X121/SUM(X$3:X$12),0)</f>
      </c>
      <c r="BJ121" s="284">
        <f>IFERROR(BF121/SUM(BF$3:BF318),0)</f>
      </c>
      <c r="BK121" s="288">
        <f>BF121/'R&amp;H Portfolio'!Q$10</f>
      </c>
      <c r="BL121" s="286">
        <f>BI121*P121</f>
      </c>
      <c r="BM121" s="3"/>
      <c r="BN121" s="3"/>
      <c r="BO121" s="17"/>
    </row>
    <row x14ac:dyDescent="0.25" r="122" customHeight="1" ht="15">
      <c r="A122" s="17"/>
      <c r="B122" s="14"/>
      <c r="C122" s="3"/>
      <c r="D122" s="3"/>
      <c r="E122" s="3"/>
      <c r="F122" s="3"/>
      <c r="G122" s="16"/>
      <c r="H122" s="18"/>
      <c r="I122" s="18"/>
      <c r="J122" s="279">
        <f>H122+I122</f>
      </c>
      <c r="K122" s="1"/>
      <c r="L122" s="123">
        <f>K122*I122</f>
      </c>
      <c r="M122" s="123">
        <f>K122*J122</f>
      </c>
      <c r="N122" s="16"/>
      <c r="O122" s="16"/>
      <c r="P122" s="282">
        <f>IF(ISBLANK(N122),O122/4.3,N122/20)</f>
      </c>
      <c r="Q122" s="1"/>
      <c r="R122" s="3"/>
      <c r="S122" s="3"/>
      <c r="T122" s="256">
        <f>IF(ISBLANK(R122),0,X122)</f>
      </c>
      <c r="U122" s="256">
        <f>IF(ISBLANK(S122),0,X122)</f>
      </c>
      <c r="V122" s="284">
        <f>IFERROR(Q122/K122,0)</f>
      </c>
      <c r="W122" s="123">
        <f>IFERROR(L122*V122,0)</f>
      </c>
      <c r="X122" s="256">
        <f>IFERROR(Q122+W122,0)</f>
      </c>
      <c r="Y122" s="256">
        <f>IFERROR(M122*V122,0)</f>
      </c>
      <c r="Z122" s="256">
        <f>Y122-(Y122*$B$1)</f>
      </c>
      <c r="AA122" s="285">
        <f>IFERROR(Z122/X122,"")</f>
      </c>
      <c r="AB122" s="286">
        <f>IFERROR(IF(ISBLANK(N122),Y122/O122,Y122/N122),0)</f>
      </c>
      <c r="AC122" s="286">
        <f>IFERROR(-1*(AB122*B$1),0)</f>
      </c>
      <c r="AD122" s="286">
        <f>IFERROR(SUM(AB122:AC122),0)</f>
      </c>
      <c r="AE122" s="286">
        <f>IF(ISBLANK(N122),AD122,AD122*5)</f>
      </c>
      <c r="AF122" s="287">
        <f>SUM(AG122:AV122)</f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18"/>
      <c r="AU122" s="18"/>
      <c r="AV122" s="18"/>
      <c r="AW122" s="18"/>
      <c r="AX122" s="18"/>
      <c r="AY122" s="18"/>
      <c r="AZ122" s="18"/>
      <c r="BA122" s="18"/>
      <c r="BB122" s="18"/>
      <c r="BC122" s="16"/>
      <c r="BD122" s="16"/>
      <c r="BE122" s="16"/>
      <c r="BF122" s="286">
        <f>Z122-AF122</f>
      </c>
      <c r="BG122" s="321">
        <f>IFERROR(AF122/Y122,0)</f>
      </c>
      <c r="BH122" s="284">
        <f>IFERROR(AF122/X122,0)</f>
      </c>
      <c r="BI122" s="284">
        <f>IFERROR(X122/SUM(X$3:X$12),0)</f>
      </c>
      <c r="BJ122" s="284">
        <f>IFERROR(BF122/SUM(BF$3:BF319),0)</f>
      </c>
      <c r="BK122" s="288">
        <f>BF122/'R&amp;H Portfolio'!Q$10</f>
      </c>
      <c r="BL122" s="286">
        <f>BI122*P122</f>
      </c>
      <c r="BM122" s="3"/>
      <c r="BN122" s="3"/>
      <c r="BO122" s="17"/>
    </row>
    <row x14ac:dyDescent="0.25" r="123" customHeight="1" ht="15">
      <c r="A123" s="17"/>
      <c r="B123" s="14"/>
      <c r="C123" s="3"/>
      <c r="D123" s="3"/>
      <c r="E123" s="3"/>
      <c r="F123" s="3"/>
      <c r="G123" s="16"/>
      <c r="H123" s="18"/>
      <c r="I123" s="18"/>
      <c r="J123" s="279">
        <f>H123+I123</f>
      </c>
      <c r="K123" s="1"/>
      <c r="L123" s="123">
        <f>K123*I123</f>
      </c>
      <c r="M123" s="123">
        <f>K123*J123</f>
      </c>
      <c r="N123" s="16"/>
      <c r="O123" s="16"/>
      <c r="P123" s="282">
        <f>IF(ISBLANK(N123),O123/4.3,N123/20)</f>
      </c>
      <c r="Q123" s="1"/>
      <c r="R123" s="3"/>
      <c r="S123" s="3"/>
      <c r="T123" s="256">
        <f>IF(ISBLANK(R123),0,X123)</f>
      </c>
      <c r="U123" s="256">
        <f>IF(ISBLANK(S123),0,X123)</f>
      </c>
      <c r="V123" s="284">
        <f>IFERROR(Q123/K123,0)</f>
      </c>
      <c r="W123" s="123">
        <f>IFERROR(L123*V123,0)</f>
      </c>
      <c r="X123" s="256">
        <f>IFERROR(Q123+W123,0)</f>
      </c>
      <c r="Y123" s="256">
        <f>IFERROR(M123*V123,0)</f>
      </c>
      <c r="Z123" s="256">
        <f>Y123-(Y123*$B$1)</f>
      </c>
      <c r="AA123" s="285">
        <f>IFERROR(Z123/X123,"")</f>
      </c>
      <c r="AB123" s="286">
        <f>IFERROR(IF(ISBLANK(N123),Y123/O123,Y123/N123),0)</f>
      </c>
      <c r="AC123" s="286">
        <f>IFERROR(-1*(AB123*B$1),0)</f>
      </c>
      <c r="AD123" s="286">
        <f>IFERROR(SUM(AB123:AC123),0)</f>
      </c>
      <c r="AE123" s="286">
        <f>IF(ISBLANK(N123),AD123,AD123*5)</f>
      </c>
      <c r="AF123" s="287">
        <f>SUM(AG123:AV123)</f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18"/>
      <c r="AU123" s="18"/>
      <c r="AV123" s="18"/>
      <c r="AW123" s="18"/>
      <c r="AX123" s="18"/>
      <c r="AY123" s="18"/>
      <c r="AZ123" s="18"/>
      <c r="BA123" s="18"/>
      <c r="BB123" s="18"/>
      <c r="BC123" s="16"/>
      <c r="BD123" s="16"/>
      <c r="BE123" s="16"/>
      <c r="BF123" s="286">
        <f>Z123-AF123</f>
      </c>
      <c r="BG123" s="321">
        <f>IFERROR(AF123/Y123,0)</f>
      </c>
      <c r="BH123" s="284">
        <f>IFERROR(AF123/X123,0)</f>
      </c>
      <c r="BI123" s="284">
        <f>IFERROR(X123/SUM(X$3:X$12),0)</f>
      </c>
      <c r="BJ123" s="284">
        <f>IFERROR(BF123/SUM(BF$3:BF320),0)</f>
      </c>
      <c r="BK123" s="288">
        <f>BF123/'R&amp;H Portfolio'!Q$10</f>
      </c>
      <c r="BL123" s="286">
        <f>BI123*P123</f>
      </c>
      <c r="BM123" s="3"/>
      <c r="BN123" s="3"/>
      <c r="BO123" s="17"/>
    </row>
    <row x14ac:dyDescent="0.25" r="124" customHeight="1" ht="15">
      <c r="A124" s="17"/>
      <c r="B124" s="14"/>
      <c r="C124" s="3"/>
      <c r="D124" s="3"/>
      <c r="E124" s="3"/>
      <c r="F124" s="3"/>
      <c r="G124" s="16"/>
      <c r="H124" s="18"/>
      <c r="I124" s="18"/>
      <c r="J124" s="279">
        <f>H124+I124</f>
      </c>
      <c r="K124" s="1"/>
      <c r="L124" s="123">
        <f>K124*I124</f>
      </c>
      <c r="M124" s="123">
        <f>K124*J124</f>
      </c>
      <c r="N124" s="16"/>
      <c r="O124" s="16"/>
      <c r="P124" s="282">
        <f>IF(ISBLANK(N124),O124/4.3,N124/20)</f>
      </c>
      <c r="Q124" s="1"/>
      <c r="R124" s="3"/>
      <c r="S124" s="3"/>
      <c r="T124" s="256">
        <f>IF(ISBLANK(R124),0,X124)</f>
      </c>
      <c r="U124" s="256">
        <f>IF(ISBLANK(S124),0,X124)</f>
      </c>
      <c r="V124" s="284">
        <f>IFERROR(Q124/K124,0)</f>
      </c>
      <c r="W124" s="123">
        <f>IFERROR(L124*V124,0)</f>
      </c>
      <c r="X124" s="256">
        <f>IFERROR(Q124+W124,0)</f>
      </c>
      <c r="Y124" s="256">
        <f>IFERROR(M124*V124,0)</f>
      </c>
      <c r="Z124" s="256">
        <f>Y124-(Y124*$B$1)</f>
      </c>
      <c r="AA124" s="285">
        <f>IFERROR(Z124/X124,"")</f>
      </c>
      <c r="AB124" s="286">
        <f>IFERROR(IF(ISBLANK(N124),Y124/O124,Y124/N124),0)</f>
      </c>
      <c r="AC124" s="286">
        <f>IFERROR(-1*(AB124*B$1),0)</f>
      </c>
      <c r="AD124" s="286">
        <f>IFERROR(SUM(AB124:AC124),0)</f>
      </c>
      <c r="AE124" s="286">
        <f>IF(ISBLANK(N124),AD124,AD124*5)</f>
      </c>
      <c r="AF124" s="287">
        <f>SUM(AG124:AV124)</f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18"/>
      <c r="AU124" s="18"/>
      <c r="AV124" s="18"/>
      <c r="AW124" s="18"/>
      <c r="AX124" s="18"/>
      <c r="AY124" s="18"/>
      <c r="AZ124" s="18"/>
      <c r="BA124" s="18"/>
      <c r="BB124" s="18"/>
      <c r="BC124" s="16"/>
      <c r="BD124" s="16"/>
      <c r="BE124" s="16"/>
      <c r="BF124" s="286">
        <f>Z124-AF124</f>
      </c>
      <c r="BG124" s="321">
        <f>IFERROR(AF124/Y124,0)</f>
      </c>
      <c r="BH124" s="284">
        <f>IFERROR(AF124/X124,0)</f>
      </c>
      <c r="BI124" s="284">
        <f>IFERROR(X124/SUM(X$3:X$12),0)</f>
      </c>
      <c r="BJ124" s="284">
        <f>IFERROR(BF124/SUM(BF$3:BF321),0)</f>
      </c>
      <c r="BK124" s="288">
        <f>BF124/'R&amp;H Portfolio'!Q$10</f>
      </c>
      <c r="BL124" s="286">
        <f>BI124*P124</f>
      </c>
      <c r="BM124" s="3"/>
      <c r="BN124" s="3"/>
      <c r="BO124" s="17"/>
    </row>
    <row x14ac:dyDescent="0.25" r="125" customHeight="1" ht="15">
      <c r="A125" s="17"/>
      <c r="B125" s="14"/>
      <c r="C125" s="3"/>
      <c r="D125" s="3"/>
      <c r="E125" s="3"/>
      <c r="F125" s="3"/>
      <c r="G125" s="16"/>
      <c r="H125" s="18"/>
      <c r="I125" s="18"/>
      <c r="J125" s="279">
        <f>H125+I125</f>
      </c>
      <c r="K125" s="1"/>
      <c r="L125" s="123">
        <f>K125*I125</f>
      </c>
      <c r="M125" s="123">
        <f>K125*J125</f>
      </c>
      <c r="N125" s="16"/>
      <c r="O125" s="16"/>
      <c r="P125" s="282">
        <f>IF(ISBLANK(N125),O125/4.3,N125/20)</f>
      </c>
      <c r="Q125" s="1"/>
      <c r="R125" s="3"/>
      <c r="S125" s="3"/>
      <c r="T125" s="256">
        <f>IF(ISBLANK(R125),0,X125)</f>
      </c>
      <c r="U125" s="256">
        <f>IF(ISBLANK(S125),0,X125)</f>
      </c>
      <c r="V125" s="284">
        <f>IFERROR(Q125/K125,0)</f>
      </c>
      <c r="W125" s="123">
        <f>IFERROR(L125*V125,0)</f>
      </c>
      <c r="X125" s="256">
        <f>IFERROR(Q125+W125,0)</f>
      </c>
      <c r="Y125" s="256">
        <f>IFERROR(M125*V125,0)</f>
      </c>
      <c r="Z125" s="256">
        <f>Y125-(Y125*$B$1)</f>
      </c>
      <c r="AA125" s="285">
        <f>IFERROR(Z125/X125,"")</f>
      </c>
      <c r="AB125" s="286">
        <f>IFERROR(IF(ISBLANK(N125),Y125/O125,Y125/N125),0)</f>
      </c>
      <c r="AC125" s="286">
        <f>IFERROR(-1*(AB125*B$1),0)</f>
      </c>
      <c r="AD125" s="286">
        <f>IFERROR(SUM(AB125:AC125),0)</f>
      </c>
      <c r="AE125" s="286">
        <f>IF(ISBLANK(N125),AD125,AD125*5)</f>
      </c>
      <c r="AF125" s="287">
        <f>SUM(AG125:AV125)</f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18"/>
      <c r="AU125" s="18"/>
      <c r="AV125" s="18"/>
      <c r="AW125" s="18"/>
      <c r="AX125" s="18"/>
      <c r="AY125" s="18"/>
      <c r="AZ125" s="18"/>
      <c r="BA125" s="18"/>
      <c r="BB125" s="18"/>
      <c r="BC125" s="16"/>
      <c r="BD125" s="16"/>
      <c r="BE125" s="16"/>
      <c r="BF125" s="286">
        <f>Z125-AF125</f>
      </c>
      <c r="BG125" s="321">
        <f>IFERROR(AF125/Y125,0)</f>
      </c>
      <c r="BH125" s="284">
        <f>IFERROR(AF125/X125,0)</f>
      </c>
      <c r="BI125" s="284">
        <f>IFERROR(X125/SUM(X$3:X$12),0)</f>
      </c>
      <c r="BJ125" s="284">
        <f>IFERROR(BF125/SUM(BF$3:BF322),0)</f>
      </c>
      <c r="BK125" s="288">
        <f>BF125/'R&amp;H Portfolio'!Q$10</f>
      </c>
      <c r="BL125" s="286">
        <f>BI125*P125</f>
      </c>
      <c r="BM125" s="3"/>
      <c r="BN125" s="3"/>
      <c r="BO125" s="17"/>
    </row>
    <row x14ac:dyDescent="0.25" r="126" customHeight="1" ht="15">
      <c r="A126" s="17"/>
      <c r="B126" s="14"/>
      <c r="C126" s="3"/>
      <c r="D126" s="3"/>
      <c r="E126" s="3"/>
      <c r="F126" s="3"/>
      <c r="G126" s="16"/>
      <c r="H126" s="18"/>
      <c r="I126" s="18"/>
      <c r="J126" s="279">
        <f>H126+I126</f>
      </c>
      <c r="K126" s="1"/>
      <c r="L126" s="123">
        <f>K126*I126</f>
      </c>
      <c r="M126" s="123">
        <f>K126*J126</f>
      </c>
      <c r="N126" s="16"/>
      <c r="O126" s="16"/>
      <c r="P126" s="282">
        <f>IF(ISBLANK(N126),O126/4.3,N126/20)</f>
      </c>
      <c r="Q126" s="1"/>
      <c r="R126" s="3"/>
      <c r="S126" s="3"/>
      <c r="T126" s="256">
        <f>IF(ISBLANK(R126),0,X126)</f>
      </c>
      <c r="U126" s="256">
        <f>IF(ISBLANK(S126),0,X126)</f>
      </c>
      <c r="V126" s="284">
        <f>IFERROR(Q126/K126,0)</f>
      </c>
      <c r="W126" s="123">
        <f>IFERROR(L126*V126,0)</f>
      </c>
      <c r="X126" s="256">
        <f>IFERROR(Q126+W126,0)</f>
      </c>
      <c r="Y126" s="256">
        <f>IFERROR(M126*V126,0)</f>
      </c>
      <c r="Z126" s="256">
        <f>Y126-(Y126*$B$1)</f>
      </c>
      <c r="AA126" s="285">
        <f>IFERROR(Z126/X126,"")</f>
      </c>
      <c r="AB126" s="286">
        <f>IFERROR(IF(ISBLANK(N126),Y126/O126,Y126/N126),0)</f>
      </c>
      <c r="AC126" s="286">
        <f>IFERROR(-1*(AB126*B$1),0)</f>
      </c>
      <c r="AD126" s="286">
        <f>IFERROR(SUM(AB126:AC126),0)</f>
      </c>
      <c r="AE126" s="286">
        <f>IF(ISBLANK(N126),AD126,AD126*5)</f>
      </c>
      <c r="AF126" s="287">
        <f>SUM(AG126:AV126)</f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18"/>
      <c r="AU126" s="18"/>
      <c r="AV126" s="18"/>
      <c r="AW126" s="18"/>
      <c r="AX126" s="18"/>
      <c r="AY126" s="18"/>
      <c r="AZ126" s="18"/>
      <c r="BA126" s="18"/>
      <c r="BB126" s="18"/>
      <c r="BC126" s="16"/>
      <c r="BD126" s="16"/>
      <c r="BE126" s="16"/>
      <c r="BF126" s="286">
        <f>Z126-AF126</f>
      </c>
      <c r="BG126" s="321">
        <f>IFERROR(AF126/Y126,0)</f>
      </c>
      <c r="BH126" s="284">
        <f>IFERROR(AF126/X126,0)</f>
      </c>
      <c r="BI126" s="284">
        <f>IFERROR(X126/SUM(X$3:X$12),0)</f>
      </c>
      <c r="BJ126" s="284">
        <f>IFERROR(BF126/SUM(BF$3:BF323),0)</f>
      </c>
      <c r="BK126" s="288">
        <f>BF126/'R&amp;H Portfolio'!Q$10</f>
      </c>
      <c r="BL126" s="286">
        <f>BI126*P126</f>
      </c>
      <c r="BM126" s="3"/>
      <c r="BN126" s="3"/>
      <c r="BO126" s="17"/>
    </row>
    <row x14ac:dyDescent="0.25" r="127" customHeight="1" ht="15">
      <c r="A127" s="17"/>
      <c r="B127" s="14"/>
      <c r="C127" s="3"/>
      <c r="D127" s="3"/>
      <c r="E127" s="3"/>
      <c r="F127" s="3"/>
      <c r="G127" s="16"/>
      <c r="H127" s="18"/>
      <c r="I127" s="18"/>
      <c r="J127" s="279">
        <f>H127+I127</f>
      </c>
      <c r="K127" s="1"/>
      <c r="L127" s="123">
        <f>K127*I127</f>
      </c>
      <c r="M127" s="123">
        <f>K127*J127</f>
      </c>
      <c r="N127" s="16"/>
      <c r="O127" s="16"/>
      <c r="P127" s="282">
        <f>IF(ISBLANK(N127),O127/4.3,N127/20)</f>
      </c>
      <c r="Q127" s="1"/>
      <c r="R127" s="3"/>
      <c r="S127" s="3"/>
      <c r="T127" s="256">
        <f>IF(ISBLANK(R127),0,X127)</f>
      </c>
      <c r="U127" s="256">
        <f>IF(ISBLANK(S127),0,X127)</f>
      </c>
      <c r="V127" s="284">
        <f>IFERROR(Q127/K127,0)</f>
      </c>
      <c r="W127" s="123">
        <f>IFERROR(L127*V127,0)</f>
      </c>
      <c r="X127" s="256">
        <f>IFERROR(Q127+W127,0)</f>
      </c>
      <c r="Y127" s="256">
        <f>IFERROR(M127*V127,0)</f>
      </c>
      <c r="Z127" s="256">
        <f>Y127-(Y127*$B$1)</f>
      </c>
      <c r="AA127" s="285">
        <f>IFERROR(Z127/X127,"")</f>
      </c>
      <c r="AB127" s="286">
        <f>IFERROR(IF(ISBLANK(N127),Y127/O127,Y127/N127),0)</f>
      </c>
      <c r="AC127" s="286">
        <f>IFERROR(-1*(AB127*B$1),0)</f>
      </c>
      <c r="AD127" s="286">
        <f>IFERROR(SUM(AB127:AC127),0)</f>
      </c>
      <c r="AE127" s="286">
        <f>IF(ISBLANK(N127),AD127,AD127*5)</f>
      </c>
      <c r="AF127" s="287">
        <f>SUM(AG127:AV127)</f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18"/>
      <c r="AU127" s="18"/>
      <c r="AV127" s="18"/>
      <c r="AW127" s="18"/>
      <c r="AX127" s="18"/>
      <c r="AY127" s="18"/>
      <c r="AZ127" s="18"/>
      <c r="BA127" s="18"/>
      <c r="BB127" s="18"/>
      <c r="BC127" s="16"/>
      <c r="BD127" s="16"/>
      <c r="BE127" s="16"/>
      <c r="BF127" s="286">
        <f>Z127-AF127</f>
      </c>
      <c r="BG127" s="321">
        <f>IFERROR(AF127/Y127,0)</f>
      </c>
      <c r="BH127" s="284">
        <f>IFERROR(AF127/X127,0)</f>
      </c>
      <c r="BI127" s="284">
        <f>IFERROR(X127/SUM(X$3:X$12),0)</f>
      </c>
      <c r="BJ127" s="284">
        <f>IFERROR(BF127/SUM(BF$3:BF324),0)</f>
      </c>
      <c r="BK127" s="288">
        <f>BF127/'R&amp;H Portfolio'!Q$10</f>
      </c>
      <c r="BL127" s="286">
        <f>BI127*P127</f>
      </c>
      <c r="BM127" s="3"/>
      <c r="BN127" s="3"/>
      <c r="BO127" s="17"/>
    </row>
    <row x14ac:dyDescent="0.25" r="128" customHeight="1" ht="15">
      <c r="A128" s="17"/>
      <c r="B128" s="14"/>
      <c r="C128" s="3"/>
      <c r="D128" s="3"/>
      <c r="E128" s="3"/>
      <c r="F128" s="3"/>
      <c r="G128" s="16"/>
      <c r="H128" s="18"/>
      <c r="I128" s="18"/>
      <c r="J128" s="279">
        <f>H128+I128</f>
      </c>
      <c r="K128" s="1"/>
      <c r="L128" s="123">
        <f>K128*I128</f>
      </c>
      <c r="M128" s="123">
        <f>K128*J128</f>
      </c>
      <c r="N128" s="16"/>
      <c r="O128" s="16"/>
      <c r="P128" s="282">
        <f>IF(ISBLANK(N128),O128/4.3,N128/20)</f>
      </c>
      <c r="Q128" s="1"/>
      <c r="R128" s="3"/>
      <c r="S128" s="3"/>
      <c r="T128" s="256">
        <f>IF(ISBLANK(R128),0,X128)</f>
      </c>
      <c r="U128" s="256">
        <f>IF(ISBLANK(S128),0,X128)</f>
      </c>
      <c r="V128" s="284">
        <f>IFERROR(Q128/K128,0)</f>
      </c>
      <c r="W128" s="123">
        <f>IFERROR(L128*V128,0)</f>
      </c>
      <c r="X128" s="256">
        <f>IFERROR(Q128+W128,0)</f>
      </c>
      <c r="Y128" s="256">
        <f>IFERROR(M128*V128,0)</f>
      </c>
      <c r="Z128" s="256">
        <f>Y128-(Y128*$B$1)</f>
      </c>
      <c r="AA128" s="285">
        <f>IFERROR(Z128/X128,"")</f>
      </c>
      <c r="AB128" s="286">
        <f>IFERROR(IF(ISBLANK(N128),Y128/O128,Y128/N128),0)</f>
      </c>
      <c r="AC128" s="286">
        <f>IFERROR(-1*(AB128*B$1),0)</f>
      </c>
      <c r="AD128" s="286">
        <f>IFERROR(SUM(AB128:AC128),0)</f>
      </c>
      <c r="AE128" s="286">
        <f>IF(ISBLANK(N128),AD128,AD128*5)</f>
      </c>
      <c r="AF128" s="287">
        <f>SUM(AG128:AV128)</f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18"/>
      <c r="AU128" s="18"/>
      <c r="AV128" s="18"/>
      <c r="AW128" s="18"/>
      <c r="AX128" s="18"/>
      <c r="AY128" s="18"/>
      <c r="AZ128" s="18"/>
      <c r="BA128" s="18"/>
      <c r="BB128" s="18"/>
      <c r="BC128" s="16"/>
      <c r="BD128" s="16"/>
      <c r="BE128" s="16"/>
      <c r="BF128" s="286">
        <f>Z128-AF128</f>
      </c>
      <c r="BG128" s="321">
        <f>IFERROR(AF128/Y128,0)</f>
      </c>
      <c r="BH128" s="284">
        <f>IFERROR(AF128/X128,0)</f>
      </c>
      <c r="BI128" s="284">
        <f>IFERROR(X128/SUM(X$3:X$12),0)</f>
      </c>
      <c r="BJ128" s="284">
        <f>IFERROR(BF128/SUM(BF$3:BF325),0)</f>
      </c>
      <c r="BK128" s="288">
        <f>BF128/'R&amp;H Portfolio'!Q$10</f>
      </c>
      <c r="BL128" s="286">
        <f>BI128*P128</f>
      </c>
      <c r="BM128" s="3"/>
      <c r="BN128" s="3"/>
      <c r="BO128" s="17"/>
    </row>
    <row x14ac:dyDescent="0.25" r="129" customHeight="1" ht="15">
      <c r="A129" s="17"/>
      <c r="B129" s="14"/>
      <c r="C129" s="3"/>
      <c r="D129" s="3"/>
      <c r="E129" s="3"/>
      <c r="F129" s="3"/>
      <c r="G129" s="16"/>
      <c r="H129" s="18"/>
      <c r="I129" s="18"/>
      <c r="J129" s="279">
        <f>H129+I129</f>
      </c>
      <c r="K129" s="1"/>
      <c r="L129" s="123">
        <f>K129*I129</f>
      </c>
      <c r="M129" s="123">
        <f>K129*J129</f>
      </c>
      <c r="N129" s="16"/>
      <c r="O129" s="16"/>
      <c r="P129" s="282">
        <f>IF(ISBLANK(N129),O129/4.3,N129/20)</f>
      </c>
      <c r="Q129" s="1"/>
      <c r="R129" s="3"/>
      <c r="S129" s="3"/>
      <c r="T129" s="256">
        <f>IF(ISBLANK(R129),0,X129)</f>
      </c>
      <c r="U129" s="256">
        <f>IF(ISBLANK(S129),0,X129)</f>
      </c>
      <c r="V129" s="284">
        <f>IFERROR(Q129/K129,0)</f>
      </c>
      <c r="W129" s="123">
        <f>IFERROR(L129*V129,0)</f>
      </c>
      <c r="X129" s="256">
        <f>IFERROR(Q129+W129,0)</f>
      </c>
      <c r="Y129" s="256">
        <f>IFERROR(M129*V129,0)</f>
      </c>
      <c r="Z129" s="256">
        <f>Y129-(Y129*$B$1)</f>
      </c>
      <c r="AA129" s="285">
        <f>IFERROR(Z129/X129,"")</f>
      </c>
      <c r="AB129" s="286">
        <f>IFERROR(IF(ISBLANK(N129),Y129/O129,Y129/N129),0)</f>
      </c>
      <c r="AC129" s="286">
        <f>IFERROR(-1*(AB129*B$1),0)</f>
      </c>
      <c r="AD129" s="286">
        <f>IFERROR(SUM(AB129:AC129),0)</f>
      </c>
      <c r="AE129" s="286">
        <f>IF(ISBLANK(N129),AD129,AD129*5)</f>
      </c>
      <c r="AF129" s="287">
        <f>SUM(AG129:AV129)</f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18"/>
      <c r="AU129" s="18"/>
      <c r="AV129" s="18"/>
      <c r="AW129" s="18"/>
      <c r="AX129" s="18"/>
      <c r="AY129" s="18"/>
      <c r="AZ129" s="18"/>
      <c r="BA129" s="18"/>
      <c r="BB129" s="18"/>
      <c r="BC129" s="16"/>
      <c r="BD129" s="16"/>
      <c r="BE129" s="16"/>
      <c r="BF129" s="286">
        <f>Z129-AF129</f>
      </c>
      <c r="BG129" s="321">
        <f>IFERROR(AF129/Y129,0)</f>
      </c>
      <c r="BH129" s="284">
        <f>IFERROR(AF129/X129,0)</f>
      </c>
      <c r="BI129" s="284">
        <f>IFERROR(X129/SUM(X$3:X$12),0)</f>
      </c>
      <c r="BJ129" s="284">
        <f>IFERROR(BF129/SUM(BF$3:BF326),0)</f>
      </c>
      <c r="BK129" s="288">
        <f>BF129/'R&amp;H Portfolio'!Q$10</f>
      </c>
      <c r="BL129" s="286">
        <f>BI129*P129</f>
      </c>
      <c r="BM129" s="3"/>
      <c r="BN129" s="3"/>
      <c r="BO129" s="17"/>
    </row>
    <row x14ac:dyDescent="0.25" r="130" customHeight="1" ht="15">
      <c r="A130" s="17"/>
      <c r="B130" s="14"/>
      <c r="C130" s="3"/>
      <c r="D130" s="3"/>
      <c r="E130" s="3"/>
      <c r="F130" s="3"/>
      <c r="G130" s="16"/>
      <c r="H130" s="18"/>
      <c r="I130" s="18"/>
      <c r="J130" s="279">
        <f>H130+I130</f>
      </c>
      <c r="K130" s="1"/>
      <c r="L130" s="123">
        <f>K130*I130</f>
      </c>
      <c r="M130" s="123">
        <f>K130*J130</f>
      </c>
      <c r="N130" s="16"/>
      <c r="O130" s="16"/>
      <c r="P130" s="282">
        <f>IF(ISBLANK(N130),O130/4.3,N130/20)</f>
      </c>
      <c r="Q130" s="1"/>
      <c r="R130" s="3"/>
      <c r="S130" s="3"/>
      <c r="T130" s="256">
        <f>IF(ISBLANK(R130),0,X130)</f>
      </c>
      <c r="U130" s="256">
        <f>IF(ISBLANK(S130),0,X130)</f>
      </c>
      <c r="V130" s="284">
        <f>IFERROR(Q130/K130,0)</f>
      </c>
      <c r="W130" s="123">
        <f>IFERROR(L130*V130,0)</f>
      </c>
      <c r="X130" s="256">
        <f>IFERROR(Q130+W130,0)</f>
      </c>
      <c r="Y130" s="256">
        <f>IFERROR(M130*V130,0)</f>
      </c>
      <c r="Z130" s="256">
        <f>Y130-(Y130*$B$1)</f>
      </c>
      <c r="AA130" s="285">
        <f>IFERROR(Z130/X130,"")</f>
      </c>
      <c r="AB130" s="286">
        <f>IFERROR(IF(ISBLANK(N130),Y130/O130,Y130/N130),0)</f>
      </c>
      <c r="AC130" s="286">
        <f>IFERROR(-1*(AB130*B$1),0)</f>
      </c>
      <c r="AD130" s="286">
        <f>IFERROR(SUM(AB130:AC130),0)</f>
      </c>
      <c r="AE130" s="286">
        <f>IF(ISBLANK(N130),AD130,AD130*5)</f>
      </c>
      <c r="AF130" s="287">
        <f>SUM(AG130:AV130)</f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18"/>
      <c r="AU130" s="18"/>
      <c r="AV130" s="18"/>
      <c r="AW130" s="18"/>
      <c r="AX130" s="18"/>
      <c r="AY130" s="18"/>
      <c r="AZ130" s="18"/>
      <c r="BA130" s="18"/>
      <c r="BB130" s="18"/>
      <c r="BC130" s="16"/>
      <c r="BD130" s="16"/>
      <c r="BE130" s="16"/>
      <c r="BF130" s="286">
        <f>Z130-AF130</f>
      </c>
      <c r="BG130" s="321">
        <f>IFERROR(AF130/Y130,0)</f>
      </c>
      <c r="BH130" s="284">
        <f>IFERROR(AF130/X130,0)</f>
      </c>
      <c r="BI130" s="284">
        <f>IFERROR(X130/SUM(X$3:X$12),0)</f>
      </c>
      <c r="BJ130" s="284">
        <f>IFERROR(BF130/SUM(BF$3:BF327),0)</f>
      </c>
      <c r="BK130" s="288">
        <f>BF130/'R&amp;H Portfolio'!Q$10</f>
      </c>
      <c r="BL130" s="286">
        <f>BI130*P130</f>
      </c>
      <c r="BM130" s="3"/>
      <c r="BN130" s="3"/>
      <c r="BO130" s="17"/>
    </row>
    <row x14ac:dyDescent="0.25" r="131" customHeight="1" ht="15">
      <c r="A131" s="17"/>
      <c r="B131" s="14"/>
      <c r="C131" s="3"/>
      <c r="D131" s="3"/>
      <c r="E131" s="3"/>
      <c r="F131" s="3"/>
      <c r="G131" s="16"/>
      <c r="H131" s="18"/>
      <c r="I131" s="18"/>
      <c r="J131" s="279">
        <f>H131+I131</f>
      </c>
      <c r="K131" s="1"/>
      <c r="L131" s="123">
        <f>K131*I131</f>
      </c>
      <c r="M131" s="123">
        <f>K131*J131</f>
      </c>
      <c r="N131" s="16"/>
      <c r="O131" s="16"/>
      <c r="P131" s="282">
        <f>IF(ISBLANK(N131),O131/4.3,N131/20)</f>
      </c>
      <c r="Q131" s="1"/>
      <c r="R131" s="3"/>
      <c r="S131" s="3"/>
      <c r="T131" s="256">
        <f>IF(ISBLANK(R131),0,X131)</f>
      </c>
      <c r="U131" s="256">
        <f>IF(ISBLANK(S131),0,X131)</f>
      </c>
      <c r="V131" s="284">
        <f>IFERROR(Q131/K131,0)</f>
      </c>
      <c r="W131" s="123">
        <f>IFERROR(L131*V131,0)</f>
      </c>
      <c r="X131" s="256">
        <f>IFERROR(Q131+W131,0)</f>
      </c>
      <c r="Y131" s="256">
        <f>IFERROR(M131*V131,0)</f>
      </c>
      <c r="Z131" s="256">
        <f>Y131-(Y131*$B$1)</f>
      </c>
      <c r="AA131" s="285">
        <f>IFERROR(Z131/X131,"")</f>
      </c>
      <c r="AB131" s="286">
        <f>IFERROR(IF(ISBLANK(N131),Y131/O131,Y131/N131),0)</f>
      </c>
      <c r="AC131" s="286">
        <f>IFERROR(-1*(AB131*B$1),0)</f>
      </c>
      <c r="AD131" s="286">
        <f>IFERROR(SUM(AB131:AC131),0)</f>
      </c>
      <c r="AE131" s="286">
        <f>IF(ISBLANK(N131),AD131,AD131*5)</f>
      </c>
      <c r="AF131" s="287">
        <f>SUM(AG131:AV131)</f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18"/>
      <c r="AU131" s="18"/>
      <c r="AV131" s="18"/>
      <c r="AW131" s="18"/>
      <c r="AX131" s="18"/>
      <c r="AY131" s="18"/>
      <c r="AZ131" s="18"/>
      <c r="BA131" s="18"/>
      <c r="BB131" s="18"/>
      <c r="BC131" s="16"/>
      <c r="BD131" s="16"/>
      <c r="BE131" s="16"/>
      <c r="BF131" s="286">
        <f>Z131-AF131</f>
      </c>
      <c r="BG131" s="321">
        <f>IFERROR(AF131/Y131,0)</f>
      </c>
      <c r="BH131" s="284">
        <f>IFERROR(AF131/X131,0)</f>
      </c>
      <c r="BI131" s="284">
        <f>IFERROR(X131/SUM(X$3:X$12),0)</f>
      </c>
      <c r="BJ131" s="284">
        <f>IFERROR(BF131/SUM(BF$3:BF328),0)</f>
      </c>
      <c r="BK131" s="288">
        <f>BF131/'R&amp;H Portfolio'!Q$10</f>
      </c>
      <c r="BL131" s="286">
        <f>BI131*P131</f>
      </c>
      <c r="BM131" s="3"/>
      <c r="BN131" s="3"/>
      <c r="BO131" s="17"/>
    </row>
    <row x14ac:dyDescent="0.25" r="132" customHeight="1" ht="15">
      <c r="A132" s="17"/>
      <c r="B132" s="14"/>
      <c r="C132" s="3"/>
      <c r="D132" s="3"/>
      <c r="E132" s="3"/>
      <c r="F132" s="3"/>
      <c r="G132" s="16"/>
      <c r="H132" s="18"/>
      <c r="I132" s="18"/>
      <c r="J132" s="279">
        <f>H132+I132</f>
      </c>
      <c r="K132" s="1"/>
      <c r="L132" s="123">
        <f>K132*I132</f>
      </c>
      <c r="M132" s="123">
        <f>K132*J132</f>
      </c>
      <c r="N132" s="16"/>
      <c r="O132" s="16"/>
      <c r="P132" s="282">
        <f>IF(ISBLANK(N132),O132/4.3,N132/20)</f>
      </c>
      <c r="Q132" s="1"/>
      <c r="R132" s="3"/>
      <c r="S132" s="3"/>
      <c r="T132" s="256">
        <f>IF(ISBLANK(R132),0,X132)</f>
      </c>
      <c r="U132" s="256">
        <f>IF(ISBLANK(S132),0,X132)</f>
      </c>
      <c r="V132" s="284">
        <f>IFERROR(Q132/K132,0)</f>
      </c>
      <c r="W132" s="123">
        <f>IFERROR(L132*V132,0)</f>
      </c>
      <c r="X132" s="256">
        <f>IFERROR(Q132+W132,0)</f>
      </c>
      <c r="Y132" s="256">
        <f>IFERROR(M132*V132,0)</f>
      </c>
      <c r="Z132" s="256">
        <f>Y132-(Y132*$B$1)</f>
      </c>
      <c r="AA132" s="285">
        <f>IFERROR(Z132/X132,"")</f>
      </c>
      <c r="AB132" s="286">
        <f>IFERROR(IF(ISBLANK(N132),Y132/O132,Y132/N132),0)</f>
      </c>
      <c r="AC132" s="286">
        <f>IFERROR(-1*(AB132*B$1),0)</f>
      </c>
      <c r="AD132" s="286">
        <f>IFERROR(SUM(AB132:AC132),0)</f>
      </c>
      <c r="AE132" s="286">
        <f>IF(ISBLANK(N132),AD132,AD132*5)</f>
      </c>
      <c r="AF132" s="287">
        <f>SUM(AG132:AV132)</f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18"/>
      <c r="AU132" s="18"/>
      <c r="AV132" s="18"/>
      <c r="AW132" s="18"/>
      <c r="AX132" s="18"/>
      <c r="AY132" s="18"/>
      <c r="AZ132" s="18"/>
      <c r="BA132" s="18"/>
      <c r="BB132" s="18"/>
      <c r="BC132" s="16"/>
      <c r="BD132" s="16"/>
      <c r="BE132" s="16"/>
      <c r="BF132" s="286">
        <f>Z132-AF132</f>
      </c>
      <c r="BG132" s="321">
        <f>IFERROR(AF132/Y132,0)</f>
      </c>
      <c r="BH132" s="284">
        <f>IFERROR(AF132/X132,0)</f>
      </c>
      <c r="BI132" s="284">
        <f>IFERROR(X132/SUM(X$3:X$12),0)</f>
      </c>
      <c r="BJ132" s="284">
        <f>IFERROR(BF132/SUM(BF$3:BF329),0)</f>
      </c>
      <c r="BK132" s="288">
        <f>BF132/'R&amp;H Portfolio'!Q$10</f>
      </c>
      <c r="BL132" s="286">
        <f>BI132*P132</f>
      </c>
      <c r="BM132" s="3"/>
      <c r="BN132" s="3"/>
      <c r="BO132" s="17"/>
    </row>
    <row x14ac:dyDescent="0.25" r="133" customHeight="1" ht="15">
      <c r="A133" s="17"/>
      <c r="B133" s="14"/>
      <c r="C133" s="3"/>
      <c r="D133" s="3"/>
      <c r="E133" s="3"/>
      <c r="F133" s="3"/>
      <c r="G133" s="16"/>
      <c r="H133" s="18"/>
      <c r="I133" s="18"/>
      <c r="J133" s="279">
        <f>H133+I133</f>
      </c>
      <c r="K133" s="1"/>
      <c r="L133" s="123">
        <f>K133*I133</f>
      </c>
      <c r="M133" s="123">
        <f>K133*J133</f>
      </c>
      <c r="N133" s="16"/>
      <c r="O133" s="16"/>
      <c r="P133" s="282">
        <f>IF(ISBLANK(N133),O133/4.3,N133/20)</f>
      </c>
      <c r="Q133" s="1"/>
      <c r="R133" s="3"/>
      <c r="S133" s="3"/>
      <c r="T133" s="256">
        <f>IF(ISBLANK(R133),0,X133)</f>
      </c>
      <c r="U133" s="256">
        <f>IF(ISBLANK(S133),0,X133)</f>
      </c>
      <c r="V133" s="284">
        <f>IFERROR(Q133/K133,0)</f>
      </c>
      <c r="W133" s="123">
        <f>IFERROR(L133*V133,0)</f>
      </c>
      <c r="X133" s="256">
        <f>IFERROR(Q133+W133,0)</f>
      </c>
      <c r="Y133" s="256">
        <f>IFERROR(M133*V133,0)</f>
      </c>
      <c r="Z133" s="256">
        <f>Y133-(Y133*$B$1)</f>
      </c>
      <c r="AA133" s="285">
        <f>IFERROR(Z133/X133,"")</f>
      </c>
      <c r="AB133" s="286">
        <f>IFERROR(IF(ISBLANK(N133),Y133/O133,Y133/N133),0)</f>
      </c>
      <c r="AC133" s="286">
        <f>IFERROR(-1*(AB133*B$1),0)</f>
      </c>
      <c r="AD133" s="286">
        <f>IFERROR(SUM(AB133:AC133),0)</f>
      </c>
      <c r="AE133" s="286">
        <f>IF(ISBLANK(N133),AD133,AD133*5)</f>
      </c>
      <c r="AF133" s="287">
        <f>SUM(AG133:AV133)</f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18"/>
      <c r="AU133" s="18"/>
      <c r="AV133" s="18"/>
      <c r="AW133" s="18"/>
      <c r="AX133" s="18"/>
      <c r="AY133" s="18"/>
      <c r="AZ133" s="18"/>
      <c r="BA133" s="18"/>
      <c r="BB133" s="18"/>
      <c r="BC133" s="16"/>
      <c r="BD133" s="16"/>
      <c r="BE133" s="16"/>
      <c r="BF133" s="286">
        <f>Z133-AF133</f>
      </c>
      <c r="BG133" s="321">
        <f>IFERROR(AF133/Y133,0)</f>
      </c>
      <c r="BH133" s="284">
        <f>IFERROR(AF133/X133,0)</f>
      </c>
      <c r="BI133" s="284">
        <f>IFERROR(X133/SUM(X$3:X$12),0)</f>
      </c>
      <c r="BJ133" s="284">
        <f>IFERROR(BF133/SUM(BF$3:BF330),0)</f>
      </c>
      <c r="BK133" s="288">
        <f>BF133/'R&amp;H Portfolio'!Q$10</f>
      </c>
      <c r="BL133" s="286">
        <f>BI133*P133</f>
      </c>
      <c r="BM133" s="3"/>
      <c r="BN133" s="3"/>
      <c r="BO133" s="17"/>
    </row>
    <row x14ac:dyDescent="0.25" r="134" customHeight="1" ht="15">
      <c r="A134" s="17"/>
      <c r="B134" s="14"/>
      <c r="C134" s="3"/>
      <c r="D134" s="3"/>
      <c r="E134" s="3"/>
      <c r="F134" s="3"/>
      <c r="G134" s="16"/>
      <c r="H134" s="18"/>
      <c r="I134" s="18"/>
      <c r="J134" s="279">
        <f>H134+I134</f>
      </c>
      <c r="K134" s="1"/>
      <c r="L134" s="123">
        <f>K134*I134</f>
      </c>
      <c r="M134" s="123">
        <f>K134*J134</f>
      </c>
      <c r="N134" s="16"/>
      <c r="O134" s="16"/>
      <c r="P134" s="282">
        <f>IF(ISBLANK(N134),O134/4.3,N134/20)</f>
      </c>
      <c r="Q134" s="1"/>
      <c r="R134" s="3"/>
      <c r="S134" s="3"/>
      <c r="T134" s="256">
        <f>IF(ISBLANK(R134),0,X134)</f>
      </c>
      <c r="U134" s="256">
        <f>IF(ISBLANK(S134),0,X134)</f>
      </c>
      <c r="V134" s="284">
        <f>IFERROR(Q134/K134,0)</f>
      </c>
      <c r="W134" s="123">
        <f>IFERROR(L134*V134,0)</f>
      </c>
      <c r="X134" s="256">
        <f>IFERROR(Q134+W134,0)</f>
      </c>
      <c r="Y134" s="256">
        <f>IFERROR(M134*V134,0)</f>
      </c>
      <c r="Z134" s="256">
        <f>Y134-(Y134*$B$1)</f>
      </c>
      <c r="AA134" s="285">
        <f>IFERROR(Z134/X134,"")</f>
      </c>
      <c r="AB134" s="286">
        <f>IFERROR(IF(ISBLANK(N134),Y134/O134,Y134/N134),0)</f>
      </c>
      <c r="AC134" s="286">
        <f>IFERROR(-1*(AB134*B$1),0)</f>
      </c>
      <c r="AD134" s="286">
        <f>IFERROR(SUM(AB134:AC134),0)</f>
      </c>
      <c r="AE134" s="286">
        <f>IF(ISBLANK(N134),AD134,AD134*5)</f>
      </c>
      <c r="AF134" s="287">
        <f>SUM(AG134:AV134)</f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18"/>
      <c r="AU134" s="18"/>
      <c r="AV134" s="18"/>
      <c r="AW134" s="18"/>
      <c r="AX134" s="18"/>
      <c r="AY134" s="18"/>
      <c r="AZ134" s="18"/>
      <c r="BA134" s="18"/>
      <c r="BB134" s="18"/>
      <c r="BC134" s="16"/>
      <c r="BD134" s="16"/>
      <c r="BE134" s="16"/>
      <c r="BF134" s="286">
        <f>Z134-AF134</f>
      </c>
      <c r="BG134" s="321">
        <f>IFERROR(AF134/Y134,0)</f>
      </c>
      <c r="BH134" s="284">
        <f>IFERROR(AF134/X134,0)</f>
      </c>
      <c r="BI134" s="284">
        <f>IFERROR(X134/SUM(X$3:X$12),0)</f>
      </c>
      <c r="BJ134" s="284">
        <f>IFERROR(BF134/SUM(BF$3:BF331),0)</f>
      </c>
      <c r="BK134" s="288">
        <f>BF134/'R&amp;H Portfolio'!Q$10</f>
      </c>
      <c r="BL134" s="286">
        <f>BI134*P134</f>
      </c>
      <c r="BM134" s="3"/>
      <c r="BN134" s="3"/>
      <c r="BO134" s="17"/>
    </row>
    <row x14ac:dyDescent="0.25" r="135" customHeight="1" ht="15">
      <c r="A135" s="17"/>
      <c r="B135" s="14"/>
      <c r="C135" s="3"/>
      <c r="D135" s="3"/>
      <c r="E135" s="3"/>
      <c r="F135" s="3"/>
      <c r="G135" s="16"/>
      <c r="H135" s="18"/>
      <c r="I135" s="18"/>
      <c r="J135" s="279">
        <f>H135+I135</f>
      </c>
      <c r="K135" s="1"/>
      <c r="L135" s="123">
        <f>K135*I135</f>
      </c>
      <c r="M135" s="123">
        <f>K135*J135</f>
      </c>
      <c r="N135" s="16"/>
      <c r="O135" s="16"/>
      <c r="P135" s="282">
        <f>IF(ISBLANK(N135),O135/4.3,N135/20)</f>
      </c>
      <c r="Q135" s="1"/>
      <c r="R135" s="3"/>
      <c r="S135" s="3"/>
      <c r="T135" s="256">
        <f>IF(ISBLANK(R135),0,X135)</f>
      </c>
      <c r="U135" s="256">
        <f>IF(ISBLANK(S135),0,X135)</f>
      </c>
      <c r="V135" s="284">
        <f>IFERROR(Q135/K135,0)</f>
      </c>
      <c r="W135" s="123">
        <f>IFERROR(L135*V135,0)</f>
      </c>
      <c r="X135" s="256">
        <f>IFERROR(Q135+W135,0)</f>
      </c>
      <c r="Y135" s="256">
        <f>IFERROR(M135*V135,0)</f>
      </c>
      <c r="Z135" s="256">
        <f>Y135-(Y135*$B$1)</f>
      </c>
      <c r="AA135" s="285">
        <f>IFERROR(Z135/X135,"")</f>
      </c>
      <c r="AB135" s="286">
        <f>IFERROR(IF(ISBLANK(N135),Y135/O135,Y135/N135),0)</f>
      </c>
      <c r="AC135" s="286">
        <f>IFERROR(-1*(AB135*B$1),0)</f>
      </c>
      <c r="AD135" s="286">
        <f>IFERROR(SUM(AB135:AC135),0)</f>
      </c>
      <c r="AE135" s="286">
        <f>IF(ISBLANK(N135),AD135,AD135*5)</f>
      </c>
      <c r="AF135" s="287">
        <f>SUM(AG135:AV135)</f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18"/>
      <c r="AU135" s="18"/>
      <c r="AV135" s="18"/>
      <c r="AW135" s="18"/>
      <c r="AX135" s="18"/>
      <c r="AY135" s="18"/>
      <c r="AZ135" s="18"/>
      <c r="BA135" s="18"/>
      <c r="BB135" s="18"/>
      <c r="BC135" s="16"/>
      <c r="BD135" s="16"/>
      <c r="BE135" s="16"/>
      <c r="BF135" s="286">
        <f>Z135-AF135</f>
      </c>
      <c r="BG135" s="321">
        <f>IFERROR(AF135/Y135,0)</f>
      </c>
      <c r="BH135" s="284">
        <f>IFERROR(AF135/X135,0)</f>
      </c>
      <c r="BI135" s="284">
        <f>IFERROR(X135/SUM(X$3:X$12),0)</f>
      </c>
      <c r="BJ135" s="284">
        <f>IFERROR(BF135/SUM(BF$3:BF332),0)</f>
      </c>
      <c r="BK135" s="288">
        <f>BF135/'R&amp;H Portfolio'!Q$10</f>
      </c>
      <c r="BL135" s="286">
        <f>BI135*P135</f>
      </c>
      <c r="BM135" s="3"/>
      <c r="BN135" s="3"/>
      <c r="BO135" s="17"/>
    </row>
    <row x14ac:dyDescent="0.25" r="136" customHeight="1" ht="15">
      <c r="A136" s="17"/>
      <c r="B136" s="14"/>
      <c r="C136" s="3"/>
      <c r="D136" s="3"/>
      <c r="E136" s="3"/>
      <c r="F136" s="3"/>
      <c r="G136" s="16"/>
      <c r="H136" s="18"/>
      <c r="I136" s="18"/>
      <c r="J136" s="279">
        <f>H136+I136</f>
      </c>
      <c r="K136" s="1"/>
      <c r="L136" s="123">
        <f>K136*I136</f>
      </c>
      <c r="M136" s="123">
        <f>K136*J136</f>
      </c>
      <c r="N136" s="16"/>
      <c r="O136" s="16"/>
      <c r="P136" s="282">
        <f>IF(ISBLANK(N136),O136/4.3,N136/20)</f>
      </c>
      <c r="Q136" s="1"/>
      <c r="R136" s="3"/>
      <c r="S136" s="3"/>
      <c r="T136" s="256">
        <f>IF(ISBLANK(R136),0,X136)</f>
      </c>
      <c r="U136" s="256">
        <f>IF(ISBLANK(S136),0,X136)</f>
      </c>
      <c r="V136" s="284">
        <f>IFERROR(Q136/K136,0)</f>
      </c>
      <c r="W136" s="123">
        <f>IFERROR(L136*V136,0)</f>
      </c>
      <c r="X136" s="256">
        <f>IFERROR(Q136+W136,0)</f>
      </c>
      <c r="Y136" s="256">
        <f>IFERROR(M136*V136,0)</f>
      </c>
      <c r="Z136" s="256">
        <f>Y136-(Y136*$B$1)</f>
      </c>
      <c r="AA136" s="285">
        <f>IFERROR(Z136/X136,"")</f>
      </c>
      <c r="AB136" s="286">
        <f>IFERROR(IF(ISBLANK(N136),Y136/O136,Y136/N136),0)</f>
      </c>
      <c r="AC136" s="286">
        <f>IFERROR(-1*(AB136*B$1),0)</f>
      </c>
      <c r="AD136" s="286">
        <f>IFERROR(SUM(AB136:AC136),0)</f>
      </c>
      <c r="AE136" s="286">
        <f>IF(ISBLANK(N136),AD136,AD136*5)</f>
      </c>
      <c r="AF136" s="287">
        <f>SUM(AG136:AV136)</f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18"/>
      <c r="AU136" s="18"/>
      <c r="AV136" s="18"/>
      <c r="AW136" s="18"/>
      <c r="AX136" s="18"/>
      <c r="AY136" s="18"/>
      <c r="AZ136" s="18"/>
      <c r="BA136" s="18"/>
      <c r="BB136" s="18"/>
      <c r="BC136" s="16"/>
      <c r="BD136" s="16"/>
      <c r="BE136" s="16"/>
      <c r="BF136" s="286">
        <f>Z136-AF136</f>
      </c>
      <c r="BG136" s="321">
        <f>IFERROR(AF136/Y136,0)</f>
      </c>
      <c r="BH136" s="284">
        <f>IFERROR(AF136/X136,0)</f>
      </c>
      <c r="BI136" s="284">
        <f>IFERROR(X136/SUM(X$3:X$12),0)</f>
      </c>
      <c r="BJ136" s="284">
        <f>IFERROR(BF136/SUM(BF$3:BF333),0)</f>
      </c>
      <c r="BK136" s="288">
        <f>BF136/'R&amp;H Portfolio'!Q$10</f>
      </c>
      <c r="BL136" s="286">
        <f>BI136*P136</f>
      </c>
      <c r="BM136" s="3"/>
      <c r="BN136" s="3"/>
      <c r="BO136" s="17"/>
    </row>
    <row x14ac:dyDescent="0.25" r="137" customHeight="1" ht="15">
      <c r="A137" s="17"/>
      <c r="B137" s="14"/>
      <c r="C137" s="3"/>
      <c r="D137" s="3"/>
      <c r="E137" s="3"/>
      <c r="F137" s="3"/>
      <c r="G137" s="16"/>
      <c r="H137" s="18"/>
      <c r="I137" s="18"/>
      <c r="J137" s="279">
        <f>H137+I137</f>
      </c>
      <c r="K137" s="1"/>
      <c r="L137" s="123">
        <f>K137*I137</f>
      </c>
      <c r="M137" s="123">
        <f>K137*J137</f>
      </c>
      <c r="N137" s="16"/>
      <c r="O137" s="16"/>
      <c r="P137" s="282">
        <f>IF(ISBLANK(N137),O137/4.3,N137/20)</f>
      </c>
      <c r="Q137" s="1"/>
      <c r="R137" s="3"/>
      <c r="S137" s="3"/>
      <c r="T137" s="256">
        <f>IF(ISBLANK(R137),0,X137)</f>
      </c>
      <c r="U137" s="256">
        <f>IF(ISBLANK(S137),0,X137)</f>
      </c>
      <c r="V137" s="284">
        <f>IFERROR(Q137/K137,0)</f>
      </c>
      <c r="W137" s="123">
        <f>IFERROR(L137*V137,0)</f>
      </c>
      <c r="X137" s="256">
        <f>IFERROR(Q137+W137,0)</f>
      </c>
      <c r="Y137" s="256">
        <f>IFERROR(M137*V137,0)</f>
      </c>
      <c r="Z137" s="256">
        <f>Y137-(Y137*$B$1)</f>
      </c>
      <c r="AA137" s="285">
        <f>IFERROR(Z137/X137,"")</f>
      </c>
      <c r="AB137" s="286">
        <f>IFERROR(IF(ISBLANK(N137),Y137/O137,Y137/N137),0)</f>
      </c>
      <c r="AC137" s="286">
        <f>IFERROR(-1*(AB137*B$1),0)</f>
      </c>
      <c r="AD137" s="286">
        <f>IFERROR(SUM(AB137:AC137),0)</f>
      </c>
      <c r="AE137" s="286">
        <f>IF(ISBLANK(N137),AD137,AD137*5)</f>
      </c>
      <c r="AF137" s="287">
        <f>SUM(AG137:AV137)</f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18"/>
      <c r="AU137" s="18"/>
      <c r="AV137" s="18"/>
      <c r="AW137" s="18"/>
      <c r="AX137" s="18"/>
      <c r="AY137" s="18"/>
      <c r="AZ137" s="18"/>
      <c r="BA137" s="18"/>
      <c r="BB137" s="18"/>
      <c r="BC137" s="16"/>
      <c r="BD137" s="16"/>
      <c r="BE137" s="16"/>
      <c r="BF137" s="286">
        <f>Z137-AF137</f>
      </c>
      <c r="BG137" s="321">
        <f>IFERROR(AF137/Y137,0)</f>
      </c>
      <c r="BH137" s="284">
        <f>IFERROR(AF137/X137,0)</f>
      </c>
      <c r="BI137" s="284">
        <f>IFERROR(X137/SUM(X$3:X$12),0)</f>
      </c>
      <c r="BJ137" s="284">
        <f>IFERROR(BF137/SUM(BF$3:BF334),0)</f>
      </c>
      <c r="BK137" s="288">
        <f>BF137/'R&amp;H Portfolio'!Q$10</f>
      </c>
      <c r="BL137" s="286">
        <f>BI137*P137</f>
      </c>
      <c r="BM137" s="3"/>
      <c r="BN137" s="3"/>
      <c r="BO137" s="17"/>
    </row>
    <row x14ac:dyDescent="0.25" r="138" customHeight="1" ht="15">
      <c r="A138" s="17"/>
      <c r="B138" s="14"/>
      <c r="C138" s="3"/>
      <c r="D138" s="3"/>
      <c r="E138" s="3"/>
      <c r="F138" s="3"/>
      <c r="G138" s="16"/>
      <c r="H138" s="18"/>
      <c r="I138" s="18"/>
      <c r="J138" s="279">
        <f>H138+I138</f>
      </c>
      <c r="K138" s="1"/>
      <c r="L138" s="123">
        <f>K138*I138</f>
      </c>
      <c r="M138" s="123">
        <f>K138*J138</f>
      </c>
      <c r="N138" s="16"/>
      <c r="O138" s="16"/>
      <c r="P138" s="282">
        <f>IF(ISBLANK(N138),O138/4.3,N138/20)</f>
      </c>
      <c r="Q138" s="1"/>
      <c r="R138" s="3"/>
      <c r="S138" s="3"/>
      <c r="T138" s="256">
        <f>IF(ISBLANK(R138),0,X138)</f>
      </c>
      <c r="U138" s="256">
        <f>IF(ISBLANK(S138),0,X138)</f>
      </c>
      <c r="V138" s="284">
        <f>IFERROR(Q138/K138,0)</f>
      </c>
      <c r="W138" s="123">
        <f>IFERROR(L138*V138,0)</f>
      </c>
      <c r="X138" s="256">
        <f>IFERROR(Q138+W138,0)</f>
      </c>
      <c r="Y138" s="256">
        <f>IFERROR(M138*V138,0)</f>
      </c>
      <c r="Z138" s="256">
        <f>Y138-(Y138*$B$1)</f>
      </c>
      <c r="AA138" s="285">
        <f>IFERROR(Z138/X138,"")</f>
      </c>
      <c r="AB138" s="286">
        <f>IFERROR(IF(ISBLANK(N138),Y138/O138,Y138/N138),0)</f>
      </c>
      <c r="AC138" s="286">
        <f>IFERROR(-1*(AB138*B$1),0)</f>
      </c>
      <c r="AD138" s="286">
        <f>IFERROR(SUM(AB138:AC138),0)</f>
      </c>
      <c r="AE138" s="286">
        <f>IF(ISBLANK(N138),AD138,AD138*5)</f>
      </c>
      <c r="AF138" s="287">
        <f>SUM(AG138:AV138)</f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18"/>
      <c r="AU138" s="18"/>
      <c r="AV138" s="18"/>
      <c r="AW138" s="18"/>
      <c r="AX138" s="18"/>
      <c r="AY138" s="18"/>
      <c r="AZ138" s="18"/>
      <c r="BA138" s="18"/>
      <c r="BB138" s="18"/>
      <c r="BC138" s="16"/>
      <c r="BD138" s="16"/>
      <c r="BE138" s="16"/>
      <c r="BF138" s="286">
        <f>Z138-AF138</f>
      </c>
      <c r="BG138" s="321">
        <f>IFERROR(AF138/Y138,0)</f>
      </c>
      <c r="BH138" s="284">
        <f>IFERROR(AF138/X138,0)</f>
      </c>
      <c r="BI138" s="284">
        <f>IFERROR(X138/SUM(X$3:X$12),0)</f>
      </c>
      <c r="BJ138" s="284">
        <f>IFERROR(BF138/SUM(BF$3:BF335),0)</f>
      </c>
      <c r="BK138" s="288">
        <f>BF138/'R&amp;H Portfolio'!Q$10</f>
      </c>
      <c r="BL138" s="286">
        <f>BI138*P138</f>
      </c>
      <c r="BM138" s="3"/>
      <c r="BN138" s="3"/>
      <c r="BO138" s="17"/>
    </row>
    <row x14ac:dyDescent="0.25" r="139" customHeight="1" ht="15">
      <c r="A139" s="17"/>
      <c r="B139" s="14"/>
      <c r="C139" s="3"/>
      <c r="D139" s="3"/>
      <c r="E139" s="3"/>
      <c r="F139" s="3"/>
      <c r="G139" s="16"/>
      <c r="H139" s="18"/>
      <c r="I139" s="18"/>
      <c r="J139" s="279">
        <f>H139+I139</f>
      </c>
      <c r="K139" s="1"/>
      <c r="L139" s="123">
        <f>K139*I139</f>
      </c>
      <c r="M139" s="123">
        <f>K139*J139</f>
      </c>
      <c r="N139" s="16"/>
      <c r="O139" s="16"/>
      <c r="P139" s="282">
        <f>IF(ISBLANK(N139),O139/4.3,N139/20)</f>
      </c>
      <c r="Q139" s="1"/>
      <c r="R139" s="3"/>
      <c r="S139" s="3"/>
      <c r="T139" s="256">
        <f>IF(ISBLANK(R139),0,X139)</f>
      </c>
      <c r="U139" s="256">
        <f>IF(ISBLANK(S139),0,X139)</f>
      </c>
      <c r="V139" s="284">
        <f>IFERROR(Q139/K139,0)</f>
      </c>
      <c r="W139" s="123">
        <f>IFERROR(L139*V139,0)</f>
      </c>
      <c r="X139" s="256">
        <f>IFERROR(Q139+W139,0)</f>
      </c>
      <c r="Y139" s="256">
        <f>IFERROR(M139*V139,0)</f>
      </c>
      <c r="Z139" s="256">
        <f>Y139-(Y139*$B$1)</f>
      </c>
      <c r="AA139" s="285">
        <f>IFERROR(Z139/X139,"")</f>
      </c>
      <c r="AB139" s="286">
        <f>IFERROR(IF(ISBLANK(N139),Y139/O139,Y139/N139),0)</f>
      </c>
      <c r="AC139" s="286">
        <f>IFERROR(-1*(AB139*B$1),0)</f>
      </c>
      <c r="AD139" s="286">
        <f>IFERROR(SUM(AB139:AC139),0)</f>
      </c>
      <c r="AE139" s="286">
        <f>IF(ISBLANK(N139),AD139,AD139*5)</f>
      </c>
      <c r="AF139" s="287">
        <f>SUM(AG139:AV139)</f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18"/>
      <c r="AU139" s="18"/>
      <c r="AV139" s="18"/>
      <c r="AW139" s="18"/>
      <c r="AX139" s="18"/>
      <c r="AY139" s="18"/>
      <c r="AZ139" s="18"/>
      <c r="BA139" s="18"/>
      <c r="BB139" s="18"/>
      <c r="BC139" s="16"/>
      <c r="BD139" s="16"/>
      <c r="BE139" s="16"/>
      <c r="BF139" s="286">
        <f>Z139-AF139</f>
      </c>
      <c r="BG139" s="321">
        <f>IFERROR(AF139/Y139,0)</f>
      </c>
      <c r="BH139" s="284">
        <f>IFERROR(AF139/X139,0)</f>
      </c>
      <c r="BI139" s="284">
        <f>IFERROR(X139/SUM(X$3:X$12),0)</f>
      </c>
      <c r="BJ139" s="284">
        <f>IFERROR(BF139/SUM(BF$3:BF336),0)</f>
      </c>
      <c r="BK139" s="288">
        <f>BF139/'R&amp;H Portfolio'!Q$10</f>
      </c>
      <c r="BL139" s="286">
        <f>BI139*P139</f>
      </c>
      <c r="BM139" s="3"/>
      <c r="BN139" s="3"/>
      <c r="BO139" s="17"/>
    </row>
    <row x14ac:dyDescent="0.25" r="140" customHeight="1" ht="15">
      <c r="A140" s="17"/>
      <c r="B140" s="14"/>
      <c r="C140" s="3"/>
      <c r="D140" s="3"/>
      <c r="E140" s="3"/>
      <c r="F140" s="3"/>
      <c r="G140" s="16"/>
      <c r="H140" s="18"/>
      <c r="I140" s="18"/>
      <c r="J140" s="279">
        <f>H140+I140</f>
      </c>
      <c r="K140" s="1"/>
      <c r="L140" s="123">
        <f>K140*I140</f>
      </c>
      <c r="M140" s="123">
        <f>K140*J140</f>
      </c>
      <c r="N140" s="16"/>
      <c r="O140" s="16"/>
      <c r="P140" s="282">
        <f>IF(ISBLANK(N140),O140/4.3,N140/20)</f>
      </c>
      <c r="Q140" s="1"/>
      <c r="R140" s="3"/>
      <c r="S140" s="3"/>
      <c r="T140" s="256">
        <f>IF(ISBLANK(R140),0,X140)</f>
      </c>
      <c r="U140" s="256">
        <f>IF(ISBLANK(S140),0,X140)</f>
      </c>
      <c r="V140" s="284">
        <f>IFERROR(Q140/K140,0)</f>
      </c>
      <c r="W140" s="123">
        <f>IFERROR(L140*V140,0)</f>
      </c>
      <c r="X140" s="256">
        <f>IFERROR(Q140+W140,0)</f>
      </c>
      <c r="Y140" s="256">
        <f>IFERROR(M140*V140,0)</f>
      </c>
      <c r="Z140" s="256">
        <f>Y140-(Y140*$B$1)</f>
      </c>
      <c r="AA140" s="285">
        <f>IFERROR(Z140/X140,"")</f>
      </c>
      <c r="AB140" s="286">
        <f>IFERROR(IF(ISBLANK(N140),Y140/O140,Y140/N140),0)</f>
      </c>
      <c r="AC140" s="286">
        <f>IFERROR(-1*(AB140*B$1),0)</f>
      </c>
      <c r="AD140" s="286">
        <f>IFERROR(SUM(AB140:AC140),0)</f>
      </c>
      <c r="AE140" s="286">
        <f>IF(ISBLANK(N140),AD140,AD140*5)</f>
      </c>
      <c r="AF140" s="287">
        <f>SUM(AG140:AV140)</f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18"/>
      <c r="AU140" s="18"/>
      <c r="AV140" s="18"/>
      <c r="AW140" s="18"/>
      <c r="AX140" s="18"/>
      <c r="AY140" s="18"/>
      <c r="AZ140" s="18"/>
      <c r="BA140" s="18"/>
      <c r="BB140" s="18"/>
      <c r="BC140" s="16"/>
      <c r="BD140" s="16"/>
      <c r="BE140" s="16"/>
      <c r="BF140" s="286">
        <f>Z140-AF140</f>
      </c>
      <c r="BG140" s="321">
        <f>IFERROR(AF140/Y140,0)</f>
      </c>
      <c r="BH140" s="284">
        <f>IFERROR(AF140/X140,0)</f>
      </c>
      <c r="BI140" s="284">
        <f>IFERROR(X140/SUM(X$3:X$12),0)</f>
      </c>
      <c r="BJ140" s="284">
        <f>IFERROR(BF140/SUM(BF$3:BF337),0)</f>
      </c>
      <c r="BK140" s="288">
        <f>BF140/'R&amp;H Portfolio'!Q$10</f>
      </c>
      <c r="BL140" s="286">
        <f>BI140*P140</f>
      </c>
      <c r="BM140" s="3"/>
      <c r="BN140" s="3"/>
      <c r="BO140" s="17"/>
    </row>
    <row x14ac:dyDescent="0.25" r="141" customHeight="1" ht="15">
      <c r="A141" s="17"/>
      <c r="B141" s="14"/>
      <c r="C141" s="3"/>
      <c r="D141" s="3"/>
      <c r="E141" s="3"/>
      <c r="F141" s="3"/>
      <c r="G141" s="16"/>
      <c r="H141" s="18"/>
      <c r="I141" s="18"/>
      <c r="J141" s="279">
        <f>H141+I141</f>
      </c>
      <c r="K141" s="1"/>
      <c r="L141" s="123">
        <f>K141*I141</f>
      </c>
      <c r="M141" s="123">
        <f>K141*J141</f>
      </c>
      <c r="N141" s="16"/>
      <c r="O141" s="16"/>
      <c r="P141" s="282">
        <f>IF(ISBLANK(N141),O141/4.3,N141/20)</f>
      </c>
      <c r="Q141" s="1"/>
      <c r="R141" s="3"/>
      <c r="S141" s="3"/>
      <c r="T141" s="256">
        <f>IF(ISBLANK(R141),0,X141)</f>
      </c>
      <c r="U141" s="256">
        <f>IF(ISBLANK(S141),0,X141)</f>
      </c>
      <c r="V141" s="284">
        <f>IFERROR(Q141/K141,0)</f>
      </c>
      <c r="W141" s="123">
        <f>IFERROR(L141*V141,0)</f>
      </c>
      <c r="X141" s="256">
        <f>IFERROR(Q141+W141,0)</f>
      </c>
      <c r="Y141" s="256">
        <f>IFERROR(M141*V141,0)</f>
      </c>
      <c r="Z141" s="256">
        <f>Y141-(Y141*$B$1)</f>
      </c>
      <c r="AA141" s="285">
        <f>IFERROR(Z141/X141,"")</f>
      </c>
      <c r="AB141" s="286">
        <f>IFERROR(IF(ISBLANK(N141),Y141/O141,Y141/N141),0)</f>
      </c>
      <c r="AC141" s="286">
        <f>IFERROR(-1*(AB141*B$1),0)</f>
      </c>
      <c r="AD141" s="286">
        <f>IFERROR(SUM(AB141:AC141),0)</f>
      </c>
      <c r="AE141" s="286">
        <f>IF(ISBLANK(N141),AD141,AD141*5)</f>
      </c>
      <c r="AF141" s="287">
        <f>SUM(AG141:AV141)</f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18"/>
      <c r="AU141" s="18"/>
      <c r="AV141" s="18"/>
      <c r="AW141" s="18"/>
      <c r="AX141" s="18"/>
      <c r="AY141" s="18"/>
      <c r="AZ141" s="18"/>
      <c r="BA141" s="18"/>
      <c r="BB141" s="18"/>
      <c r="BC141" s="16"/>
      <c r="BD141" s="16"/>
      <c r="BE141" s="16"/>
      <c r="BF141" s="286">
        <f>Z141-AF141</f>
      </c>
      <c r="BG141" s="321">
        <f>IFERROR(AF141/Y141,0)</f>
      </c>
      <c r="BH141" s="284">
        <f>IFERROR(AF141/X141,0)</f>
      </c>
      <c r="BI141" s="284">
        <f>IFERROR(X141/SUM(X$3:X$12),0)</f>
      </c>
      <c r="BJ141" s="284">
        <f>IFERROR(BF141/SUM(BF$3:BF338),0)</f>
      </c>
      <c r="BK141" s="288">
        <f>BF141/'R&amp;H Portfolio'!Q$10</f>
      </c>
      <c r="BL141" s="286">
        <f>BI141*P141</f>
      </c>
      <c r="BM141" s="3"/>
      <c r="BN141" s="3"/>
      <c r="BO141" s="17"/>
    </row>
    <row x14ac:dyDescent="0.25" r="142" customHeight="1" ht="15">
      <c r="A142" s="17"/>
      <c r="B142" s="14"/>
      <c r="C142" s="3"/>
      <c r="D142" s="3"/>
      <c r="E142" s="3"/>
      <c r="F142" s="3"/>
      <c r="G142" s="16"/>
      <c r="H142" s="18"/>
      <c r="I142" s="18"/>
      <c r="J142" s="279">
        <f>H142+I142</f>
      </c>
      <c r="K142" s="1"/>
      <c r="L142" s="123">
        <f>K142*I142</f>
      </c>
      <c r="M142" s="123">
        <f>K142*J142</f>
      </c>
      <c r="N142" s="16"/>
      <c r="O142" s="16"/>
      <c r="P142" s="282">
        <f>IF(ISBLANK(N142),O142/4.3,N142/20)</f>
      </c>
      <c r="Q142" s="1"/>
      <c r="R142" s="3"/>
      <c r="S142" s="3"/>
      <c r="T142" s="256">
        <f>IF(ISBLANK(R142),0,X142)</f>
      </c>
      <c r="U142" s="256">
        <f>IF(ISBLANK(S142),0,X142)</f>
      </c>
      <c r="V142" s="284">
        <f>IFERROR(Q142/K142,0)</f>
      </c>
      <c r="W142" s="123">
        <f>IFERROR(L142*V142,0)</f>
      </c>
      <c r="X142" s="256">
        <f>IFERROR(Q142+W142,0)</f>
      </c>
      <c r="Y142" s="256">
        <f>IFERROR(M142*V142,0)</f>
      </c>
      <c r="Z142" s="256">
        <f>Y142-(Y142*$B$1)</f>
      </c>
      <c r="AA142" s="285">
        <f>IFERROR(Z142/X142,"")</f>
      </c>
      <c r="AB142" s="286">
        <f>IFERROR(IF(ISBLANK(N142),Y142/O142,Y142/N142),0)</f>
      </c>
      <c r="AC142" s="286">
        <f>IFERROR(-1*(AB142*B$1),0)</f>
      </c>
      <c r="AD142" s="286">
        <f>IFERROR(SUM(AB142:AC142),0)</f>
      </c>
      <c r="AE142" s="286">
        <f>IF(ISBLANK(N142),AD142,AD142*5)</f>
      </c>
      <c r="AF142" s="287">
        <f>SUM(AG142:AV142)</f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18"/>
      <c r="AU142" s="18"/>
      <c r="AV142" s="18"/>
      <c r="AW142" s="18"/>
      <c r="AX142" s="18"/>
      <c r="AY142" s="18"/>
      <c r="AZ142" s="18"/>
      <c r="BA142" s="18"/>
      <c r="BB142" s="18"/>
      <c r="BC142" s="16"/>
      <c r="BD142" s="16"/>
      <c r="BE142" s="16"/>
      <c r="BF142" s="286">
        <f>Z142-AF142</f>
      </c>
      <c r="BG142" s="321">
        <f>IFERROR(AF142/Y142,0)</f>
      </c>
      <c r="BH142" s="284">
        <f>IFERROR(AF142/X142,0)</f>
      </c>
      <c r="BI142" s="284">
        <f>IFERROR(X142/SUM(X$3:X$12),0)</f>
      </c>
      <c r="BJ142" s="284">
        <f>IFERROR(BF142/SUM(BF$3:BF339),0)</f>
      </c>
      <c r="BK142" s="288">
        <f>BF142/'R&amp;H Portfolio'!Q$10</f>
      </c>
      <c r="BL142" s="286">
        <f>BI142*P142</f>
      </c>
      <c r="BM142" s="3"/>
      <c r="BN142" s="3"/>
      <c r="BO142" s="17"/>
    </row>
    <row x14ac:dyDescent="0.25" r="143" customHeight="1" ht="15">
      <c r="A143" s="17"/>
      <c r="B143" s="14"/>
      <c r="C143" s="3"/>
      <c r="D143" s="3"/>
      <c r="E143" s="3"/>
      <c r="F143" s="3"/>
      <c r="G143" s="16"/>
      <c r="H143" s="18"/>
      <c r="I143" s="18"/>
      <c r="J143" s="279">
        <f>H143+I143</f>
      </c>
      <c r="K143" s="1"/>
      <c r="L143" s="123">
        <f>K143*I143</f>
      </c>
      <c r="M143" s="123">
        <f>K143*J143</f>
      </c>
      <c r="N143" s="16"/>
      <c r="O143" s="16"/>
      <c r="P143" s="282">
        <f>IF(ISBLANK(N143),O143/4.3,N143/20)</f>
      </c>
      <c r="Q143" s="1"/>
      <c r="R143" s="3"/>
      <c r="S143" s="3"/>
      <c r="T143" s="256">
        <f>IF(ISBLANK(R143),0,X143)</f>
      </c>
      <c r="U143" s="256">
        <f>IF(ISBLANK(S143),0,X143)</f>
      </c>
      <c r="V143" s="284">
        <f>IFERROR(Q143/K143,0)</f>
      </c>
      <c r="W143" s="123">
        <f>IFERROR(L143*V143,0)</f>
      </c>
      <c r="X143" s="256">
        <f>IFERROR(Q143+W143,0)</f>
      </c>
      <c r="Y143" s="256">
        <f>IFERROR(M143*V143,0)</f>
      </c>
      <c r="Z143" s="256">
        <f>Y143-(Y143*$B$1)</f>
      </c>
      <c r="AA143" s="285">
        <f>IFERROR(Z143/X143,"")</f>
      </c>
      <c r="AB143" s="286">
        <f>IFERROR(IF(ISBLANK(N143),Y143/O143,Y143/N143),0)</f>
      </c>
      <c r="AC143" s="286">
        <f>IFERROR(-1*(AB143*B$1),0)</f>
      </c>
      <c r="AD143" s="286">
        <f>IFERROR(SUM(AB143:AC143),0)</f>
      </c>
      <c r="AE143" s="286">
        <f>IF(ISBLANK(N143),AD143,AD143*5)</f>
      </c>
      <c r="AF143" s="287">
        <f>SUM(AG143:AV143)</f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18"/>
      <c r="AU143" s="18"/>
      <c r="AV143" s="18"/>
      <c r="AW143" s="18"/>
      <c r="AX143" s="18"/>
      <c r="AY143" s="18"/>
      <c r="AZ143" s="18"/>
      <c r="BA143" s="18"/>
      <c r="BB143" s="18"/>
      <c r="BC143" s="16"/>
      <c r="BD143" s="16"/>
      <c r="BE143" s="16"/>
      <c r="BF143" s="286">
        <f>Z143-AF143</f>
      </c>
      <c r="BG143" s="321">
        <f>IFERROR(AF143/Y143,0)</f>
      </c>
      <c r="BH143" s="284">
        <f>IFERROR(AF143/X143,0)</f>
      </c>
      <c r="BI143" s="284">
        <f>IFERROR(X143/SUM(X$3:X$12),0)</f>
      </c>
      <c r="BJ143" s="284">
        <f>IFERROR(BF143/SUM(BF$3:BF340),0)</f>
      </c>
      <c r="BK143" s="288">
        <f>BF143/'R&amp;H Portfolio'!Q$10</f>
      </c>
      <c r="BL143" s="286">
        <f>BI143*P143</f>
      </c>
      <c r="BM143" s="3"/>
      <c r="BN143" s="3"/>
      <c r="BO143" s="17"/>
    </row>
    <row x14ac:dyDescent="0.25" r="144" customHeight="1" ht="15">
      <c r="A144" s="17"/>
      <c r="B144" s="14"/>
      <c r="C144" s="3"/>
      <c r="D144" s="3"/>
      <c r="E144" s="3"/>
      <c r="F144" s="3"/>
      <c r="G144" s="16"/>
      <c r="H144" s="18"/>
      <c r="I144" s="18"/>
      <c r="J144" s="279">
        <f>H144+I144</f>
      </c>
      <c r="K144" s="1"/>
      <c r="L144" s="123">
        <f>K144*I144</f>
      </c>
      <c r="M144" s="123">
        <f>K144*J144</f>
      </c>
      <c r="N144" s="16"/>
      <c r="O144" s="16"/>
      <c r="P144" s="282">
        <f>IF(ISBLANK(N144),O144/4.3,N144/20)</f>
      </c>
      <c r="Q144" s="1"/>
      <c r="R144" s="3"/>
      <c r="S144" s="3"/>
      <c r="T144" s="256">
        <f>IF(ISBLANK(R144),0,X144)</f>
      </c>
      <c r="U144" s="256">
        <f>IF(ISBLANK(S144),0,X144)</f>
      </c>
      <c r="V144" s="284">
        <f>IFERROR(Q144/K144,0)</f>
      </c>
      <c r="W144" s="123">
        <f>IFERROR(L144*V144,0)</f>
      </c>
      <c r="X144" s="256">
        <f>IFERROR(Q144+W144,0)</f>
      </c>
      <c r="Y144" s="256">
        <f>IFERROR(M144*V144,0)</f>
      </c>
      <c r="Z144" s="256">
        <f>Y144-(Y144*$B$1)</f>
      </c>
      <c r="AA144" s="285">
        <f>IFERROR(Z144/X144,"")</f>
      </c>
      <c r="AB144" s="286">
        <f>IFERROR(IF(ISBLANK(N144),Y144/O144,Y144/N144),0)</f>
      </c>
      <c r="AC144" s="286">
        <f>IFERROR(-1*(AB144*B$1),0)</f>
      </c>
      <c r="AD144" s="286">
        <f>IFERROR(SUM(AB144:AC144),0)</f>
      </c>
      <c r="AE144" s="286">
        <f>IF(ISBLANK(N144),AD144,AD144*5)</f>
      </c>
      <c r="AF144" s="287">
        <f>SUM(AG144:AV144)</f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18"/>
      <c r="AU144" s="18"/>
      <c r="AV144" s="18"/>
      <c r="AW144" s="18"/>
      <c r="AX144" s="18"/>
      <c r="AY144" s="18"/>
      <c r="AZ144" s="18"/>
      <c r="BA144" s="18"/>
      <c r="BB144" s="18"/>
      <c r="BC144" s="16"/>
      <c r="BD144" s="16"/>
      <c r="BE144" s="16"/>
      <c r="BF144" s="286">
        <f>Z144-AF144</f>
      </c>
      <c r="BG144" s="321">
        <f>IFERROR(AF144/Y144,0)</f>
      </c>
      <c r="BH144" s="284">
        <f>IFERROR(AF144/X144,0)</f>
      </c>
      <c r="BI144" s="284">
        <f>IFERROR(X144/SUM(X$3:X$12),0)</f>
      </c>
      <c r="BJ144" s="284">
        <f>IFERROR(BF144/SUM(BF$3:BF341),0)</f>
      </c>
      <c r="BK144" s="288">
        <f>BF144/'R&amp;H Portfolio'!Q$10</f>
      </c>
      <c r="BL144" s="286">
        <f>BI144*P144</f>
      </c>
      <c r="BM144" s="3"/>
      <c r="BN144" s="3"/>
      <c r="BO144" s="17"/>
    </row>
    <row x14ac:dyDescent="0.25" r="145" customHeight="1" ht="15">
      <c r="A145" s="17"/>
      <c r="B145" s="14"/>
      <c r="C145" s="3"/>
      <c r="D145" s="3"/>
      <c r="E145" s="3"/>
      <c r="F145" s="3"/>
      <c r="G145" s="16"/>
      <c r="H145" s="18"/>
      <c r="I145" s="18"/>
      <c r="J145" s="279">
        <f>H145+I145</f>
      </c>
      <c r="K145" s="1"/>
      <c r="L145" s="123">
        <f>K145*I145</f>
      </c>
      <c r="M145" s="123">
        <f>K145*J145</f>
      </c>
      <c r="N145" s="16"/>
      <c r="O145" s="16"/>
      <c r="P145" s="282">
        <f>IF(ISBLANK(N145),O145/4.3,N145/20)</f>
      </c>
      <c r="Q145" s="1"/>
      <c r="R145" s="3"/>
      <c r="S145" s="3"/>
      <c r="T145" s="256">
        <f>IF(ISBLANK(R145),0,X145)</f>
      </c>
      <c r="U145" s="256">
        <f>IF(ISBLANK(S145),0,X145)</f>
      </c>
      <c r="V145" s="284">
        <f>IFERROR(Q145/K145,0)</f>
      </c>
      <c r="W145" s="123">
        <f>IFERROR(L145*V145,0)</f>
      </c>
      <c r="X145" s="256">
        <f>IFERROR(Q145+W145,0)</f>
      </c>
      <c r="Y145" s="256">
        <f>IFERROR(M145*V145,0)</f>
      </c>
      <c r="Z145" s="256">
        <f>Y145-(Y145*$B$1)</f>
      </c>
      <c r="AA145" s="285">
        <f>IFERROR(Z145/X145,"")</f>
      </c>
      <c r="AB145" s="286">
        <f>IFERROR(IF(ISBLANK(N145),Y145/O145,Y145/N145),0)</f>
      </c>
      <c r="AC145" s="286">
        <f>IFERROR(-1*(AB145*B$1),0)</f>
      </c>
      <c r="AD145" s="286">
        <f>IFERROR(SUM(AB145:AC145),0)</f>
      </c>
      <c r="AE145" s="286">
        <f>IF(ISBLANK(N145),AD145,AD145*5)</f>
      </c>
      <c r="AF145" s="287">
        <f>SUM(AG145:AV145)</f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18"/>
      <c r="AU145" s="18"/>
      <c r="AV145" s="18"/>
      <c r="AW145" s="18"/>
      <c r="AX145" s="18"/>
      <c r="AY145" s="18"/>
      <c r="AZ145" s="18"/>
      <c r="BA145" s="18"/>
      <c r="BB145" s="18"/>
      <c r="BC145" s="16"/>
      <c r="BD145" s="16"/>
      <c r="BE145" s="16"/>
      <c r="BF145" s="286">
        <f>Z145-AF145</f>
      </c>
      <c r="BG145" s="321">
        <f>IFERROR(AF145/Y145,0)</f>
      </c>
      <c r="BH145" s="284">
        <f>IFERROR(AF145/X145,0)</f>
      </c>
      <c r="BI145" s="284">
        <f>IFERROR(X145/SUM(X$3:X$12),0)</f>
      </c>
      <c r="BJ145" s="284">
        <f>IFERROR(BF145/SUM(BF$3:BF342),0)</f>
      </c>
      <c r="BK145" s="288">
        <f>BF145/'R&amp;H Portfolio'!Q$10</f>
      </c>
      <c r="BL145" s="286">
        <f>BI145*P145</f>
      </c>
      <c r="BM145" s="3"/>
      <c r="BN145" s="3"/>
      <c r="BO145" s="17"/>
    </row>
    <row x14ac:dyDescent="0.25" r="146" customHeight="1" ht="15">
      <c r="A146" s="17"/>
      <c r="B146" s="14"/>
      <c r="C146" s="3"/>
      <c r="D146" s="3"/>
      <c r="E146" s="3"/>
      <c r="F146" s="3"/>
      <c r="G146" s="16"/>
      <c r="H146" s="18"/>
      <c r="I146" s="18"/>
      <c r="J146" s="279">
        <f>H146+I146</f>
      </c>
      <c r="K146" s="1"/>
      <c r="L146" s="123">
        <f>K146*I146</f>
      </c>
      <c r="M146" s="123">
        <f>K146*J146</f>
      </c>
      <c r="N146" s="16"/>
      <c r="O146" s="16"/>
      <c r="P146" s="282">
        <f>IF(ISBLANK(N146),O146/4.3,N146/20)</f>
      </c>
      <c r="Q146" s="1"/>
      <c r="R146" s="3"/>
      <c r="S146" s="3"/>
      <c r="T146" s="256">
        <f>IF(ISBLANK(R146),0,X146)</f>
      </c>
      <c r="U146" s="256">
        <f>IF(ISBLANK(S146),0,X146)</f>
      </c>
      <c r="V146" s="284">
        <f>IFERROR(Q146/K146,0)</f>
      </c>
      <c r="W146" s="123">
        <f>IFERROR(L146*V146,0)</f>
      </c>
      <c r="X146" s="256">
        <f>IFERROR(Q146+W146,0)</f>
      </c>
      <c r="Y146" s="256">
        <f>IFERROR(M146*V146,0)</f>
      </c>
      <c r="Z146" s="256">
        <f>Y146-(Y146*$B$1)</f>
      </c>
      <c r="AA146" s="285">
        <f>IFERROR(Z146/X146,"")</f>
      </c>
      <c r="AB146" s="286">
        <f>IFERROR(IF(ISBLANK(N146),Y146/O146,Y146/N146),0)</f>
      </c>
      <c r="AC146" s="286">
        <f>IFERROR(-1*(AB146*B$1),0)</f>
      </c>
      <c r="AD146" s="286">
        <f>IFERROR(SUM(AB146:AC146),0)</f>
      </c>
      <c r="AE146" s="286">
        <f>IF(ISBLANK(N146),AD146,AD146*5)</f>
      </c>
      <c r="AF146" s="287">
        <f>SUM(AG146:AV146)</f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18"/>
      <c r="AU146" s="18"/>
      <c r="AV146" s="18"/>
      <c r="AW146" s="18"/>
      <c r="AX146" s="18"/>
      <c r="AY146" s="18"/>
      <c r="AZ146" s="18"/>
      <c r="BA146" s="18"/>
      <c r="BB146" s="18"/>
      <c r="BC146" s="16"/>
      <c r="BD146" s="16"/>
      <c r="BE146" s="16"/>
      <c r="BF146" s="286">
        <f>Z146-AF146</f>
      </c>
      <c r="BG146" s="321">
        <f>IFERROR(AF146/Y146,0)</f>
      </c>
      <c r="BH146" s="284">
        <f>IFERROR(AF146/X146,0)</f>
      </c>
      <c r="BI146" s="284">
        <f>IFERROR(X146/SUM(X$3:X$12),0)</f>
      </c>
      <c r="BJ146" s="284">
        <f>IFERROR(BF146/SUM(BF$3:BF343),0)</f>
      </c>
      <c r="BK146" s="288">
        <f>BF146/'R&amp;H Portfolio'!Q$10</f>
      </c>
      <c r="BL146" s="286">
        <f>BI146*P146</f>
      </c>
      <c r="BM146" s="3"/>
      <c r="BN146" s="3"/>
      <c r="BO146" s="17"/>
    </row>
    <row x14ac:dyDescent="0.25" r="147" customHeight="1" ht="15">
      <c r="A147" s="17"/>
      <c r="B147" s="14"/>
      <c r="C147" s="3"/>
      <c r="D147" s="3"/>
      <c r="E147" s="3"/>
      <c r="F147" s="3"/>
      <c r="G147" s="16"/>
      <c r="H147" s="18"/>
      <c r="I147" s="18"/>
      <c r="J147" s="279">
        <f>H147+I147</f>
      </c>
      <c r="K147" s="1"/>
      <c r="L147" s="123">
        <f>K147*I147</f>
      </c>
      <c r="M147" s="123">
        <f>K147*J147</f>
      </c>
      <c r="N147" s="16"/>
      <c r="O147" s="16"/>
      <c r="P147" s="282">
        <f>IF(ISBLANK(N147),O147/4.3,N147/20)</f>
      </c>
      <c r="Q147" s="1"/>
      <c r="R147" s="3"/>
      <c r="S147" s="3"/>
      <c r="T147" s="256">
        <f>IF(ISBLANK(R147),0,X147)</f>
      </c>
      <c r="U147" s="256">
        <f>IF(ISBLANK(S147),0,X147)</f>
      </c>
      <c r="V147" s="284">
        <f>IFERROR(Q147/K147,0)</f>
      </c>
      <c r="W147" s="123">
        <f>IFERROR(L147*V147,0)</f>
      </c>
      <c r="X147" s="256">
        <f>IFERROR(Q147+W147,0)</f>
      </c>
      <c r="Y147" s="256">
        <f>IFERROR(M147*V147,0)</f>
      </c>
      <c r="Z147" s="256">
        <f>Y147-(Y147*$B$1)</f>
      </c>
      <c r="AA147" s="285">
        <f>IFERROR(Z147/X147,"")</f>
      </c>
      <c r="AB147" s="286">
        <f>IFERROR(IF(ISBLANK(N147),Y147/O147,Y147/N147),0)</f>
      </c>
      <c r="AC147" s="286">
        <f>IFERROR(-1*(AB147*B$1),0)</f>
      </c>
      <c r="AD147" s="286">
        <f>IFERROR(SUM(AB147:AC147),0)</f>
      </c>
      <c r="AE147" s="286">
        <f>IF(ISBLANK(N147),AD147,AD147*5)</f>
      </c>
      <c r="AF147" s="287">
        <f>SUM(AG147:AV147)</f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18"/>
      <c r="AU147" s="18"/>
      <c r="AV147" s="18"/>
      <c r="AW147" s="18"/>
      <c r="AX147" s="18"/>
      <c r="AY147" s="18"/>
      <c r="AZ147" s="18"/>
      <c r="BA147" s="18"/>
      <c r="BB147" s="18"/>
      <c r="BC147" s="16"/>
      <c r="BD147" s="16"/>
      <c r="BE147" s="16"/>
      <c r="BF147" s="286">
        <f>Z147-AF147</f>
      </c>
      <c r="BG147" s="321">
        <f>IFERROR(AF147/Y147,0)</f>
      </c>
      <c r="BH147" s="284">
        <f>IFERROR(AF147/X147,0)</f>
      </c>
      <c r="BI147" s="284">
        <f>IFERROR(X147/SUM(X$3:X$12),0)</f>
      </c>
      <c r="BJ147" s="284">
        <f>IFERROR(BF147/SUM(BF$3:BF344),0)</f>
      </c>
      <c r="BK147" s="288">
        <f>BF147/'R&amp;H Portfolio'!Q$10</f>
      </c>
      <c r="BL147" s="286">
        <f>BI147*P147</f>
      </c>
      <c r="BM147" s="3"/>
      <c r="BN147" s="3"/>
      <c r="BO147" s="17"/>
    </row>
    <row x14ac:dyDescent="0.25" r="148" customHeight="1" ht="15">
      <c r="A148" s="17"/>
      <c r="B148" s="14"/>
      <c r="C148" s="3"/>
      <c r="D148" s="3"/>
      <c r="E148" s="3"/>
      <c r="F148" s="3"/>
      <c r="G148" s="16"/>
      <c r="H148" s="18"/>
      <c r="I148" s="18"/>
      <c r="J148" s="279">
        <f>H148+I148</f>
      </c>
      <c r="K148" s="1"/>
      <c r="L148" s="123">
        <f>K148*I148</f>
      </c>
      <c r="M148" s="123">
        <f>K148*J148</f>
      </c>
      <c r="N148" s="16"/>
      <c r="O148" s="16"/>
      <c r="P148" s="282">
        <f>IF(ISBLANK(N148),O148/4.3,N148/20)</f>
      </c>
      <c r="Q148" s="1"/>
      <c r="R148" s="3"/>
      <c r="S148" s="3"/>
      <c r="T148" s="256">
        <f>IF(ISBLANK(R148),0,X148)</f>
      </c>
      <c r="U148" s="256">
        <f>IF(ISBLANK(S148),0,X148)</f>
      </c>
      <c r="V148" s="284">
        <f>IFERROR(Q148/K148,0)</f>
      </c>
      <c r="W148" s="123">
        <f>IFERROR(L148*V148,0)</f>
      </c>
      <c r="X148" s="256">
        <f>IFERROR(Q148+W148,0)</f>
      </c>
      <c r="Y148" s="256">
        <f>IFERROR(M148*V148,0)</f>
      </c>
      <c r="Z148" s="256">
        <f>Y148-(Y148*$B$1)</f>
      </c>
      <c r="AA148" s="285">
        <f>IFERROR(Z148/X148,"")</f>
      </c>
      <c r="AB148" s="286">
        <f>IFERROR(IF(ISBLANK(N148),Y148/O148,Y148/N148),0)</f>
      </c>
      <c r="AC148" s="286">
        <f>IFERROR(-1*(AB148*B$1),0)</f>
      </c>
      <c r="AD148" s="286">
        <f>IFERROR(SUM(AB148:AC148),0)</f>
      </c>
      <c r="AE148" s="286">
        <f>IF(ISBLANK(N148),AD148,AD148*5)</f>
      </c>
      <c r="AF148" s="287">
        <f>SUM(AG148:AV148)</f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18"/>
      <c r="AU148" s="18"/>
      <c r="AV148" s="18"/>
      <c r="AW148" s="18"/>
      <c r="AX148" s="18"/>
      <c r="AY148" s="18"/>
      <c r="AZ148" s="18"/>
      <c r="BA148" s="18"/>
      <c r="BB148" s="18"/>
      <c r="BC148" s="16"/>
      <c r="BD148" s="16"/>
      <c r="BE148" s="16"/>
      <c r="BF148" s="286">
        <f>Z148-AF148</f>
      </c>
      <c r="BG148" s="321">
        <f>IFERROR(AF148/Y148,0)</f>
      </c>
      <c r="BH148" s="284">
        <f>IFERROR(AF148/X148,0)</f>
      </c>
      <c r="BI148" s="284">
        <f>IFERROR(X148/SUM(X$3:X$12),0)</f>
      </c>
      <c r="BJ148" s="284">
        <f>IFERROR(BF148/SUM(BF$3:BF345),0)</f>
      </c>
      <c r="BK148" s="288">
        <f>BF148/'R&amp;H Portfolio'!Q$10</f>
      </c>
      <c r="BL148" s="286">
        <f>BI148*P148</f>
      </c>
      <c r="BM148" s="3"/>
      <c r="BN148" s="3"/>
      <c r="BO148" s="17"/>
    </row>
    <row x14ac:dyDescent="0.25" r="149" customHeight="1" ht="15">
      <c r="A149" s="17"/>
      <c r="B149" s="14"/>
      <c r="C149" s="3"/>
      <c r="D149" s="3"/>
      <c r="E149" s="3"/>
      <c r="F149" s="3"/>
      <c r="G149" s="16"/>
      <c r="H149" s="18"/>
      <c r="I149" s="18"/>
      <c r="J149" s="279">
        <f>H149+I149</f>
      </c>
      <c r="K149" s="1"/>
      <c r="L149" s="123">
        <f>K149*I149</f>
      </c>
      <c r="M149" s="123">
        <f>K149*J149</f>
      </c>
      <c r="N149" s="16"/>
      <c r="O149" s="16"/>
      <c r="P149" s="282">
        <f>IF(ISBLANK(N149),O149/4.3,N149/20)</f>
      </c>
      <c r="Q149" s="1"/>
      <c r="R149" s="3"/>
      <c r="S149" s="3"/>
      <c r="T149" s="256">
        <f>IF(ISBLANK(R149),0,X149)</f>
      </c>
      <c r="U149" s="256">
        <f>IF(ISBLANK(S149),0,X149)</f>
      </c>
      <c r="V149" s="284">
        <f>IFERROR(Q149/K149,0)</f>
      </c>
      <c r="W149" s="123">
        <f>IFERROR(L149*V149,0)</f>
      </c>
      <c r="X149" s="256">
        <f>IFERROR(Q149+W149,0)</f>
      </c>
      <c r="Y149" s="256">
        <f>IFERROR(M149*V149,0)</f>
      </c>
      <c r="Z149" s="256">
        <f>Y149-(Y149*$B$1)</f>
      </c>
      <c r="AA149" s="285">
        <f>IFERROR(Z149/X149,"")</f>
      </c>
      <c r="AB149" s="286">
        <f>IFERROR(IF(ISBLANK(N149),Y149/O149,Y149/N149),0)</f>
      </c>
      <c r="AC149" s="286">
        <f>IFERROR(-1*(AB149*B$1),0)</f>
      </c>
      <c r="AD149" s="286">
        <f>IFERROR(SUM(AB149:AC149),0)</f>
      </c>
      <c r="AE149" s="286">
        <f>IF(ISBLANK(N149),AD149,AD149*5)</f>
      </c>
      <c r="AF149" s="287">
        <f>SUM(AG149:AV149)</f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18"/>
      <c r="AU149" s="18"/>
      <c r="AV149" s="18"/>
      <c r="AW149" s="18"/>
      <c r="AX149" s="18"/>
      <c r="AY149" s="18"/>
      <c r="AZ149" s="18"/>
      <c r="BA149" s="18"/>
      <c r="BB149" s="18"/>
      <c r="BC149" s="16"/>
      <c r="BD149" s="16"/>
      <c r="BE149" s="16"/>
      <c r="BF149" s="286">
        <f>Z149-AF149</f>
      </c>
      <c r="BG149" s="321">
        <f>IFERROR(AF149/Y149,0)</f>
      </c>
      <c r="BH149" s="284">
        <f>IFERROR(AF149/X149,0)</f>
      </c>
      <c r="BI149" s="284">
        <f>IFERROR(X149/SUM(X$3:X$12),0)</f>
      </c>
      <c r="BJ149" s="284">
        <f>IFERROR(BF149/SUM(BF$3:BF346),0)</f>
      </c>
      <c r="BK149" s="288">
        <f>BF149/'R&amp;H Portfolio'!Q$10</f>
      </c>
      <c r="BL149" s="286">
        <f>BI149*P149</f>
      </c>
      <c r="BM149" s="3"/>
      <c r="BN149" s="3"/>
      <c r="BO149" s="17"/>
    </row>
    <row x14ac:dyDescent="0.25" r="150" customHeight="1" ht="15">
      <c r="A150" s="17"/>
      <c r="B150" s="14"/>
      <c r="C150" s="3"/>
      <c r="D150" s="3"/>
      <c r="E150" s="3"/>
      <c r="F150" s="3"/>
      <c r="G150" s="16"/>
      <c r="H150" s="18"/>
      <c r="I150" s="18"/>
      <c r="J150" s="279">
        <f>H150+I150</f>
      </c>
      <c r="K150" s="1"/>
      <c r="L150" s="123">
        <f>K150*I150</f>
      </c>
      <c r="M150" s="123">
        <f>K150*J150</f>
      </c>
      <c r="N150" s="16"/>
      <c r="O150" s="16"/>
      <c r="P150" s="282">
        <f>IF(ISBLANK(N150),O150/4.3,N150/20)</f>
      </c>
      <c r="Q150" s="1"/>
      <c r="R150" s="3"/>
      <c r="S150" s="3"/>
      <c r="T150" s="256">
        <f>IF(ISBLANK(R150),0,X150)</f>
      </c>
      <c r="U150" s="256">
        <f>IF(ISBLANK(S150),0,X150)</f>
      </c>
      <c r="V150" s="284">
        <f>IFERROR(Q150/K150,0)</f>
      </c>
      <c r="W150" s="123">
        <f>IFERROR(L150*V150,0)</f>
      </c>
      <c r="X150" s="256">
        <f>IFERROR(Q150+W150,0)</f>
      </c>
      <c r="Y150" s="256">
        <f>IFERROR(M150*V150,0)</f>
      </c>
      <c r="Z150" s="256">
        <f>Y150-(Y150*$B$1)</f>
      </c>
      <c r="AA150" s="285">
        <f>IFERROR(Z150/X150,"")</f>
      </c>
      <c r="AB150" s="286">
        <f>IFERROR(IF(ISBLANK(N150),Y150/O150,Y150/N150),0)</f>
      </c>
      <c r="AC150" s="286">
        <f>IFERROR(-1*(AB150*B$1),0)</f>
      </c>
      <c r="AD150" s="286">
        <f>IFERROR(SUM(AB150:AC150),0)</f>
      </c>
      <c r="AE150" s="286">
        <f>IF(ISBLANK(N150),AD150,AD150*5)</f>
      </c>
      <c r="AF150" s="287">
        <f>SUM(AG150:AV150)</f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18"/>
      <c r="AU150" s="18"/>
      <c r="AV150" s="18"/>
      <c r="AW150" s="18"/>
      <c r="AX150" s="18"/>
      <c r="AY150" s="18"/>
      <c r="AZ150" s="18"/>
      <c r="BA150" s="18"/>
      <c r="BB150" s="18"/>
      <c r="BC150" s="16"/>
      <c r="BD150" s="16"/>
      <c r="BE150" s="16"/>
      <c r="BF150" s="286">
        <f>Z150-AF150</f>
      </c>
      <c r="BG150" s="321">
        <f>IFERROR(AF150/Y150,0)</f>
      </c>
      <c r="BH150" s="284">
        <f>IFERROR(AF150/X150,0)</f>
      </c>
      <c r="BI150" s="284">
        <f>IFERROR(X150/SUM(X$3:X$12),0)</f>
      </c>
      <c r="BJ150" s="284">
        <f>IFERROR(BF150/SUM(BF$3:BF347),0)</f>
      </c>
      <c r="BK150" s="288">
        <f>BF150/'R&amp;H Portfolio'!Q$10</f>
      </c>
      <c r="BL150" s="286">
        <f>BI150*P150</f>
      </c>
      <c r="BM150" s="3"/>
      <c r="BN150" s="3"/>
      <c r="BO150" s="17"/>
    </row>
    <row x14ac:dyDescent="0.25" r="151" customHeight="1" ht="15">
      <c r="A151" s="17"/>
      <c r="B151" s="14"/>
      <c r="C151" s="3"/>
      <c r="D151" s="3"/>
      <c r="E151" s="3"/>
      <c r="F151" s="3"/>
      <c r="G151" s="16"/>
      <c r="H151" s="18"/>
      <c r="I151" s="18"/>
      <c r="J151" s="279">
        <f>H151+I151</f>
      </c>
      <c r="K151" s="1"/>
      <c r="L151" s="123">
        <f>K151*I151</f>
      </c>
      <c r="M151" s="123">
        <f>K151*J151</f>
      </c>
      <c r="N151" s="16"/>
      <c r="O151" s="16"/>
      <c r="P151" s="282">
        <f>IF(ISBLANK(N151),O151/4.3,N151/20)</f>
      </c>
      <c r="Q151" s="1"/>
      <c r="R151" s="3"/>
      <c r="S151" s="3"/>
      <c r="T151" s="256">
        <f>IF(ISBLANK(R151),0,X151)</f>
      </c>
      <c r="U151" s="256">
        <f>IF(ISBLANK(S151),0,X151)</f>
      </c>
      <c r="V151" s="284">
        <f>IFERROR(Q151/K151,0)</f>
      </c>
      <c r="W151" s="123">
        <f>IFERROR(L151*V151,0)</f>
      </c>
      <c r="X151" s="256">
        <f>IFERROR(Q151+W151,0)</f>
      </c>
      <c r="Y151" s="256">
        <f>IFERROR(M151*V151,0)</f>
      </c>
      <c r="Z151" s="256">
        <f>Y151-(Y151*$B$1)</f>
      </c>
      <c r="AA151" s="285">
        <f>IFERROR(Z151/X151,"")</f>
      </c>
      <c r="AB151" s="286">
        <f>IFERROR(IF(ISBLANK(N151),Y151/O151,Y151/N151),0)</f>
      </c>
      <c r="AC151" s="286">
        <f>IFERROR(-1*(AB151*B$1),0)</f>
      </c>
      <c r="AD151" s="286">
        <f>IFERROR(SUM(AB151:AC151),0)</f>
      </c>
      <c r="AE151" s="286">
        <f>IF(ISBLANK(N151),AD151,AD151*5)</f>
      </c>
      <c r="AF151" s="287">
        <f>SUM(AG151:AV151)</f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18"/>
      <c r="AU151" s="18"/>
      <c r="AV151" s="18"/>
      <c r="AW151" s="18"/>
      <c r="AX151" s="18"/>
      <c r="AY151" s="18"/>
      <c r="AZ151" s="18"/>
      <c r="BA151" s="18"/>
      <c r="BB151" s="18"/>
      <c r="BC151" s="16"/>
      <c r="BD151" s="16"/>
      <c r="BE151" s="16"/>
      <c r="BF151" s="286">
        <f>Z151-AF151</f>
      </c>
      <c r="BG151" s="321">
        <f>IFERROR(AF151/Y151,0)</f>
      </c>
      <c r="BH151" s="284">
        <f>IFERROR(AF151/X151,0)</f>
      </c>
      <c r="BI151" s="284">
        <f>IFERROR(X151/SUM(X$3:X$12),0)</f>
      </c>
      <c r="BJ151" s="284">
        <f>IFERROR(BF151/SUM(BF$3:BF348),0)</f>
      </c>
      <c r="BK151" s="288">
        <f>BF151/'R&amp;H Portfolio'!Q$10</f>
      </c>
      <c r="BL151" s="286">
        <f>BI151*P151</f>
      </c>
      <c r="BM151" s="3"/>
      <c r="BN151" s="3"/>
      <c r="BO151" s="17"/>
    </row>
    <row x14ac:dyDescent="0.25" r="152" customHeight="1" ht="15">
      <c r="A152" s="17"/>
      <c r="B152" s="14"/>
      <c r="C152" s="3"/>
      <c r="D152" s="3"/>
      <c r="E152" s="3"/>
      <c r="F152" s="3"/>
      <c r="G152" s="16"/>
      <c r="H152" s="18"/>
      <c r="I152" s="18"/>
      <c r="J152" s="279">
        <f>H152+I152</f>
      </c>
      <c r="K152" s="1"/>
      <c r="L152" s="123">
        <f>K152*I152</f>
      </c>
      <c r="M152" s="123">
        <f>K152*J152</f>
      </c>
      <c r="N152" s="16"/>
      <c r="O152" s="16"/>
      <c r="P152" s="282">
        <f>IF(ISBLANK(N152),O152/4.3,N152/20)</f>
      </c>
      <c r="Q152" s="1"/>
      <c r="R152" s="3"/>
      <c r="S152" s="3"/>
      <c r="T152" s="256">
        <f>IF(ISBLANK(R152),0,X152)</f>
      </c>
      <c r="U152" s="256">
        <f>IF(ISBLANK(S152),0,X152)</f>
      </c>
      <c r="V152" s="284">
        <f>IFERROR(Q152/K152,0)</f>
      </c>
      <c r="W152" s="123">
        <f>IFERROR(L152*V152,0)</f>
      </c>
      <c r="X152" s="256">
        <f>IFERROR(Q152+W152,0)</f>
      </c>
      <c r="Y152" s="256">
        <f>IFERROR(M152*V152,0)</f>
      </c>
      <c r="Z152" s="256">
        <f>Y152-(Y152*$B$1)</f>
      </c>
      <c r="AA152" s="285">
        <f>IFERROR(Z152/X152,"")</f>
      </c>
      <c r="AB152" s="286">
        <f>IFERROR(IF(ISBLANK(N152),Y152/O152,Y152/N152),0)</f>
      </c>
      <c r="AC152" s="286">
        <f>IFERROR(-1*(AB152*B$1),0)</f>
      </c>
      <c r="AD152" s="286">
        <f>IFERROR(SUM(AB152:AC152),0)</f>
      </c>
      <c r="AE152" s="286">
        <f>IF(ISBLANK(N152),AD152,AD152*5)</f>
      </c>
      <c r="AF152" s="287">
        <f>SUM(AG152:AV152)</f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18"/>
      <c r="AU152" s="18"/>
      <c r="AV152" s="18"/>
      <c r="AW152" s="18"/>
      <c r="AX152" s="18"/>
      <c r="AY152" s="18"/>
      <c r="AZ152" s="18"/>
      <c r="BA152" s="18"/>
      <c r="BB152" s="18"/>
      <c r="BC152" s="16"/>
      <c r="BD152" s="16"/>
      <c r="BE152" s="16"/>
      <c r="BF152" s="286">
        <f>Z152-AF152</f>
      </c>
      <c r="BG152" s="321">
        <f>IFERROR(AF152/Y152,0)</f>
      </c>
      <c r="BH152" s="284">
        <f>IFERROR(AF152/X152,0)</f>
      </c>
      <c r="BI152" s="284">
        <f>IFERROR(X152/SUM(X$3:X$12),0)</f>
      </c>
      <c r="BJ152" s="284">
        <f>IFERROR(BF152/SUM(BF$3:BF349),0)</f>
      </c>
      <c r="BK152" s="288">
        <f>BF152/'R&amp;H Portfolio'!Q$10</f>
      </c>
      <c r="BL152" s="286">
        <f>BI152*P152</f>
      </c>
      <c r="BM152" s="3"/>
      <c r="BN152" s="3"/>
      <c r="BO152" s="17"/>
    </row>
    <row x14ac:dyDescent="0.25" r="153" customHeight="1" ht="15">
      <c r="A153" s="17"/>
      <c r="B153" s="14"/>
      <c r="C153" s="3"/>
      <c r="D153" s="3"/>
      <c r="E153" s="3"/>
      <c r="F153" s="3"/>
      <c r="G153" s="16"/>
      <c r="H153" s="18"/>
      <c r="I153" s="18"/>
      <c r="J153" s="279">
        <f>H153+I153</f>
      </c>
      <c r="K153" s="1"/>
      <c r="L153" s="123">
        <f>K153*I153</f>
      </c>
      <c r="M153" s="123">
        <f>K153*J153</f>
      </c>
      <c r="N153" s="16"/>
      <c r="O153" s="16"/>
      <c r="P153" s="282">
        <f>IF(ISBLANK(N153),O153/4.3,N153/20)</f>
      </c>
      <c r="Q153" s="1"/>
      <c r="R153" s="3"/>
      <c r="S153" s="3"/>
      <c r="T153" s="256">
        <f>IF(ISBLANK(R153),0,X153)</f>
      </c>
      <c r="U153" s="256">
        <f>IF(ISBLANK(S153),0,X153)</f>
      </c>
      <c r="V153" s="284">
        <f>IFERROR(Q153/K153,0)</f>
      </c>
      <c r="W153" s="123">
        <f>IFERROR(L153*V153,0)</f>
      </c>
      <c r="X153" s="256">
        <f>IFERROR(Q153+W153,0)</f>
      </c>
      <c r="Y153" s="256">
        <f>IFERROR(M153*V153,0)</f>
      </c>
      <c r="Z153" s="256">
        <f>Y153-(Y153*$B$1)</f>
      </c>
      <c r="AA153" s="285">
        <f>IFERROR(Z153/X153,"")</f>
      </c>
      <c r="AB153" s="286">
        <f>IFERROR(IF(ISBLANK(N153),Y153/O153,Y153/N153),0)</f>
      </c>
      <c r="AC153" s="286">
        <f>IFERROR(-1*(AB153*B$1),0)</f>
      </c>
      <c r="AD153" s="286">
        <f>IFERROR(SUM(AB153:AC153),0)</f>
      </c>
      <c r="AE153" s="286">
        <f>IF(ISBLANK(N153),AD153,AD153*5)</f>
      </c>
      <c r="AF153" s="287">
        <f>SUM(AG153:AV153)</f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18"/>
      <c r="AU153" s="18"/>
      <c r="AV153" s="18"/>
      <c r="AW153" s="18"/>
      <c r="AX153" s="18"/>
      <c r="AY153" s="18"/>
      <c r="AZ153" s="18"/>
      <c r="BA153" s="18"/>
      <c r="BB153" s="18"/>
      <c r="BC153" s="16"/>
      <c r="BD153" s="16"/>
      <c r="BE153" s="16"/>
      <c r="BF153" s="286">
        <f>Z153-AF153</f>
      </c>
      <c r="BG153" s="321">
        <f>IFERROR(AF153/Y153,0)</f>
      </c>
      <c r="BH153" s="284">
        <f>IFERROR(AF153/X153,0)</f>
      </c>
      <c r="BI153" s="284">
        <f>IFERROR(X153/SUM(X$3:X$12),0)</f>
      </c>
      <c r="BJ153" s="284">
        <f>IFERROR(BF153/SUM(BF$3:BF350),0)</f>
      </c>
      <c r="BK153" s="288">
        <f>BF153/'R&amp;H Portfolio'!Q$10</f>
      </c>
      <c r="BL153" s="286">
        <f>BI153*P153</f>
      </c>
      <c r="BM153" s="3"/>
      <c r="BN153" s="3"/>
      <c r="BO153" s="17"/>
    </row>
    <row x14ac:dyDescent="0.25" r="154" customHeight="1" ht="15">
      <c r="A154" s="17"/>
      <c r="B154" s="14"/>
      <c r="C154" s="3"/>
      <c r="D154" s="3"/>
      <c r="E154" s="3"/>
      <c r="F154" s="3"/>
      <c r="G154" s="16"/>
      <c r="H154" s="18"/>
      <c r="I154" s="18"/>
      <c r="J154" s="279">
        <f>H154+I154</f>
      </c>
      <c r="K154" s="1"/>
      <c r="L154" s="123">
        <f>K154*I154</f>
      </c>
      <c r="M154" s="123">
        <f>K154*J154</f>
      </c>
      <c r="N154" s="16"/>
      <c r="O154" s="16"/>
      <c r="P154" s="282">
        <f>IF(ISBLANK(N154),O154/4.3,N154/20)</f>
      </c>
      <c r="Q154" s="1"/>
      <c r="R154" s="3"/>
      <c r="S154" s="3"/>
      <c r="T154" s="256">
        <f>IF(ISBLANK(R154),0,X154)</f>
      </c>
      <c r="U154" s="256">
        <f>IF(ISBLANK(S154),0,X154)</f>
      </c>
      <c r="V154" s="284">
        <f>IFERROR(Q154/K154,0)</f>
      </c>
      <c r="W154" s="123">
        <f>IFERROR(L154*V154,0)</f>
      </c>
      <c r="X154" s="256">
        <f>IFERROR(Q154+W154,0)</f>
      </c>
      <c r="Y154" s="256">
        <f>IFERROR(M154*V154,0)</f>
      </c>
      <c r="Z154" s="256">
        <f>Y154-(Y154*$B$1)</f>
      </c>
      <c r="AA154" s="285">
        <f>IFERROR(Z154/X154,"")</f>
      </c>
      <c r="AB154" s="286">
        <f>IFERROR(IF(ISBLANK(N154),Y154/O154,Y154/N154),0)</f>
      </c>
      <c r="AC154" s="286">
        <f>IFERROR(-1*(AB154*B$1),0)</f>
      </c>
      <c r="AD154" s="286">
        <f>IFERROR(SUM(AB154:AC154),0)</f>
      </c>
      <c r="AE154" s="286">
        <f>IF(ISBLANK(N154),AD154,AD154*5)</f>
      </c>
      <c r="AF154" s="287">
        <f>SUM(AG154:AV154)</f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18"/>
      <c r="AU154" s="18"/>
      <c r="AV154" s="18"/>
      <c r="AW154" s="18"/>
      <c r="AX154" s="18"/>
      <c r="AY154" s="18"/>
      <c r="AZ154" s="18"/>
      <c r="BA154" s="18"/>
      <c r="BB154" s="18"/>
      <c r="BC154" s="16"/>
      <c r="BD154" s="16"/>
      <c r="BE154" s="16"/>
      <c r="BF154" s="286">
        <f>Z154-AF154</f>
      </c>
      <c r="BG154" s="321">
        <f>IFERROR(AF154/Y154,0)</f>
      </c>
      <c r="BH154" s="284">
        <f>IFERROR(AF154/X154,0)</f>
      </c>
      <c r="BI154" s="284">
        <f>IFERROR(X154/SUM(X$3:X$12),0)</f>
      </c>
      <c r="BJ154" s="284">
        <f>IFERROR(BF154/SUM(BF$3:BF351),0)</f>
      </c>
      <c r="BK154" s="288">
        <f>BF154/'R&amp;H Portfolio'!Q$10</f>
      </c>
      <c r="BL154" s="286">
        <f>BI154*P154</f>
      </c>
      <c r="BM154" s="3"/>
      <c r="BN154" s="3"/>
      <c r="BO154" s="17"/>
    </row>
    <row x14ac:dyDescent="0.25" r="155" customHeight="1" ht="15">
      <c r="A155" s="17"/>
      <c r="B155" s="14"/>
      <c r="C155" s="3"/>
      <c r="D155" s="3"/>
      <c r="E155" s="3"/>
      <c r="F155" s="3"/>
      <c r="G155" s="16"/>
      <c r="H155" s="18"/>
      <c r="I155" s="18"/>
      <c r="J155" s="279">
        <f>H155+I155</f>
      </c>
      <c r="K155" s="1"/>
      <c r="L155" s="123">
        <f>K155*I155</f>
      </c>
      <c r="M155" s="123">
        <f>K155*J155</f>
      </c>
      <c r="N155" s="16"/>
      <c r="O155" s="16"/>
      <c r="P155" s="282">
        <f>IF(ISBLANK(N155),O155/4.3,N155/20)</f>
      </c>
      <c r="Q155" s="1"/>
      <c r="R155" s="3"/>
      <c r="S155" s="3"/>
      <c r="T155" s="256">
        <f>IF(ISBLANK(R155),0,X155)</f>
      </c>
      <c r="U155" s="256">
        <f>IF(ISBLANK(S155),0,X155)</f>
      </c>
      <c r="V155" s="284">
        <f>IFERROR(Q155/K155,0)</f>
      </c>
      <c r="W155" s="123">
        <f>IFERROR(L155*V155,0)</f>
      </c>
      <c r="X155" s="256">
        <f>IFERROR(Q155+W155,0)</f>
      </c>
      <c r="Y155" s="256">
        <f>IFERROR(M155*V155,0)</f>
      </c>
      <c r="Z155" s="256">
        <f>Y155-(Y155*$B$1)</f>
      </c>
      <c r="AA155" s="285">
        <f>IFERROR(Z155/X155,"")</f>
      </c>
      <c r="AB155" s="286">
        <f>IFERROR(IF(ISBLANK(N155),Y155/O155,Y155/N155),0)</f>
      </c>
      <c r="AC155" s="286">
        <f>IFERROR(-1*(AB155*B$1),0)</f>
      </c>
      <c r="AD155" s="286">
        <f>IFERROR(SUM(AB155:AC155),0)</f>
      </c>
      <c r="AE155" s="286">
        <f>IF(ISBLANK(N155),AD155,AD155*5)</f>
      </c>
      <c r="AF155" s="287">
        <f>SUM(AG155:AV155)</f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18"/>
      <c r="AU155" s="18"/>
      <c r="AV155" s="18"/>
      <c r="AW155" s="18"/>
      <c r="AX155" s="18"/>
      <c r="AY155" s="18"/>
      <c r="AZ155" s="18"/>
      <c r="BA155" s="18"/>
      <c r="BB155" s="18"/>
      <c r="BC155" s="16"/>
      <c r="BD155" s="16"/>
      <c r="BE155" s="16"/>
      <c r="BF155" s="286">
        <f>Z155-AF155</f>
      </c>
      <c r="BG155" s="321">
        <f>IFERROR(AF155/Y155,0)</f>
      </c>
      <c r="BH155" s="284">
        <f>IFERROR(AF155/X155,0)</f>
      </c>
      <c r="BI155" s="284">
        <f>IFERROR(X155/SUM(X$3:X$12),0)</f>
      </c>
      <c r="BJ155" s="284">
        <f>IFERROR(BF155/SUM(BF$3:BF352),0)</f>
      </c>
      <c r="BK155" s="288">
        <f>BF155/'R&amp;H Portfolio'!Q$10</f>
      </c>
      <c r="BL155" s="286">
        <f>BI155*P155</f>
      </c>
      <c r="BM155" s="3"/>
      <c r="BN155" s="3"/>
      <c r="BO155" s="17"/>
    </row>
    <row x14ac:dyDescent="0.25" r="156" customHeight="1" ht="15">
      <c r="A156" s="17"/>
      <c r="B156" s="14"/>
      <c r="C156" s="3"/>
      <c r="D156" s="3"/>
      <c r="E156" s="3"/>
      <c r="F156" s="3"/>
      <c r="G156" s="16"/>
      <c r="H156" s="18"/>
      <c r="I156" s="18"/>
      <c r="J156" s="279">
        <f>H156+I156</f>
      </c>
      <c r="K156" s="1"/>
      <c r="L156" s="123">
        <f>K156*I156</f>
      </c>
      <c r="M156" s="123">
        <f>K156*J156</f>
      </c>
      <c r="N156" s="16"/>
      <c r="O156" s="16"/>
      <c r="P156" s="282">
        <f>IF(ISBLANK(N156),O156/4.3,N156/20)</f>
      </c>
      <c r="Q156" s="1"/>
      <c r="R156" s="3"/>
      <c r="S156" s="3"/>
      <c r="T156" s="256">
        <f>IF(ISBLANK(R156),0,X156)</f>
      </c>
      <c r="U156" s="256">
        <f>IF(ISBLANK(S156),0,X156)</f>
      </c>
      <c r="V156" s="284">
        <f>IFERROR(Q156/K156,0)</f>
      </c>
      <c r="W156" s="123">
        <f>IFERROR(L156*V156,0)</f>
      </c>
      <c r="X156" s="256">
        <f>IFERROR(Q156+W156,0)</f>
      </c>
      <c r="Y156" s="256">
        <f>IFERROR(M156*V156,0)</f>
      </c>
      <c r="Z156" s="256">
        <f>Y156-(Y156*$B$1)</f>
      </c>
      <c r="AA156" s="285">
        <f>IFERROR(Z156/X156,"")</f>
      </c>
      <c r="AB156" s="286">
        <f>IFERROR(IF(ISBLANK(N156),Y156/O156,Y156/N156),0)</f>
      </c>
      <c r="AC156" s="286">
        <f>IFERROR(-1*(AB156*B$1),0)</f>
      </c>
      <c r="AD156" s="286">
        <f>IFERROR(SUM(AB156:AC156),0)</f>
      </c>
      <c r="AE156" s="286">
        <f>IF(ISBLANK(N156),AD156,AD156*5)</f>
      </c>
      <c r="AF156" s="287">
        <f>SUM(AG156:AV156)</f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18"/>
      <c r="AU156" s="18"/>
      <c r="AV156" s="18"/>
      <c r="AW156" s="18"/>
      <c r="AX156" s="18"/>
      <c r="AY156" s="18"/>
      <c r="AZ156" s="18"/>
      <c r="BA156" s="18"/>
      <c r="BB156" s="18"/>
      <c r="BC156" s="16"/>
      <c r="BD156" s="16"/>
      <c r="BE156" s="16"/>
      <c r="BF156" s="286">
        <f>Z156-AF156</f>
      </c>
      <c r="BG156" s="321">
        <f>IFERROR(AF156/Y156,0)</f>
      </c>
      <c r="BH156" s="284">
        <f>IFERROR(AF156/X156,0)</f>
      </c>
      <c r="BI156" s="284">
        <f>IFERROR(X156/SUM(X$3:X$12),0)</f>
      </c>
      <c r="BJ156" s="284">
        <f>IFERROR(BF156/SUM(BF$3:BF353),0)</f>
      </c>
      <c r="BK156" s="288">
        <f>BF156/'R&amp;H Portfolio'!Q$10</f>
      </c>
      <c r="BL156" s="286">
        <f>BI156*P156</f>
      </c>
      <c r="BM156" s="3"/>
      <c r="BN156" s="3"/>
      <c r="BO156" s="17"/>
    </row>
    <row x14ac:dyDescent="0.25" r="157" customHeight="1" ht="15">
      <c r="A157" s="17"/>
      <c r="B157" s="14"/>
      <c r="C157" s="3"/>
      <c r="D157" s="3"/>
      <c r="E157" s="3"/>
      <c r="F157" s="3"/>
      <c r="G157" s="16"/>
      <c r="H157" s="18"/>
      <c r="I157" s="18"/>
      <c r="J157" s="279">
        <f>H157+I157</f>
      </c>
      <c r="K157" s="1"/>
      <c r="L157" s="123">
        <f>K157*I157</f>
      </c>
      <c r="M157" s="123">
        <f>K157*J157</f>
      </c>
      <c r="N157" s="16"/>
      <c r="O157" s="16"/>
      <c r="P157" s="282">
        <f>IF(ISBLANK(N157),O157/4.3,N157/20)</f>
      </c>
      <c r="Q157" s="1"/>
      <c r="R157" s="3"/>
      <c r="S157" s="3"/>
      <c r="T157" s="256">
        <f>IF(ISBLANK(R157),0,X157)</f>
      </c>
      <c r="U157" s="256">
        <f>IF(ISBLANK(S157),0,X157)</f>
      </c>
      <c r="V157" s="284">
        <f>IFERROR(Q157/K157,0)</f>
      </c>
      <c r="W157" s="123">
        <f>IFERROR(L157*V157,0)</f>
      </c>
      <c r="X157" s="256">
        <f>IFERROR(Q157+W157,0)</f>
      </c>
      <c r="Y157" s="256">
        <f>IFERROR(M157*V157,0)</f>
      </c>
      <c r="Z157" s="256">
        <f>Y157-(Y157*$B$1)</f>
      </c>
      <c r="AA157" s="285">
        <f>IFERROR(Z157/X157,"")</f>
      </c>
      <c r="AB157" s="286">
        <f>IFERROR(IF(ISBLANK(N157),Y157/O157,Y157/N157),0)</f>
      </c>
      <c r="AC157" s="286">
        <f>IFERROR(-1*(AB157*B$1),0)</f>
      </c>
      <c r="AD157" s="286">
        <f>IFERROR(SUM(AB157:AC157),0)</f>
      </c>
      <c r="AE157" s="286">
        <f>IF(ISBLANK(N157),AD157,AD157*5)</f>
      </c>
      <c r="AF157" s="287">
        <f>SUM(AG157:AV157)</f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18"/>
      <c r="AU157" s="18"/>
      <c r="AV157" s="18"/>
      <c r="AW157" s="18"/>
      <c r="AX157" s="18"/>
      <c r="AY157" s="18"/>
      <c r="AZ157" s="18"/>
      <c r="BA157" s="18"/>
      <c r="BB157" s="18"/>
      <c r="BC157" s="16"/>
      <c r="BD157" s="16"/>
      <c r="BE157" s="16"/>
      <c r="BF157" s="286">
        <f>Z157-AF157</f>
      </c>
      <c r="BG157" s="321">
        <f>IFERROR(AF157/Y157,0)</f>
      </c>
      <c r="BH157" s="284">
        <f>IFERROR(AF157/X157,0)</f>
      </c>
      <c r="BI157" s="284">
        <f>IFERROR(X157/SUM(X$3:X$12),0)</f>
      </c>
      <c r="BJ157" s="284">
        <f>IFERROR(BF157/SUM(BF$3:BF354),0)</f>
      </c>
      <c r="BK157" s="288">
        <f>BF157/'R&amp;H Portfolio'!Q$10</f>
      </c>
      <c r="BL157" s="286">
        <f>BI157*P157</f>
      </c>
      <c r="BM157" s="3"/>
      <c r="BN157" s="3"/>
      <c r="BO157" s="17"/>
    </row>
    <row x14ac:dyDescent="0.25" r="158" customHeight="1" ht="15">
      <c r="A158" s="17"/>
      <c r="B158" s="14"/>
      <c r="C158" s="3"/>
      <c r="D158" s="3"/>
      <c r="E158" s="3"/>
      <c r="F158" s="3"/>
      <c r="G158" s="16"/>
      <c r="H158" s="18"/>
      <c r="I158" s="18"/>
      <c r="J158" s="279">
        <f>H158+I158</f>
      </c>
      <c r="K158" s="1"/>
      <c r="L158" s="123">
        <f>K158*I158</f>
      </c>
      <c r="M158" s="123">
        <f>K158*J158</f>
      </c>
      <c r="N158" s="16"/>
      <c r="O158" s="16"/>
      <c r="P158" s="282">
        <f>IF(ISBLANK(N158),O158/4.3,N158/20)</f>
      </c>
      <c r="Q158" s="1"/>
      <c r="R158" s="3"/>
      <c r="S158" s="3"/>
      <c r="T158" s="256">
        <f>IF(ISBLANK(R158),0,X158)</f>
      </c>
      <c r="U158" s="256">
        <f>IF(ISBLANK(S158),0,X158)</f>
      </c>
      <c r="V158" s="284">
        <f>IFERROR(Q158/K158,0)</f>
      </c>
      <c r="W158" s="123">
        <f>IFERROR(L158*V158,0)</f>
      </c>
      <c r="X158" s="256">
        <f>IFERROR(Q158+W158,0)</f>
      </c>
      <c r="Y158" s="256">
        <f>IFERROR(M158*V158,0)</f>
      </c>
      <c r="Z158" s="256">
        <f>Y158-(Y158*$B$1)</f>
      </c>
      <c r="AA158" s="285">
        <f>IFERROR(Z158/X158,"")</f>
      </c>
      <c r="AB158" s="286">
        <f>IFERROR(IF(ISBLANK(N158),Y158/O158,Y158/N158),0)</f>
      </c>
      <c r="AC158" s="286">
        <f>IFERROR(-1*(AB158*B$1),0)</f>
      </c>
      <c r="AD158" s="286">
        <f>IFERROR(SUM(AB158:AC158),0)</f>
      </c>
      <c r="AE158" s="286">
        <f>IF(ISBLANK(N158),AD158,AD158*5)</f>
      </c>
      <c r="AF158" s="287">
        <f>SUM(AG158:AV158)</f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18"/>
      <c r="AU158" s="18"/>
      <c r="AV158" s="18"/>
      <c r="AW158" s="18"/>
      <c r="AX158" s="18"/>
      <c r="AY158" s="18"/>
      <c r="AZ158" s="18"/>
      <c r="BA158" s="18"/>
      <c r="BB158" s="18"/>
      <c r="BC158" s="16"/>
      <c r="BD158" s="16"/>
      <c r="BE158" s="16"/>
      <c r="BF158" s="286">
        <f>Z158-AF158</f>
      </c>
      <c r="BG158" s="321">
        <f>IFERROR(AF158/Y158,0)</f>
      </c>
      <c r="BH158" s="284">
        <f>IFERROR(AF158/X158,0)</f>
      </c>
      <c r="BI158" s="284">
        <f>IFERROR(X158/SUM(X$3:X$12),0)</f>
      </c>
      <c r="BJ158" s="284">
        <f>IFERROR(BF158/SUM(BF$3:BF355),0)</f>
      </c>
      <c r="BK158" s="288">
        <f>BF158/'R&amp;H Portfolio'!Q$10</f>
      </c>
      <c r="BL158" s="286">
        <f>BI158*P158</f>
      </c>
      <c r="BM158" s="3"/>
      <c r="BN158" s="3"/>
      <c r="BO158" s="17"/>
    </row>
    <row x14ac:dyDescent="0.25" r="159" customHeight="1" ht="15">
      <c r="A159" s="17"/>
      <c r="B159" s="14"/>
      <c r="C159" s="3"/>
      <c r="D159" s="3"/>
      <c r="E159" s="3"/>
      <c r="F159" s="3"/>
      <c r="G159" s="16"/>
      <c r="H159" s="18"/>
      <c r="I159" s="18"/>
      <c r="J159" s="279">
        <f>H159+I159</f>
      </c>
      <c r="K159" s="1"/>
      <c r="L159" s="123">
        <f>K159*I159</f>
      </c>
      <c r="M159" s="123">
        <f>K159*J159</f>
      </c>
      <c r="N159" s="16"/>
      <c r="O159" s="16"/>
      <c r="P159" s="282">
        <f>IF(ISBLANK(N159),O159/4.3,N159/20)</f>
      </c>
      <c r="Q159" s="1"/>
      <c r="R159" s="3"/>
      <c r="S159" s="3"/>
      <c r="T159" s="256">
        <f>IF(ISBLANK(R159),0,X159)</f>
      </c>
      <c r="U159" s="256">
        <f>IF(ISBLANK(S159),0,X159)</f>
      </c>
      <c r="V159" s="284">
        <f>IFERROR(Q159/K159,0)</f>
      </c>
      <c r="W159" s="123">
        <f>IFERROR(L159*V159,0)</f>
      </c>
      <c r="X159" s="256">
        <f>IFERROR(Q159+W159,0)</f>
      </c>
      <c r="Y159" s="256">
        <f>IFERROR(M159*V159,0)</f>
      </c>
      <c r="Z159" s="256">
        <f>Y159-(Y159*$B$1)</f>
      </c>
      <c r="AA159" s="285">
        <f>IFERROR(Z159/X159,"")</f>
      </c>
      <c r="AB159" s="286">
        <f>IFERROR(IF(ISBLANK(N159),Y159/O159,Y159/N159),0)</f>
      </c>
      <c r="AC159" s="286">
        <f>IFERROR(-1*(AB159*B$1),0)</f>
      </c>
      <c r="AD159" s="286">
        <f>IFERROR(SUM(AB159:AC159),0)</f>
      </c>
      <c r="AE159" s="286">
        <f>IF(ISBLANK(N159),AD159,AD159*5)</f>
      </c>
      <c r="AF159" s="287">
        <f>SUM(AG159:AV159)</f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18"/>
      <c r="AU159" s="18"/>
      <c r="AV159" s="18"/>
      <c r="AW159" s="18"/>
      <c r="AX159" s="18"/>
      <c r="AY159" s="18"/>
      <c r="AZ159" s="18"/>
      <c r="BA159" s="18"/>
      <c r="BB159" s="18"/>
      <c r="BC159" s="16"/>
      <c r="BD159" s="16"/>
      <c r="BE159" s="16"/>
      <c r="BF159" s="286">
        <f>Z159-AF159</f>
      </c>
      <c r="BG159" s="321">
        <f>IFERROR(AF159/Y159,0)</f>
      </c>
      <c r="BH159" s="284">
        <f>IFERROR(AF159/X159,0)</f>
      </c>
      <c r="BI159" s="284">
        <f>IFERROR(X159/SUM(X$3:X$12),0)</f>
      </c>
      <c r="BJ159" s="284">
        <f>IFERROR(BF159/SUM(BF$3:BF356),0)</f>
      </c>
      <c r="BK159" s="288">
        <f>BF159/'R&amp;H Portfolio'!Q$10</f>
      </c>
      <c r="BL159" s="286">
        <f>BI159*P159</f>
      </c>
      <c r="BM159" s="3"/>
      <c r="BN159" s="3"/>
      <c r="BO159" s="17"/>
    </row>
    <row x14ac:dyDescent="0.25" r="160" customHeight="1" ht="15">
      <c r="A160" s="17"/>
      <c r="B160" s="14"/>
      <c r="C160" s="3"/>
      <c r="D160" s="3"/>
      <c r="E160" s="3"/>
      <c r="F160" s="3"/>
      <c r="G160" s="16"/>
      <c r="H160" s="18"/>
      <c r="I160" s="18"/>
      <c r="J160" s="279">
        <f>H160+I160</f>
      </c>
      <c r="K160" s="1"/>
      <c r="L160" s="123">
        <f>K160*I160</f>
      </c>
      <c r="M160" s="123">
        <f>K160*J160</f>
      </c>
      <c r="N160" s="16"/>
      <c r="O160" s="16"/>
      <c r="P160" s="282">
        <f>IF(ISBLANK(N160),O160/4.3,N160/20)</f>
      </c>
      <c r="Q160" s="1"/>
      <c r="R160" s="3"/>
      <c r="S160" s="3"/>
      <c r="T160" s="256">
        <f>IF(ISBLANK(R160),0,X160)</f>
      </c>
      <c r="U160" s="256">
        <f>IF(ISBLANK(S160),0,X160)</f>
      </c>
      <c r="V160" s="284">
        <f>IFERROR(Q160/K160,0)</f>
      </c>
      <c r="W160" s="123">
        <f>IFERROR(L160*V160,0)</f>
      </c>
      <c r="X160" s="256">
        <f>IFERROR(Q160+W160,0)</f>
      </c>
      <c r="Y160" s="256">
        <f>IFERROR(M160*V160,0)</f>
      </c>
      <c r="Z160" s="256">
        <f>Y160-(Y160*$B$1)</f>
      </c>
      <c r="AA160" s="285">
        <f>IFERROR(Z160/X160,"")</f>
      </c>
      <c r="AB160" s="286">
        <f>IFERROR(IF(ISBLANK(N160),Y160/O160,Y160/N160),0)</f>
      </c>
      <c r="AC160" s="286">
        <f>IFERROR(-1*(AB160*B$1),0)</f>
      </c>
      <c r="AD160" s="286">
        <f>IFERROR(SUM(AB160:AC160),0)</f>
      </c>
      <c r="AE160" s="286">
        <f>IF(ISBLANK(N160),AD160,AD160*5)</f>
      </c>
      <c r="AF160" s="287">
        <f>SUM(AG160:AV160)</f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18"/>
      <c r="AU160" s="18"/>
      <c r="AV160" s="18"/>
      <c r="AW160" s="18"/>
      <c r="AX160" s="18"/>
      <c r="AY160" s="18"/>
      <c r="AZ160" s="18"/>
      <c r="BA160" s="18"/>
      <c r="BB160" s="18"/>
      <c r="BC160" s="16"/>
      <c r="BD160" s="16"/>
      <c r="BE160" s="16"/>
      <c r="BF160" s="286">
        <f>Z160-AF160</f>
      </c>
      <c r="BG160" s="321">
        <f>IFERROR(AF160/Y160,0)</f>
      </c>
      <c r="BH160" s="284">
        <f>IFERROR(AF160/X160,0)</f>
      </c>
      <c r="BI160" s="284">
        <f>IFERROR(X160/SUM(X$3:X$12),0)</f>
      </c>
      <c r="BJ160" s="284">
        <f>IFERROR(BF160/SUM(BF$3:BF357),0)</f>
      </c>
      <c r="BK160" s="288">
        <f>BF160/'R&amp;H Portfolio'!Q$10</f>
      </c>
      <c r="BL160" s="286">
        <f>BI160*P160</f>
      </c>
      <c r="BM160" s="3"/>
      <c r="BN160" s="3"/>
      <c r="BO160" s="17"/>
    </row>
    <row x14ac:dyDescent="0.25" r="161" customHeight="1" ht="15">
      <c r="A161" s="17"/>
      <c r="B161" s="14"/>
      <c r="C161" s="3"/>
      <c r="D161" s="3"/>
      <c r="E161" s="3"/>
      <c r="F161" s="3"/>
      <c r="G161" s="16"/>
      <c r="H161" s="18"/>
      <c r="I161" s="18"/>
      <c r="J161" s="279">
        <f>H161+I161</f>
      </c>
      <c r="K161" s="1"/>
      <c r="L161" s="123">
        <f>K161*I161</f>
      </c>
      <c r="M161" s="123">
        <f>K161*J161</f>
      </c>
      <c r="N161" s="16"/>
      <c r="O161" s="16"/>
      <c r="P161" s="282">
        <f>IF(ISBLANK(N161),O161/4.3,N161/20)</f>
      </c>
      <c r="Q161" s="1"/>
      <c r="R161" s="3"/>
      <c r="S161" s="3"/>
      <c r="T161" s="256">
        <f>IF(ISBLANK(R161),0,X161)</f>
      </c>
      <c r="U161" s="256">
        <f>IF(ISBLANK(S161),0,X161)</f>
      </c>
      <c r="V161" s="284">
        <f>IFERROR(Q161/K161,0)</f>
      </c>
      <c r="W161" s="123">
        <f>IFERROR(L161*V161,0)</f>
      </c>
      <c r="X161" s="256">
        <f>IFERROR(Q161+W161,0)</f>
      </c>
      <c r="Y161" s="256">
        <f>IFERROR(M161*V161,0)</f>
      </c>
      <c r="Z161" s="256">
        <f>Y161-(Y161*$B$1)</f>
      </c>
      <c r="AA161" s="285">
        <f>IFERROR(Z161/X161,"")</f>
      </c>
      <c r="AB161" s="286">
        <f>IFERROR(IF(ISBLANK(N161),Y161/O161,Y161/N161),0)</f>
      </c>
      <c r="AC161" s="286">
        <f>IFERROR(-1*(AB161*B$1),0)</f>
      </c>
      <c r="AD161" s="286">
        <f>IFERROR(SUM(AB161:AC161),0)</f>
      </c>
      <c r="AE161" s="286">
        <f>IF(ISBLANK(N161),AD161,AD161*5)</f>
      </c>
      <c r="AF161" s="287">
        <f>SUM(AG161:AV161)</f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18"/>
      <c r="AU161" s="18"/>
      <c r="AV161" s="18"/>
      <c r="AW161" s="18"/>
      <c r="AX161" s="18"/>
      <c r="AY161" s="18"/>
      <c r="AZ161" s="18"/>
      <c r="BA161" s="18"/>
      <c r="BB161" s="18"/>
      <c r="BC161" s="16"/>
      <c r="BD161" s="16"/>
      <c r="BE161" s="16"/>
      <c r="BF161" s="286">
        <f>Z161-AF161</f>
      </c>
      <c r="BG161" s="321">
        <f>IFERROR(AF161/Y161,0)</f>
      </c>
      <c r="BH161" s="284">
        <f>IFERROR(AF161/X161,0)</f>
      </c>
      <c r="BI161" s="284">
        <f>IFERROR(X161/SUM(X$3:X$12),0)</f>
      </c>
      <c r="BJ161" s="284">
        <f>IFERROR(BF161/SUM(BF$3:BF358),0)</f>
      </c>
      <c r="BK161" s="288">
        <f>BF161/'R&amp;H Portfolio'!Q$10</f>
      </c>
      <c r="BL161" s="286">
        <f>BI161*P161</f>
      </c>
      <c r="BM161" s="3"/>
      <c r="BN161" s="3"/>
      <c r="BO161" s="17"/>
    </row>
    <row x14ac:dyDescent="0.25" r="162" customHeight="1" ht="15">
      <c r="A162" s="17"/>
      <c r="B162" s="14"/>
      <c r="C162" s="3"/>
      <c r="D162" s="3"/>
      <c r="E162" s="3"/>
      <c r="F162" s="3"/>
      <c r="G162" s="16"/>
      <c r="H162" s="18"/>
      <c r="I162" s="18"/>
      <c r="J162" s="279">
        <f>H162+I162</f>
      </c>
      <c r="K162" s="1"/>
      <c r="L162" s="123">
        <f>K162*I162</f>
      </c>
      <c r="M162" s="123">
        <f>K162*J162</f>
      </c>
      <c r="N162" s="16"/>
      <c r="O162" s="16"/>
      <c r="P162" s="282">
        <f>IF(ISBLANK(N162),O162/4.3,N162/20)</f>
      </c>
      <c r="Q162" s="1"/>
      <c r="R162" s="3"/>
      <c r="S162" s="3"/>
      <c r="T162" s="256">
        <f>IF(ISBLANK(R162),0,X162)</f>
      </c>
      <c r="U162" s="256">
        <f>IF(ISBLANK(S162),0,X162)</f>
      </c>
      <c r="V162" s="284">
        <f>IFERROR(Q162/K162,0)</f>
      </c>
      <c r="W162" s="123">
        <f>IFERROR(L162*V162,0)</f>
      </c>
      <c r="X162" s="256">
        <f>IFERROR(Q162+W162,0)</f>
      </c>
      <c r="Y162" s="256">
        <f>IFERROR(M162*V162,0)</f>
      </c>
      <c r="Z162" s="256">
        <f>Y162-(Y162*$B$1)</f>
      </c>
      <c r="AA162" s="285">
        <f>IFERROR(Z162/X162,"")</f>
      </c>
      <c r="AB162" s="286">
        <f>IFERROR(IF(ISBLANK(N162),Y162/O162,Y162/N162),0)</f>
      </c>
      <c r="AC162" s="286">
        <f>IFERROR(-1*(AB162*B$1),0)</f>
      </c>
      <c r="AD162" s="286">
        <f>IFERROR(SUM(AB162:AC162),0)</f>
      </c>
      <c r="AE162" s="286">
        <f>IF(ISBLANK(N162),AD162,AD162*5)</f>
      </c>
      <c r="AF162" s="287">
        <f>SUM(AG162:AV162)</f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18"/>
      <c r="AU162" s="18"/>
      <c r="AV162" s="18"/>
      <c r="AW162" s="18"/>
      <c r="AX162" s="18"/>
      <c r="AY162" s="18"/>
      <c r="AZ162" s="18"/>
      <c r="BA162" s="18"/>
      <c r="BB162" s="18"/>
      <c r="BC162" s="16"/>
      <c r="BD162" s="16"/>
      <c r="BE162" s="16"/>
      <c r="BF162" s="286">
        <f>Z162-AF162</f>
      </c>
      <c r="BG162" s="321">
        <f>IFERROR(AF162/Y162,0)</f>
      </c>
      <c r="BH162" s="284">
        <f>IFERROR(AF162/X162,0)</f>
      </c>
      <c r="BI162" s="284">
        <f>IFERROR(X162/SUM(X$3:X$12),0)</f>
      </c>
      <c r="BJ162" s="284">
        <f>IFERROR(BF162/SUM(BF$3:BF359),0)</f>
      </c>
      <c r="BK162" s="288">
        <f>BF162/'R&amp;H Portfolio'!Q$10</f>
      </c>
      <c r="BL162" s="286">
        <f>BI162*P162</f>
      </c>
      <c r="BM162" s="3"/>
      <c r="BN162" s="3"/>
      <c r="BO162" s="17"/>
    </row>
    <row x14ac:dyDescent="0.25" r="163" customHeight="1" ht="15">
      <c r="A163" s="17"/>
      <c r="B163" s="14"/>
      <c r="C163" s="3"/>
      <c r="D163" s="3"/>
      <c r="E163" s="3"/>
      <c r="F163" s="3"/>
      <c r="G163" s="16"/>
      <c r="H163" s="18"/>
      <c r="I163" s="18"/>
      <c r="J163" s="279">
        <f>H163+I163</f>
      </c>
      <c r="K163" s="1"/>
      <c r="L163" s="123">
        <f>K163*I163</f>
      </c>
      <c r="M163" s="123">
        <f>K163*J163</f>
      </c>
      <c r="N163" s="16"/>
      <c r="O163" s="16"/>
      <c r="P163" s="282">
        <f>IF(ISBLANK(N163),O163/4.3,N163/20)</f>
      </c>
      <c r="Q163" s="1"/>
      <c r="R163" s="3"/>
      <c r="S163" s="3"/>
      <c r="T163" s="256">
        <f>IF(ISBLANK(R163),0,X163)</f>
      </c>
      <c r="U163" s="256">
        <f>IF(ISBLANK(S163),0,X163)</f>
      </c>
      <c r="V163" s="284">
        <f>IFERROR(Q163/K163,0)</f>
      </c>
      <c r="W163" s="123">
        <f>IFERROR(L163*V163,0)</f>
      </c>
      <c r="X163" s="256">
        <f>IFERROR(Q163+W163,0)</f>
      </c>
      <c r="Y163" s="256">
        <f>IFERROR(M163*V163,0)</f>
      </c>
      <c r="Z163" s="256">
        <f>Y163-(Y163*$B$1)</f>
      </c>
      <c r="AA163" s="285">
        <f>IFERROR(Z163/X163,"")</f>
      </c>
      <c r="AB163" s="286">
        <f>IFERROR(IF(ISBLANK(N163),Y163/O163,Y163/N163),0)</f>
      </c>
      <c r="AC163" s="286">
        <f>IFERROR(-1*(AB163*B$1),0)</f>
      </c>
      <c r="AD163" s="286">
        <f>IFERROR(SUM(AB163:AC163),0)</f>
      </c>
      <c r="AE163" s="286">
        <f>IF(ISBLANK(N163),AD163,AD163*5)</f>
      </c>
      <c r="AF163" s="287">
        <f>SUM(AG163:AV163)</f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18"/>
      <c r="AU163" s="18"/>
      <c r="AV163" s="18"/>
      <c r="AW163" s="18"/>
      <c r="AX163" s="18"/>
      <c r="AY163" s="18"/>
      <c r="AZ163" s="18"/>
      <c r="BA163" s="18"/>
      <c r="BB163" s="18"/>
      <c r="BC163" s="16"/>
      <c r="BD163" s="16"/>
      <c r="BE163" s="16"/>
      <c r="BF163" s="286">
        <f>Z163-AF163</f>
      </c>
      <c r="BG163" s="321">
        <f>IFERROR(AF163/Y163,0)</f>
      </c>
      <c r="BH163" s="284">
        <f>IFERROR(AF163/X163,0)</f>
      </c>
      <c r="BI163" s="284">
        <f>IFERROR(X163/SUM(X$3:X$12),0)</f>
      </c>
      <c r="BJ163" s="284">
        <f>IFERROR(BF163/SUM(BF$3:BF360),0)</f>
      </c>
      <c r="BK163" s="288">
        <f>BF163/'R&amp;H Portfolio'!Q$10</f>
      </c>
      <c r="BL163" s="286">
        <f>BI163*P163</f>
      </c>
      <c r="BM163" s="3"/>
      <c r="BN163" s="3"/>
      <c r="BO163" s="17"/>
    </row>
    <row x14ac:dyDescent="0.25" r="164" customHeight="1" ht="15">
      <c r="A164" s="17"/>
      <c r="B164" s="14"/>
      <c r="C164" s="3"/>
      <c r="D164" s="3"/>
      <c r="E164" s="3"/>
      <c r="F164" s="3"/>
      <c r="G164" s="16"/>
      <c r="H164" s="18"/>
      <c r="I164" s="18"/>
      <c r="J164" s="279">
        <f>H164+I164</f>
      </c>
      <c r="K164" s="1"/>
      <c r="L164" s="123">
        <f>K164*I164</f>
      </c>
      <c r="M164" s="123">
        <f>K164*J164</f>
      </c>
      <c r="N164" s="16"/>
      <c r="O164" s="16"/>
      <c r="P164" s="282">
        <f>IF(ISBLANK(N164),O164/4.3,N164/20)</f>
      </c>
      <c r="Q164" s="1"/>
      <c r="R164" s="3"/>
      <c r="S164" s="3"/>
      <c r="T164" s="256">
        <f>IF(ISBLANK(R164),0,X164)</f>
      </c>
      <c r="U164" s="256">
        <f>IF(ISBLANK(S164),0,X164)</f>
      </c>
      <c r="V164" s="284">
        <f>IFERROR(Q164/K164,0)</f>
      </c>
      <c r="W164" s="123">
        <f>IFERROR(L164*V164,0)</f>
      </c>
      <c r="X164" s="256">
        <f>IFERROR(Q164+W164,0)</f>
      </c>
      <c r="Y164" s="256">
        <f>IFERROR(M164*V164,0)</f>
      </c>
      <c r="Z164" s="256">
        <f>Y164-(Y164*$B$1)</f>
      </c>
      <c r="AA164" s="285">
        <f>IFERROR(Z164/X164,"")</f>
      </c>
      <c r="AB164" s="286">
        <f>IFERROR(IF(ISBLANK(N164),Y164/O164,Y164/N164),0)</f>
      </c>
      <c r="AC164" s="286">
        <f>IFERROR(-1*(AB164*B$1),0)</f>
      </c>
      <c r="AD164" s="286">
        <f>IFERROR(SUM(AB164:AC164),0)</f>
      </c>
      <c r="AE164" s="286">
        <f>IF(ISBLANK(N164),AD164,AD164*5)</f>
      </c>
      <c r="AF164" s="287">
        <f>SUM(AG164:AV164)</f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18"/>
      <c r="AU164" s="18"/>
      <c r="AV164" s="18"/>
      <c r="AW164" s="18"/>
      <c r="AX164" s="18"/>
      <c r="AY164" s="18"/>
      <c r="AZ164" s="18"/>
      <c r="BA164" s="18"/>
      <c r="BB164" s="18"/>
      <c r="BC164" s="16"/>
      <c r="BD164" s="16"/>
      <c r="BE164" s="16"/>
      <c r="BF164" s="286">
        <f>Z164-AF164</f>
      </c>
      <c r="BG164" s="321">
        <f>IFERROR(AF164/Y164,0)</f>
      </c>
      <c r="BH164" s="284">
        <f>IFERROR(AF164/X164,0)</f>
      </c>
      <c r="BI164" s="284">
        <f>IFERROR(X164/SUM(X$3:X$12),0)</f>
      </c>
      <c r="BJ164" s="284">
        <f>IFERROR(BF164/SUM(BF$3:BF361),0)</f>
      </c>
      <c r="BK164" s="288">
        <f>BF164/'R&amp;H Portfolio'!Q$10</f>
      </c>
      <c r="BL164" s="286">
        <f>BI164*P164</f>
      </c>
      <c r="BM164" s="3"/>
      <c r="BN164" s="3"/>
      <c r="BO164" s="17"/>
    </row>
    <row x14ac:dyDescent="0.25" r="165" customHeight="1" ht="15">
      <c r="A165" s="17"/>
      <c r="B165" s="14"/>
      <c r="C165" s="3"/>
      <c r="D165" s="3"/>
      <c r="E165" s="3"/>
      <c r="F165" s="3"/>
      <c r="G165" s="16"/>
      <c r="H165" s="18"/>
      <c r="I165" s="18"/>
      <c r="J165" s="279">
        <f>H165+I165</f>
      </c>
      <c r="K165" s="1"/>
      <c r="L165" s="123">
        <f>K165*I165</f>
      </c>
      <c r="M165" s="123">
        <f>K165*J165</f>
      </c>
      <c r="N165" s="16"/>
      <c r="O165" s="16"/>
      <c r="P165" s="282">
        <f>IF(ISBLANK(N165),O165/4.3,N165/20)</f>
      </c>
      <c r="Q165" s="1"/>
      <c r="R165" s="3"/>
      <c r="S165" s="3"/>
      <c r="T165" s="256">
        <f>IF(ISBLANK(R165),0,X165)</f>
      </c>
      <c r="U165" s="256">
        <f>IF(ISBLANK(S165),0,X165)</f>
      </c>
      <c r="V165" s="284">
        <f>IFERROR(Q165/K165,0)</f>
      </c>
      <c r="W165" s="123">
        <f>IFERROR(L165*V165,0)</f>
      </c>
      <c r="X165" s="256">
        <f>IFERROR(Q165+W165,0)</f>
      </c>
      <c r="Y165" s="256">
        <f>IFERROR(M165*V165,0)</f>
      </c>
      <c r="Z165" s="256">
        <f>Y165-(Y165*$B$1)</f>
      </c>
      <c r="AA165" s="285">
        <f>IFERROR(Z165/X165,"")</f>
      </c>
      <c r="AB165" s="286">
        <f>IFERROR(IF(ISBLANK(N165),Y165/O165,Y165/N165),0)</f>
      </c>
      <c r="AC165" s="286">
        <f>IFERROR(-1*(AB165*B$1),0)</f>
      </c>
      <c r="AD165" s="286">
        <f>IFERROR(SUM(AB165:AC165),0)</f>
      </c>
      <c r="AE165" s="286">
        <f>IF(ISBLANK(N165),AD165,AD165*5)</f>
      </c>
      <c r="AF165" s="287">
        <f>SUM(AG165:AV165)</f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18"/>
      <c r="AU165" s="18"/>
      <c r="AV165" s="18"/>
      <c r="AW165" s="18"/>
      <c r="AX165" s="18"/>
      <c r="AY165" s="18"/>
      <c r="AZ165" s="18"/>
      <c r="BA165" s="18"/>
      <c r="BB165" s="18"/>
      <c r="BC165" s="16"/>
      <c r="BD165" s="16"/>
      <c r="BE165" s="16"/>
      <c r="BF165" s="286">
        <f>Z165-AF165</f>
      </c>
      <c r="BG165" s="321">
        <f>IFERROR(AF165/Y165,0)</f>
      </c>
      <c r="BH165" s="284">
        <f>IFERROR(AF165/X165,0)</f>
      </c>
      <c r="BI165" s="284">
        <f>IFERROR(X165/SUM(X$3:X$12),0)</f>
      </c>
      <c r="BJ165" s="284">
        <f>IFERROR(BF165/SUM(BF$3:BF362),0)</f>
      </c>
      <c r="BK165" s="288">
        <f>BF165/'R&amp;H Portfolio'!Q$10</f>
      </c>
      <c r="BL165" s="286">
        <f>BI165*P165</f>
      </c>
      <c r="BM165" s="3"/>
      <c r="BN165" s="3"/>
      <c r="BO165" s="17"/>
    </row>
    <row x14ac:dyDescent="0.25" r="166" customHeight="1" ht="15">
      <c r="A166" s="17"/>
      <c r="B166" s="14"/>
      <c r="C166" s="3"/>
      <c r="D166" s="3"/>
      <c r="E166" s="3"/>
      <c r="F166" s="3"/>
      <c r="G166" s="16"/>
      <c r="H166" s="18"/>
      <c r="I166" s="18"/>
      <c r="J166" s="279">
        <f>H166+I166</f>
      </c>
      <c r="K166" s="1"/>
      <c r="L166" s="123">
        <f>K166*I166</f>
      </c>
      <c r="M166" s="123">
        <f>K166*J166</f>
      </c>
      <c r="N166" s="16"/>
      <c r="O166" s="16"/>
      <c r="P166" s="282">
        <f>IF(ISBLANK(N166),O166/4.3,N166/20)</f>
      </c>
      <c r="Q166" s="1"/>
      <c r="R166" s="3"/>
      <c r="S166" s="3"/>
      <c r="T166" s="256">
        <f>IF(ISBLANK(R166),0,X166)</f>
      </c>
      <c r="U166" s="256">
        <f>IF(ISBLANK(S166),0,X166)</f>
      </c>
      <c r="V166" s="284">
        <f>IFERROR(Q166/K166,0)</f>
      </c>
      <c r="W166" s="123">
        <f>IFERROR(L166*V166,0)</f>
      </c>
      <c r="X166" s="256">
        <f>IFERROR(Q166+W166,0)</f>
      </c>
      <c r="Y166" s="256">
        <f>IFERROR(M166*V166,0)</f>
      </c>
      <c r="Z166" s="256">
        <f>Y166-(Y166*$B$1)</f>
      </c>
      <c r="AA166" s="285">
        <f>IFERROR(Z166/X166,"")</f>
      </c>
      <c r="AB166" s="286">
        <f>IFERROR(IF(ISBLANK(N166),Y166/O166,Y166/N166),0)</f>
      </c>
      <c r="AC166" s="286">
        <f>IFERROR(-1*(AB166*B$1),0)</f>
      </c>
      <c r="AD166" s="286">
        <f>IFERROR(SUM(AB166:AC166),0)</f>
      </c>
      <c r="AE166" s="286">
        <f>IF(ISBLANK(N166),AD166,AD166*5)</f>
      </c>
      <c r="AF166" s="287">
        <f>SUM(AG166:AV166)</f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18"/>
      <c r="AU166" s="18"/>
      <c r="AV166" s="18"/>
      <c r="AW166" s="18"/>
      <c r="AX166" s="18"/>
      <c r="AY166" s="18"/>
      <c r="AZ166" s="18"/>
      <c r="BA166" s="18"/>
      <c r="BB166" s="18"/>
      <c r="BC166" s="16"/>
      <c r="BD166" s="16"/>
      <c r="BE166" s="16"/>
      <c r="BF166" s="286">
        <f>Z166-AF166</f>
      </c>
      <c r="BG166" s="321">
        <f>IFERROR(AF166/Y166,0)</f>
      </c>
      <c r="BH166" s="284">
        <f>IFERROR(AF166/X166,0)</f>
      </c>
      <c r="BI166" s="284">
        <f>IFERROR(X166/SUM(X$3:X$12),0)</f>
      </c>
      <c r="BJ166" s="284">
        <f>IFERROR(BF166/SUM(BF$3:BF363),0)</f>
      </c>
      <c r="BK166" s="288">
        <f>BF166/'R&amp;H Portfolio'!Q$10</f>
      </c>
      <c r="BL166" s="286">
        <f>BI166*P166</f>
      </c>
      <c r="BM166" s="3"/>
      <c r="BN166" s="3"/>
      <c r="BO166" s="17"/>
    </row>
    <row x14ac:dyDescent="0.25" r="167" customHeight="1" ht="15">
      <c r="A167" s="17"/>
      <c r="B167" s="14"/>
      <c r="C167" s="3"/>
      <c r="D167" s="3"/>
      <c r="E167" s="3"/>
      <c r="F167" s="3"/>
      <c r="G167" s="16"/>
      <c r="H167" s="18"/>
      <c r="I167" s="18"/>
      <c r="J167" s="279">
        <f>H167+I167</f>
      </c>
      <c r="K167" s="1"/>
      <c r="L167" s="123">
        <f>K167*I167</f>
      </c>
      <c r="M167" s="123">
        <f>K167*J167</f>
      </c>
      <c r="N167" s="16"/>
      <c r="O167" s="16"/>
      <c r="P167" s="282">
        <f>IF(ISBLANK(N167),O167/4.3,N167/20)</f>
      </c>
      <c r="Q167" s="1"/>
      <c r="R167" s="3"/>
      <c r="S167" s="3"/>
      <c r="T167" s="256">
        <f>IF(ISBLANK(R167),0,X167)</f>
      </c>
      <c r="U167" s="256">
        <f>IF(ISBLANK(S167),0,X167)</f>
      </c>
      <c r="V167" s="284">
        <f>IFERROR(Q167/K167,0)</f>
      </c>
      <c r="W167" s="123">
        <f>IFERROR(L167*V167,0)</f>
      </c>
      <c r="X167" s="256">
        <f>IFERROR(Q167+W167,0)</f>
      </c>
      <c r="Y167" s="256">
        <f>IFERROR(M167*V167,0)</f>
      </c>
      <c r="Z167" s="256">
        <f>Y167-(Y167*$B$1)</f>
      </c>
      <c r="AA167" s="285">
        <f>IFERROR(Z167/X167,"")</f>
      </c>
      <c r="AB167" s="286">
        <f>IFERROR(IF(ISBLANK(N167),Y167/O167,Y167/N167),0)</f>
      </c>
      <c r="AC167" s="286">
        <f>IFERROR(-1*(AB167*B$1),0)</f>
      </c>
      <c r="AD167" s="286">
        <f>IFERROR(SUM(AB167:AC167),0)</f>
      </c>
      <c r="AE167" s="286">
        <f>IF(ISBLANK(N167),AD167,AD167*5)</f>
      </c>
      <c r="AF167" s="287">
        <f>SUM(AG167:AV167)</f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18"/>
      <c r="AU167" s="18"/>
      <c r="AV167" s="18"/>
      <c r="AW167" s="18"/>
      <c r="AX167" s="18"/>
      <c r="AY167" s="18"/>
      <c r="AZ167" s="18"/>
      <c r="BA167" s="18"/>
      <c r="BB167" s="18"/>
      <c r="BC167" s="16"/>
      <c r="BD167" s="16"/>
      <c r="BE167" s="16"/>
      <c r="BF167" s="286">
        <f>Z167-AF167</f>
      </c>
      <c r="BG167" s="321">
        <f>IFERROR(AF167/Y167,0)</f>
      </c>
      <c r="BH167" s="284">
        <f>IFERROR(AF167/X167,0)</f>
      </c>
      <c r="BI167" s="284">
        <f>IFERROR(X167/SUM(X$3:X$12),0)</f>
      </c>
      <c r="BJ167" s="284">
        <f>IFERROR(BF167/SUM(BF$3:BF364),0)</f>
      </c>
      <c r="BK167" s="288">
        <f>BF167/'R&amp;H Portfolio'!Q$10</f>
      </c>
      <c r="BL167" s="286">
        <f>BI167*P167</f>
      </c>
      <c r="BM167" s="3"/>
      <c r="BN167" s="3"/>
      <c r="BO167" s="17"/>
    </row>
    <row x14ac:dyDescent="0.25" r="168" customHeight="1" ht="15">
      <c r="A168" s="17"/>
      <c r="B168" s="14"/>
      <c r="C168" s="3"/>
      <c r="D168" s="3"/>
      <c r="E168" s="3"/>
      <c r="F168" s="3"/>
      <c r="G168" s="16"/>
      <c r="H168" s="18"/>
      <c r="I168" s="18"/>
      <c r="J168" s="279">
        <f>H168+I168</f>
      </c>
      <c r="K168" s="1"/>
      <c r="L168" s="123">
        <f>K168*I168</f>
      </c>
      <c r="M168" s="123">
        <f>K168*J168</f>
      </c>
      <c r="N168" s="16"/>
      <c r="O168" s="16"/>
      <c r="P168" s="282">
        <f>IF(ISBLANK(N168),O168/4.3,N168/20)</f>
      </c>
      <c r="Q168" s="1"/>
      <c r="R168" s="3"/>
      <c r="S168" s="3"/>
      <c r="T168" s="256">
        <f>IF(ISBLANK(R168),0,X168)</f>
      </c>
      <c r="U168" s="256">
        <f>IF(ISBLANK(S168),0,X168)</f>
      </c>
      <c r="V168" s="284">
        <f>IFERROR(Q168/K168,0)</f>
      </c>
      <c r="W168" s="123">
        <f>IFERROR(L168*V168,0)</f>
      </c>
      <c r="X168" s="256">
        <f>IFERROR(Q168+W168,0)</f>
      </c>
      <c r="Y168" s="256">
        <f>IFERROR(M168*V168,0)</f>
      </c>
      <c r="Z168" s="256">
        <f>Y168-(Y168*$B$1)</f>
      </c>
      <c r="AA168" s="285">
        <f>IFERROR(Z168/X168,"")</f>
      </c>
      <c r="AB168" s="286">
        <f>IFERROR(IF(ISBLANK(N168),Y168/O168,Y168/N168),0)</f>
      </c>
      <c r="AC168" s="286">
        <f>IFERROR(-1*(AB168*B$1),0)</f>
      </c>
      <c r="AD168" s="286">
        <f>IFERROR(SUM(AB168:AC168),0)</f>
      </c>
      <c r="AE168" s="286">
        <f>IF(ISBLANK(N168),AD168,AD168*5)</f>
      </c>
      <c r="AF168" s="287">
        <f>SUM(AG168:AV168)</f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18"/>
      <c r="AU168" s="18"/>
      <c r="AV168" s="18"/>
      <c r="AW168" s="18"/>
      <c r="AX168" s="18"/>
      <c r="AY168" s="18"/>
      <c r="AZ168" s="18"/>
      <c r="BA168" s="18"/>
      <c r="BB168" s="18"/>
      <c r="BC168" s="16"/>
      <c r="BD168" s="16"/>
      <c r="BE168" s="16"/>
      <c r="BF168" s="286">
        <f>Z168-AF168</f>
      </c>
      <c r="BG168" s="321">
        <f>IFERROR(AF168/Y168,0)</f>
      </c>
      <c r="BH168" s="284">
        <f>IFERROR(AF168/X168,0)</f>
      </c>
      <c r="BI168" s="284">
        <f>IFERROR(X168/SUM(X$3:X$12),0)</f>
      </c>
      <c r="BJ168" s="284">
        <f>IFERROR(BF168/SUM(BF$3:BF365),0)</f>
      </c>
      <c r="BK168" s="288">
        <f>BF168/'R&amp;H Portfolio'!Q$10</f>
      </c>
      <c r="BL168" s="286">
        <f>BI168*P168</f>
      </c>
      <c r="BM168" s="3"/>
      <c r="BN168" s="3"/>
      <c r="BO168" s="17"/>
    </row>
    <row x14ac:dyDescent="0.25" r="169" customHeight="1" ht="15">
      <c r="A169" s="17"/>
      <c r="B169" s="14"/>
      <c r="C169" s="3"/>
      <c r="D169" s="3"/>
      <c r="E169" s="3"/>
      <c r="F169" s="3"/>
      <c r="G169" s="16"/>
      <c r="H169" s="18"/>
      <c r="I169" s="18"/>
      <c r="J169" s="279">
        <f>H169+I169</f>
      </c>
      <c r="K169" s="1"/>
      <c r="L169" s="123">
        <f>K169*I169</f>
      </c>
      <c r="M169" s="123">
        <f>K169*J169</f>
      </c>
      <c r="N169" s="16"/>
      <c r="O169" s="16"/>
      <c r="P169" s="282">
        <f>IF(ISBLANK(N169),O169/4.3,N169/20)</f>
      </c>
      <c r="Q169" s="1"/>
      <c r="R169" s="3"/>
      <c r="S169" s="3"/>
      <c r="T169" s="256">
        <f>IF(ISBLANK(R169),0,X169)</f>
      </c>
      <c r="U169" s="256">
        <f>IF(ISBLANK(S169),0,X169)</f>
      </c>
      <c r="V169" s="284">
        <f>IFERROR(Q169/K169,0)</f>
      </c>
      <c r="W169" s="123">
        <f>IFERROR(L169*V169,0)</f>
      </c>
      <c r="X169" s="256">
        <f>IFERROR(Q169+W169,0)</f>
      </c>
      <c r="Y169" s="256">
        <f>IFERROR(M169*V169,0)</f>
      </c>
      <c r="Z169" s="256">
        <f>Y169-(Y169*$B$1)</f>
      </c>
      <c r="AA169" s="285">
        <f>IFERROR(Z169/X169,"")</f>
      </c>
      <c r="AB169" s="286">
        <f>IFERROR(IF(ISBLANK(N169),Y169/O169,Y169/N169),0)</f>
      </c>
      <c r="AC169" s="286">
        <f>IFERROR(-1*(AB169*B$1),0)</f>
      </c>
      <c r="AD169" s="286">
        <f>IFERROR(SUM(AB169:AC169),0)</f>
      </c>
      <c r="AE169" s="286">
        <f>IF(ISBLANK(N169),AD169,AD169*5)</f>
      </c>
      <c r="AF169" s="287">
        <f>SUM(AG169:AV169)</f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18"/>
      <c r="AU169" s="18"/>
      <c r="AV169" s="18"/>
      <c r="AW169" s="18"/>
      <c r="AX169" s="18"/>
      <c r="AY169" s="18"/>
      <c r="AZ169" s="18"/>
      <c r="BA169" s="18"/>
      <c r="BB169" s="18"/>
      <c r="BC169" s="16"/>
      <c r="BD169" s="16"/>
      <c r="BE169" s="16"/>
      <c r="BF169" s="286">
        <f>Z169-AF169</f>
      </c>
      <c r="BG169" s="321">
        <f>IFERROR(AF169/Y169,0)</f>
      </c>
      <c r="BH169" s="284">
        <f>IFERROR(AF169/X169,0)</f>
      </c>
      <c r="BI169" s="284">
        <f>IFERROR(X169/SUM(X$3:X$12),0)</f>
      </c>
      <c r="BJ169" s="284">
        <f>IFERROR(BF169/SUM(BF$3:BF366),0)</f>
      </c>
      <c r="BK169" s="288">
        <f>BF169/'R&amp;H Portfolio'!Q$10</f>
      </c>
      <c r="BL169" s="286">
        <f>BI169*P169</f>
      </c>
      <c r="BM169" s="3"/>
      <c r="BN169" s="3"/>
      <c r="BO169" s="17"/>
    </row>
    <row x14ac:dyDescent="0.25" r="170" customHeight="1" ht="15">
      <c r="A170" s="17"/>
      <c r="B170" s="14"/>
      <c r="C170" s="3"/>
      <c r="D170" s="3"/>
      <c r="E170" s="3"/>
      <c r="F170" s="3"/>
      <c r="G170" s="16"/>
      <c r="H170" s="18"/>
      <c r="I170" s="18"/>
      <c r="J170" s="279">
        <f>H170+I170</f>
      </c>
      <c r="K170" s="1"/>
      <c r="L170" s="123">
        <f>K170*I170</f>
      </c>
      <c r="M170" s="123">
        <f>K170*J170</f>
      </c>
      <c r="N170" s="16"/>
      <c r="O170" s="16"/>
      <c r="P170" s="282">
        <f>IF(ISBLANK(N170),O170/4.3,N170/20)</f>
      </c>
      <c r="Q170" s="1"/>
      <c r="R170" s="3"/>
      <c r="S170" s="3"/>
      <c r="T170" s="256">
        <f>IF(ISBLANK(R170),0,X170)</f>
      </c>
      <c r="U170" s="256">
        <f>IF(ISBLANK(S170),0,X170)</f>
      </c>
      <c r="V170" s="284">
        <f>IFERROR(Q170/K170,0)</f>
      </c>
      <c r="W170" s="123">
        <f>IFERROR(L170*V170,0)</f>
      </c>
      <c r="X170" s="256">
        <f>IFERROR(Q170+W170,0)</f>
      </c>
      <c r="Y170" s="256">
        <f>IFERROR(M170*V170,0)</f>
      </c>
      <c r="Z170" s="256">
        <f>Y170-(Y170*$B$1)</f>
      </c>
      <c r="AA170" s="285">
        <f>IFERROR(Z170/X170,"")</f>
      </c>
      <c r="AB170" s="286">
        <f>IFERROR(IF(ISBLANK(N170),Y170/O170,Y170/N170),0)</f>
      </c>
      <c r="AC170" s="286">
        <f>IFERROR(-1*(AB170*B$1),0)</f>
      </c>
      <c r="AD170" s="286">
        <f>IFERROR(SUM(AB170:AC170),0)</f>
      </c>
      <c r="AE170" s="286">
        <f>IF(ISBLANK(N170),AD170,AD170*5)</f>
      </c>
      <c r="AF170" s="287">
        <f>SUM(AG170:AV170)</f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18"/>
      <c r="AU170" s="18"/>
      <c r="AV170" s="18"/>
      <c r="AW170" s="18"/>
      <c r="AX170" s="18"/>
      <c r="AY170" s="18"/>
      <c r="AZ170" s="18"/>
      <c r="BA170" s="18"/>
      <c r="BB170" s="18"/>
      <c r="BC170" s="16"/>
      <c r="BD170" s="16"/>
      <c r="BE170" s="16"/>
      <c r="BF170" s="286">
        <f>Z170-AF170</f>
      </c>
      <c r="BG170" s="321">
        <f>IFERROR(AF170/Y170,0)</f>
      </c>
      <c r="BH170" s="284">
        <f>IFERROR(AF170/X170,0)</f>
      </c>
      <c r="BI170" s="284">
        <f>IFERROR(X170/SUM(X$3:X$12),0)</f>
      </c>
      <c r="BJ170" s="284">
        <f>IFERROR(BF170/SUM(BF$3:BF367),0)</f>
      </c>
      <c r="BK170" s="288">
        <f>BF170/'R&amp;H Portfolio'!Q$10</f>
      </c>
      <c r="BL170" s="286">
        <f>BI170*P170</f>
      </c>
      <c r="BM170" s="3"/>
      <c r="BN170" s="3"/>
      <c r="BO170" s="17"/>
    </row>
    <row x14ac:dyDescent="0.25" r="171" customHeight="1" ht="15">
      <c r="A171" s="17"/>
      <c r="B171" s="14"/>
      <c r="C171" s="3"/>
      <c r="D171" s="3"/>
      <c r="E171" s="3"/>
      <c r="F171" s="3"/>
      <c r="G171" s="16"/>
      <c r="H171" s="18"/>
      <c r="I171" s="18"/>
      <c r="J171" s="279">
        <f>H171+I171</f>
      </c>
      <c r="K171" s="1"/>
      <c r="L171" s="123">
        <f>K171*I171</f>
      </c>
      <c r="M171" s="123">
        <f>K171*J171</f>
      </c>
      <c r="N171" s="16"/>
      <c r="O171" s="16"/>
      <c r="P171" s="282">
        <f>IF(ISBLANK(N171),O171/4.3,N171/20)</f>
      </c>
      <c r="Q171" s="1"/>
      <c r="R171" s="3"/>
      <c r="S171" s="3"/>
      <c r="T171" s="256">
        <f>IF(ISBLANK(R171),0,X171)</f>
      </c>
      <c r="U171" s="256">
        <f>IF(ISBLANK(S171),0,X171)</f>
      </c>
      <c r="V171" s="284">
        <f>IFERROR(Q171/K171,0)</f>
      </c>
      <c r="W171" s="123">
        <f>IFERROR(L171*V171,0)</f>
      </c>
      <c r="X171" s="256">
        <f>IFERROR(Q171+W171,0)</f>
      </c>
      <c r="Y171" s="256">
        <f>IFERROR(M171*V171,0)</f>
      </c>
      <c r="Z171" s="256">
        <f>Y171-(Y171*$B$1)</f>
      </c>
      <c r="AA171" s="285">
        <f>IFERROR(Z171/X171,"")</f>
      </c>
      <c r="AB171" s="286">
        <f>IFERROR(IF(ISBLANK(N171),Y171/O171,Y171/N171),0)</f>
      </c>
      <c r="AC171" s="286">
        <f>IFERROR(-1*(AB171*B$1),0)</f>
      </c>
      <c r="AD171" s="286">
        <f>IFERROR(SUM(AB171:AC171),0)</f>
      </c>
      <c r="AE171" s="286">
        <f>IF(ISBLANK(N171),AD171,AD171*5)</f>
      </c>
      <c r="AF171" s="287">
        <f>SUM(AG171:AV171)</f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18"/>
      <c r="AU171" s="18"/>
      <c r="AV171" s="18"/>
      <c r="AW171" s="18"/>
      <c r="AX171" s="18"/>
      <c r="AY171" s="18"/>
      <c r="AZ171" s="18"/>
      <c r="BA171" s="18"/>
      <c r="BB171" s="18"/>
      <c r="BC171" s="16"/>
      <c r="BD171" s="16"/>
      <c r="BE171" s="16"/>
      <c r="BF171" s="286">
        <f>Z171-AF171</f>
      </c>
      <c r="BG171" s="321">
        <f>IFERROR(AF171/Y171,0)</f>
      </c>
      <c r="BH171" s="284">
        <f>IFERROR(AF171/X171,0)</f>
      </c>
      <c r="BI171" s="284">
        <f>IFERROR(X171/SUM(X$3:X$12),0)</f>
      </c>
      <c r="BJ171" s="284">
        <f>IFERROR(BF171/SUM(BF$3:BF368),0)</f>
      </c>
      <c r="BK171" s="288">
        <f>BF171/'R&amp;H Portfolio'!Q$10</f>
      </c>
      <c r="BL171" s="286">
        <f>BI171*P171</f>
      </c>
      <c r="BM171" s="3"/>
      <c r="BN171" s="3"/>
      <c r="BO171" s="17"/>
    </row>
    <row x14ac:dyDescent="0.25" r="172" customHeight="1" ht="15">
      <c r="A172" s="17"/>
      <c r="B172" s="14"/>
      <c r="C172" s="3"/>
      <c r="D172" s="3"/>
      <c r="E172" s="3"/>
      <c r="F172" s="3"/>
      <c r="G172" s="16"/>
      <c r="H172" s="18"/>
      <c r="I172" s="18"/>
      <c r="J172" s="279">
        <f>H172+I172</f>
      </c>
      <c r="K172" s="1"/>
      <c r="L172" s="123">
        <f>K172*I172</f>
      </c>
      <c r="M172" s="123">
        <f>K172*J172</f>
      </c>
      <c r="N172" s="16"/>
      <c r="O172" s="16"/>
      <c r="P172" s="282">
        <f>IF(ISBLANK(N172),O172/4.3,N172/20)</f>
      </c>
      <c r="Q172" s="1"/>
      <c r="R172" s="3"/>
      <c r="S172" s="3"/>
      <c r="T172" s="256">
        <f>IF(ISBLANK(R172),0,X172)</f>
      </c>
      <c r="U172" s="256">
        <f>IF(ISBLANK(S172),0,X172)</f>
      </c>
      <c r="V172" s="284">
        <f>IFERROR(Q172/K172,0)</f>
      </c>
      <c r="W172" s="123">
        <f>IFERROR(L172*V172,0)</f>
      </c>
      <c r="X172" s="256">
        <f>IFERROR(Q172+W172,0)</f>
      </c>
      <c r="Y172" s="256">
        <f>IFERROR(M172*V172,0)</f>
      </c>
      <c r="Z172" s="256">
        <f>Y172-(Y172*$B$1)</f>
      </c>
      <c r="AA172" s="285">
        <f>IFERROR(Z172/X172,"")</f>
      </c>
      <c r="AB172" s="286">
        <f>IFERROR(IF(ISBLANK(N172),Y172/O172,Y172/N172),0)</f>
      </c>
      <c r="AC172" s="286">
        <f>IFERROR(-1*(AB172*B$1),0)</f>
      </c>
      <c r="AD172" s="286">
        <f>IFERROR(SUM(AB172:AC172),0)</f>
      </c>
      <c r="AE172" s="286">
        <f>IF(ISBLANK(N172),AD172,AD172*5)</f>
      </c>
      <c r="AF172" s="287">
        <f>SUM(AG172:AV172)</f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18"/>
      <c r="AU172" s="18"/>
      <c r="AV172" s="18"/>
      <c r="AW172" s="18"/>
      <c r="AX172" s="18"/>
      <c r="AY172" s="18"/>
      <c r="AZ172" s="18"/>
      <c r="BA172" s="18"/>
      <c r="BB172" s="18"/>
      <c r="BC172" s="16"/>
      <c r="BD172" s="16"/>
      <c r="BE172" s="16"/>
      <c r="BF172" s="286">
        <f>Z172-AF172</f>
      </c>
      <c r="BG172" s="321">
        <f>IFERROR(AF172/Y172,0)</f>
      </c>
      <c r="BH172" s="284">
        <f>IFERROR(AF172/X172,0)</f>
      </c>
      <c r="BI172" s="284">
        <f>IFERROR(X172/SUM(X$3:X$12),0)</f>
      </c>
      <c r="BJ172" s="284">
        <f>IFERROR(BF172/SUM(BF$3:BF369),0)</f>
      </c>
      <c r="BK172" s="288">
        <f>BF172/'R&amp;H Portfolio'!Q$10</f>
      </c>
      <c r="BL172" s="286">
        <f>BI172*P172</f>
      </c>
      <c r="BM172" s="3"/>
      <c r="BN172" s="3"/>
      <c r="BO172" s="17"/>
    </row>
    <row x14ac:dyDescent="0.25" r="173" customHeight="1" ht="15">
      <c r="A173" s="17"/>
      <c r="B173" s="14"/>
      <c r="C173" s="3"/>
      <c r="D173" s="3"/>
      <c r="E173" s="3"/>
      <c r="F173" s="3"/>
      <c r="G173" s="16"/>
      <c r="H173" s="18"/>
      <c r="I173" s="18"/>
      <c r="J173" s="279">
        <f>H173+I173</f>
      </c>
      <c r="K173" s="1"/>
      <c r="L173" s="123">
        <f>K173*I173</f>
      </c>
      <c r="M173" s="123">
        <f>K173*J173</f>
      </c>
      <c r="N173" s="16"/>
      <c r="O173" s="16"/>
      <c r="P173" s="282">
        <f>IF(ISBLANK(N173),O173/4.3,N173/20)</f>
      </c>
      <c r="Q173" s="1"/>
      <c r="R173" s="3"/>
      <c r="S173" s="3"/>
      <c r="T173" s="256">
        <f>IF(ISBLANK(R173),0,X173)</f>
      </c>
      <c r="U173" s="256">
        <f>IF(ISBLANK(S173),0,X173)</f>
      </c>
      <c r="V173" s="284">
        <f>IFERROR(Q173/K173,0)</f>
      </c>
      <c r="W173" s="123">
        <f>IFERROR(L173*V173,0)</f>
      </c>
      <c r="X173" s="256">
        <f>IFERROR(Q173+W173,0)</f>
      </c>
      <c r="Y173" s="256">
        <f>IFERROR(M173*V173,0)</f>
      </c>
      <c r="Z173" s="256">
        <f>Y173-(Y173*$B$1)</f>
      </c>
      <c r="AA173" s="285">
        <f>IFERROR(Z173/X173,"")</f>
      </c>
      <c r="AB173" s="286">
        <f>IFERROR(IF(ISBLANK(N173),Y173/O173,Y173/N173),0)</f>
      </c>
      <c r="AC173" s="286">
        <f>IFERROR(-1*(AB173*B$1),0)</f>
      </c>
      <c r="AD173" s="286">
        <f>IFERROR(SUM(AB173:AC173),0)</f>
      </c>
      <c r="AE173" s="286">
        <f>IF(ISBLANK(N173),AD173,AD173*5)</f>
      </c>
      <c r="AF173" s="287">
        <f>SUM(AG173:AV173)</f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18"/>
      <c r="AU173" s="18"/>
      <c r="AV173" s="18"/>
      <c r="AW173" s="18"/>
      <c r="AX173" s="18"/>
      <c r="AY173" s="18"/>
      <c r="AZ173" s="18"/>
      <c r="BA173" s="18"/>
      <c r="BB173" s="18"/>
      <c r="BC173" s="16"/>
      <c r="BD173" s="16"/>
      <c r="BE173" s="16"/>
      <c r="BF173" s="286">
        <f>Z173-AF173</f>
      </c>
      <c r="BG173" s="321">
        <f>IFERROR(AF173/Y173,0)</f>
      </c>
      <c r="BH173" s="284">
        <f>IFERROR(AF173/X173,0)</f>
      </c>
      <c r="BI173" s="284">
        <f>IFERROR(X173/SUM(X$3:X$12),0)</f>
      </c>
      <c r="BJ173" s="284">
        <f>IFERROR(BF173/SUM(BF$3:BF370),0)</f>
      </c>
      <c r="BK173" s="288">
        <f>BF173/'R&amp;H Portfolio'!Q$10</f>
      </c>
      <c r="BL173" s="286">
        <f>BI173*P173</f>
      </c>
      <c r="BM173" s="3"/>
      <c r="BN173" s="3"/>
      <c r="BO173" s="17"/>
    </row>
    <row x14ac:dyDescent="0.25" r="174" customHeight="1" ht="15">
      <c r="A174" s="17"/>
      <c r="B174" s="14"/>
      <c r="C174" s="3"/>
      <c r="D174" s="3"/>
      <c r="E174" s="3"/>
      <c r="F174" s="3"/>
      <c r="G174" s="16"/>
      <c r="H174" s="18"/>
      <c r="I174" s="18"/>
      <c r="J174" s="279">
        <f>H174+I174</f>
      </c>
      <c r="K174" s="1"/>
      <c r="L174" s="123">
        <f>K174*I174</f>
      </c>
      <c r="M174" s="123">
        <f>K174*J174</f>
      </c>
      <c r="N174" s="16"/>
      <c r="O174" s="16"/>
      <c r="P174" s="282">
        <f>IF(ISBLANK(N174),O174/4.3,N174/20)</f>
      </c>
      <c r="Q174" s="1"/>
      <c r="R174" s="3"/>
      <c r="S174" s="3"/>
      <c r="T174" s="256">
        <f>IF(ISBLANK(R174),0,X174)</f>
      </c>
      <c r="U174" s="256">
        <f>IF(ISBLANK(S174),0,X174)</f>
      </c>
      <c r="V174" s="284">
        <f>IFERROR(Q174/K174,0)</f>
      </c>
      <c r="W174" s="123">
        <f>IFERROR(L174*V174,0)</f>
      </c>
      <c r="X174" s="256">
        <f>IFERROR(Q174+W174,0)</f>
      </c>
      <c r="Y174" s="256">
        <f>IFERROR(M174*V174,0)</f>
      </c>
      <c r="Z174" s="256">
        <f>Y174-(Y174*$B$1)</f>
      </c>
      <c r="AA174" s="285">
        <f>IFERROR(Z174/X174,"")</f>
      </c>
      <c r="AB174" s="286">
        <f>IFERROR(IF(ISBLANK(N174),Y174/O174,Y174/N174),0)</f>
      </c>
      <c r="AC174" s="286">
        <f>IFERROR(-1*(AB174*B$1),0)</f>
      </c>
      <c r="AD174" s="286">
        <f>IFERROR(SUM(AB174:AC174),0)</f>
      </c>
      <c r="AE174" s="286">
        <f>IF(ISBLANK(N174),AD174,AD174*5)</f>
      </c>
      <c r="AF174" s="287">
        <f>SUM(AG174:AV174)</f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18"/>
      <c r="AU174" s="18"/>
      <c r="AV174" s="18"/>
      <c r="AW174" s="18"/>
      <c r="AX174" s="18"/>
      <c r="AY174" s="18"/>
      <c r="AZ174" s="18"/>
      <c r="BA174" s="18"/>
      <c r="BB174" s="18"/>
      <c r="BC174" s="16"/>
      <c r="BD174" s="16"/>
      <c r="BE174" s="16"/>
      <c r="BF174" s="286">
        <f>Z174-AF174</f>
      </c>
      <c r="BG174" s="321">
        <f>IFERROR(AF174/Y174,0)</f>
      </c>
      <c r="BH174" s="284">
        <f>IFERROR(AF174/X174,0)</f>
      </c>
      <c r="BI174" s="284">
        <f>IFERROR(X174/SUM(X$3:X$12),0)</f>
      </c>
      <c r="BJ174" s="284">
        <f>IFERROR(BF174/SUM(BF$3:BF371),0)</f>
      </c>
      <c r="BK174" s="288">
        <f>BF174/'R&amp;H Portfolio'!Q$10</f>
      </c>
      <c r="BL174" s="286">
        <f>BI174*P174</f>
      </c>
      <c r="BM174" s="3"/>
      <c r="BN174" s="3"/>
      <c r="BO174" s="17"/>
    </row>
    <row x14ac:dyDescent="0.25" r="175" customHeight="1" ht="15">
      <c r="A175" s="17"/>
      <c r="B175" s="14"/>
      <c r="C175" s="3"/>
      <c r="D175" s="3"/>
      <c r="E175" s="3"/>
      <c r="F175" s="3"/>
      <c r="G175" s="16"/>
      <c r="H175" s="18"/>
      <c r="I175" s="18"/>
      <c r="J175" s="279">
        <f>H175+I175</f>
      </c>
      <c r="K175" s="1"/>
      <c r="L175" s="123">
        <f>K175*I175</f>
      </c>
      <c r="M175" s="123">
        <f>K175*J175</f>
      </c>
      <c r="N175" s="16"/>
      <c r="O175" s="16"/>
      <c r="P175" s="282">
        <f>IF(ISBLANK(N175),O175/4.3,N175/20)</f>
      </c>
      <c r="Q175" s="1"/>
      <c r="R175" s="3"/>
      <c r="S175" s="3"/>
      <c r="T175" s="256">
        <f>IF(ISBLANK(R175),0,X175)</f>
      </c>
      <c r="U175" s="256">
        <f>IF(ISBLANK(S175),0,X175)</f>
      </c>
      <c r="V175" s="284">
        <f>IFERROR(Q175/K175,0)</f>
      </c>
      <c r="W175" s="123">
        <f>IFERROR(L175*V175,0)</f>
      </c>
      <c r="X175" s="256">
        <f>IFERROR(Q175+W175,0)</f>
      </c>
      <c r="Y175" s="256">
        <f>IFERROR(M175*V175,0)</f>
      </c>
      <c r="Z175" s="256">
        <f>Y175-(Y175*$B$1)</f>
      </c>
      <c r="AA175" s="285">
        <f>IFERROR(Z175/X175,"")</f>
      </c>
      <c r="AB175" s="286">
        <f>IFERROR(IF(ISBLANK(N175),Y175/O175,Y175/N175),0)</f>
      </c>
      <c r="AC175" s="286">
        <f>IFERROR(-1*(AB175*B$1),0)</f>
      </c>
      <c r="AD175" s="286">
        <f>IFERROR(SUM(AB175:AC175),0)</f>
      </c>
      <c r="AE175" s="286">
        <f>IF(ISBLANK(N175),AD175,AD175*5)</f>
      </c>
      <c r="AF175" s="287">
        <f>SUM(AG175:AV175)</f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18"/>
      <c r="AU175" s="18"/>
      <c r="AV175" s="18"/>
      <c r="AW175" s="18"/>
      <c r="AX175" s="18"/>
      <c r="AY175" s="18"/>
      <c r="AZ175" s="18"/>
      <c r="BA175" s="18"/>
      <c r="BB175" s="18"/>
      <c r="BC175" s="16"/>
      <c r="BD175" s="16"/>
      <c r="BE175" s="16"/>
      <c r="BF175" s="286">
        <f>Z175-AF175</f>
      </c>
      <c r="BG175" s="321">
        <f>IFERROR(AF175/Y175,0)</f>
      </c>
      <c r="BH175" s="284">
        <f>IFERROR(AF175/X175,0)</f>
      </c>
      <c r="BI175" s="284">
        <f>IFERROR(X175/SUM(X$3:X$12),0)</f>
      </c>
      <c r="BJ175" s="284">
        <f>IFERROR(BF175/SUM(BF$3:BF372),0)</f>
      </c>
      <c r="BK175" s="288">
        <f>BF175/'R&amp;H Portfolio'!Q$10</f>
      </c>
      <c r="BL175" s="286">
        <f>BI175*P175</f>
      </c>
      <c r="BM175" s="3"/>
      <c r="BN175" s="3"/>
      <c r="BO175" s="17"/>
    </row>
    <row x14ac:dyDescent="0.25" r="176" customHeight="1" ht="15">
      <c r="A176" s="17"/>
      <c r="B176" s="14"/>
      <c r="C176" s="3"/>
      <c r="D176" s="3"/>
      <c r="E176" s="3"/>
      <c r="F176" s="3"/>
      <c r="G176" s="16"/>
      <c r="H176" s="18"/>
      <c r="I176" s="18"/>
      <c r="J176" s="279">
        <f>H176+I176</f>
      </c>
      <c r="K176" s="1"/>
      <c r="L176" s="123">
        <f>K176*I176</f>
      </c>
      <c r="M176" s="123">
        <f>K176*J176</f>
      </c>
      <c r="N176" s="16"/>
      <c r="O176" s="16"/>
      <c r="P176" s="282">
        <f>IF(ISBLANK(N176),O176/4.3,N176/20)</f>
      </c>
      <c r="Q176" s="1"/>
      <c r="R176" s="3"/>
      <c r="S176" s="3"/>
      <c r="T176" s="256">
        <f>IF(ISBLANK(R176),0,X176)</f>
      </c>
      <c r="U176" s="256">
        <f>IF(ISBLANK(S176),0,X176)</f>
      </c>
      <c r="V176" s="284">
        <f>IFERROR(Q176/K176,0)</f>
      </c>
      <c r="W176" s="123">
        <f>IFERROR(L176*V176,0)</f>
      </c>
      <c r="X176" s="256">
        <f>IFERROR(Q176+W176,0)</f>
      </c>
      <c r="Y176" s="256">
        <f>IFERROR(M176*V176,0)</f>
      </c>
      <c r="Z176" s="256">
        <f>Y176-(Y176*$B$1)</f>
      </c>
      <c r="AA176" s="285">
        <f>IFERROR(Z176/X176,"")</f>
      </c>
      <c r="AB176" s="286">
        <f>IFERROR(IF(ISBLANK(N176),Y176/O176,Y176/N176),0)</f>
      </c>
      <c r="AC176" s="286">
        <f>IFERROR(-1*(AB176*B$1),0)</f>
      </c>
      <c r="AD176" s="286">
        <f>IFERROR(SUM(AB176:AC176),0)</f>
      </c>
      <c r="AE176" s="286">
        <f>IF(ISBLANK(N176),AD176,AD176*5)</f>
      </c>
      <c r="AF176" s="287">
        <f>SUM(AG176:AV176)</f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18"/>
      <c r="AU176" s="18"/>
      <c r="AV176" s="18"/>
      <c r="AW176" s="18"/>
      <c r="AX176" s="18"/>
      <c r="AY176" s="18"/>
      <c r="AZ176" s="18"/>
      <c r="BA176" s="18"/>
      <c r="BB176" s="18"/>
      <c r="BC176" s="16"/>
      <c r="BD176" s="16"/>
      <c r="BE176" s="16"/>
      <c r="BF176" s="286">
        <f>Z176-AF176</f>
      </c>
      <c r="BG176" s="321">
        <f>IFERROR(AF176/Y176,0)</f>
      </c>
      <c r="BH176" s="284">
        <f>IFERROR(AF176/X176,0)</f>
      </c>
      <c r="BI176" s="284">
        <f>IFERROR(X176/SUM(X$3:X$12),0)</f>
      </c>
      <c r="BJ176" s="284">
        <f>IFERROR(BF176/SUM(BF$3:BF373),0)</f>
      </c>
      <c r="BK176" s="288">
        <f>BF176/'R&amp;H Portfolio'!Q$10</f>
      </c>
      <c r="BL176" s="286">
        <f>BI176*P176</f>
      </c>
      <c r="BM176" s="3"/>
      <c r="BN176" s="3"/>
      <c r="BO176" s="17"/>
    </row>
    <row x14ac:dyDescent="0.25" r="177" customHeight="1" ht="15">
      <c r="A177" s="17"/>
      <c r="B177" s="14"/>
      <c r="C177" s="3"/>
      <c r="D177" s="3"/>
      <c r="E177" s="3"/>
      <c r="F177" s="3"/>
      <c r="G177" s="16"/>
      <c r="H177" s="18"/>
      <c r="I177" s="18"/>
      <c r="J177" s="279">
        <f>H177+I177</f>
      </c>
      <c r="K177" s="1"/>
      <c r="L177" s="123">
        <f>K177*I177</f>
      </c>
      <c r="M177" s="123">
        <f>K177*J177</f>
      </c>
      <c r="N177" s="16"/>
      <c r="O177" s="16"/>
      <c r="P177" s="282">
        <f>IF(ISBLANK(N177),O177/4.3,N177/20)</f>
      </c>
      <c r="Q177" s="1"/>
      <c r="R177" s="3"/>
      <c r="S177" s="3"/>
      <c r="T177" s="256">
        <f>IF(ISBLANK(R177),0,X177)</f>
      </c>
      <c r="U177" s="256">
        <f>IF(ISBLANK(S177),0,X177)</f>
      </c>
      <c r="V177" s="284">
        <f>IFERROR(Q177/K177,0)</f>
      </c>
      <c r="W177" s="123">
        <f>IFERROR(L177*V177,0)</f>
      </c>
      <c r="X177" s="256">
        <f>IFERROR(Q177+W177,0)</f>
      </c>
      <c r="Y177" s="256">
        <f>IFERROR(M177*V177,0)</f>
      </c>
      <c r="Z177" s="256">
        <f>Y177-(Y177*$B$1)</f>
      </c>
      <c r="AA177" s="285">
        <f>IFERROR(Z177/X177,"")</f>
      </c>
      <c r="AB177" s="286">
        <f>IFERROR(IF(ISBLANK(N177),Y177/O177,Y177/N177),0)</f>
      </c>
      <c r="AC177" s="286">
        <f>IFERROR(-1*(AB177*B$1),0)</f>
      </c>
      <c r="AD177" s="286">
        <f>IFERROR(SUM(AB177:AC177),0)</f>
      </c>
      <c r="AE177" s="286">
        <f>IF(ISBLANK(N177),AD177,AD177*5)</f>
      </c>
      <c r="AF177" s="287">
        <f>SUM(AG177:AV177)</f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18"/>
      <c r="AU177" s="18"/>
      <c r="AV177" s="18"/>
      <c r="AW177" s="18"/>
      <c r="AX177" s="18"/>
      <c r="AY177" s="18"/>
      <c r="AZ177" s="18"/>
      <c r="BA177" s="18"/>
      <c r="BB177" s="18"/>
      <c r="BC177" s="16"/>
      <c r="BD177" s="16"/>
      <c r="BE177" s="16"/>
      <c r="BF177" s="286">
        <f>Z177-AF177</f>
      </c>
      <c r="BG177" s="321">
        <f>IFERROR(AF177/Y177,0)</f>
      </c>
      <c r="BH177" s="284">
        <f>IFERROR(AF177/X177,0)</f>
      </c>
      <c r="BI177" s="284">
        <f>IFERROR(X177/SUM(X$3:X$12),0)</f>
      </c>
      <c r="BJ177" s="284">
        <f>IFERROR(BF177/SUM(BF$3:BF374),0)</f>
      </c>
      <c r="BK177" s="288">
        <f>BF177/'R&amp;H Portfolio'!Q$10</f>
      </c>
      <c r="BL177" s="286">
        <f>BI177*P177</f>
      </c>
      <c r="BM177" s="3"/>
      <c r="BN177" s="3"/>
      <c r="BO177" s="17"/>
    </row>
    <row x14ac:dyDescent="0.25" r="178" customHeight="1" ht="15">
      <c r="A178" s="17"/>
      <c r="B178" s="14"/>
      <c r="C178" s="3"/>
      <c r="D178" s="3"/>
      <c r="E178" s="3"/>
      <c r="F178" s="3"/>
      <c r="G178" s="16"/>
      <c r="H178" s="18"/>
      <c r="I178" s="18"/>
      <c r="J178" s="279">
        <f>H178+I178</f>
      </c>
      <c r="K178" s="1"/>
      <c r="L178" s="123">
        <f>K178*I178</f>
      </c>
      <c r="M178" s="123">
        <f>K178*J178</f>
      </c>
      <c r="N178" s="16"/>
      <c r="O178" s="16"/>
      <c r="P178" s="282">
        <f>IF(ISBLANK(N178),O178/4.3,N178/20)</f>
      </c>
      <c r="Q178" s="1"/>
      <c r="R178" s="3"/>
      <c r="S178" s="3"/>
      <c r="T178" s="256">
        <f>IF(ISBLANK(R178),0,X178)</f>
      </c>
      <c r="U178" s="256">
        <f>IF(ISBLANK(S178),0,X178)</f>
      </c>
      <c r="V178" s="284">
        <f>IFERROR(Q178/K178,0)</f>
      </c>
      <c r="W178" s="123">
        <f>IFERROR(L178*V178,0)</f>
      </c>
      <c r="X178" s="256">
        <f>IFERROR(Q178+W178,0)</f>
      </c>
      <c r="Y178" s="256">
        <f>IFERROR(M178*V178,0)</f>
      </c>
      <c r="Z178" s="256">
        <f>Y178-(Y178*$B$1)</f>
      </c>
      <c r="AA178" s="285">
        <f>IFERROR(Z178/X178,"")</f>
      </c>
      <c r="AB178" s="286">
        <f>IFERROR(IF(ISBLANK(N178),Y178/O178,Y178/N178),0)</f>
      </c>
      <c r="AC178" s="286">
        <f>IFERROR(-1*(AB178*B$1),0)</f>
      </c>
      <c r="AD178" s="286">
        <f>IFERROR(SUM(AB178:AC178),0)</f>
      </c>
      <c r="AE178" s="286">
        <f>IF(ISBLANK(N178),AD178,AD178*5)</f>
      </c>
      <c r="AF178" s="287">
        <f>SUM(AG178:AV178)</f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18"/>
      <c r="AU178" s="18"/>
      <c r="AV178" s="18"/>
      <c r="AW178" s="18"/>
      <c r="AX178" s="18"/>
      <c r="AY178" s="18"/>
      <c r="AZ178" s="18"/>
      <c r="BA178" s="18"/>
      <c r="BB178" s="18"/>
      <c r="BC178" s="16"/>
      <c r="BD178" s="16"/>
      <c r="BE178" s="16"/>
      <c r="BF178" s="286">
        <f>Z178-AF178</f>
      </c>
      <c r="BG178" s="321">
        <f>IFERROR(AF178/Y178,0)</f>
      </c>
      <c r="BH178" s="284">
        <f>IFERROR(AF178/X178,0)</f>
      </c>
      <c r="BI178" s="284">
        <f>IFERROR(X178/SUM(X$3:X$12),0)</f>
      </c>
      <c r="BJ178" s="284">
        <f>IFERROR(BF178/SUM(BF$3:BF375),0)</f>
      </c>
      <c r="BK178" s="288">
        <f>BF178/'R&amp;H Portfolio'!Q$10</f>
      </c>
      <c r="BL178" s="286">
        <f>BI178*P178</f>
      </c>
      <c r="BM178" s="3"/>
      <c r="BN178" s="3"/>
      <c r="BO178" s="17"/>
    </row>
    <row x14ac:dyDescent="0.25" r="179" customHeight="1" ht="15">
      <c r="A179" s="17"/>
      <c r="B179" s="14"/>
      <c r="C179" s="3"/>
      <c r="D179" s="3"/>
      <c r="E179" s="3"/>
      <c r="F179" s="3"/>
      <c r="G179" s="16"/>
      <c r="H179" s="18"/>
      <c r="I179" s="18"/>
      <c r="J179" s="279">
        <f>H179+I179</f>
      </c>
      <c r="K179" s="1"/>
      <c r="L179" s="123">
        <f>K179*I179</f>
      </c>
      <c r="M179" s="123">
        <f>K179*J179</f>
      </c>
      <c r="N179" s="16"/>
      <c r="O179" s="16"/>
      <c r="P179" s="282">
        <f>IF(ISBLANK(N179),O179/4.3,N179/20)</f>
      </c>
      <c r="Q179" s="1"/>
      <c r="R179" s="3"/>
      <c r="S179" s="3"/>
      <c r="T179" s="256">
        <f>IF(ISBLANK(R179),0,X179)</f>
      </c>
      <c r="U179" s="256">
        <f>IF(ISBLANK(S179),0,X179)</f>
      </c>
      <c r="V179" s="284">
        <f>IFERROR(Q179/K179,0)</f>
      </c>
      <c r="W179" s="123">
        <f>IFERROR(L179*V179,0)</f>
      </c>
      <c r="X179" s="256">
        <f>IFERROR(Q179+W179,0)</f>
      </c>
      <c r="Y179" s="256">
        <f>IFERROR(M179*V179,0)</f>
      </c>
      <c r="Z179" s="256">
        <f>Y179-(Y179*$B$1)</f>
      </c>
      <c r="AA179" s="285">
        <f>IFERROR(Z179/X179,"")</f>
      </c>
      <c r="AB179" s="286">
        <f>IFERROR(IF(ISBLANK(N179),Y179/O179,Y179/N179),0)</f>
      </c>
      <c r="AC179" s="286">
        <f>IFERROR(-1*(AB179*B$1),0)</f>
      </c>
      <c r="AD179" s="286">
        <f>IFERROR(SUM(AB179:AC179),0)</f>
      </c>
      <c r="AE179" s="286">
        <f>IF(ISBLANK(N179),AD179,AD179*5)</f>
      </c>
      <c r="AF179" s="287">
        <f>SUM(AG179:AV179)</f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18"/>
      <c r="AU179" s="18"/>
      <c r="AV179" s="18"/>
      <c r="AW179" s="18"/>
      <c r="AX179" s="18"/>
      <c r="AY179" s="18"/>
      <c r="AZ179" s="18"/>
      <c r="BA179" s="18"/>
      <c r="BB179" s="18"/>
      <c r="BC179" s="16"/>
      <c r="BD179" s="16"/>
      <c r="BE179" s="16"/>
      <c r="BF179" s="286">
        <f>Z179-AF179</f>
      </c>
      <c r="BG179" s="321">
        <f>IFERROR(AF179/Y179,0)</f>
      </c>
      <c r="BH179" s="284">
        <f>IFERROR(AF179/X179,0)</f>
      </c>
      <c r="BI179" s="284">
        <f>IFERROR(X179/SUM(X$3:X$12),0)</f>
      </c>
      <c r="BJ179" s="284">
        <f>IFERROR(BF179/SUM(BF$3:BF376),0)</f>
      </c>
      <c r="BK179" s="288">
        <f>BF179/'R&amp;H Portfolio'!Q$10</f>
      </c>
      <c r="BL179" s="286">
        <f>BI179*P179</f>
      </c>
      <c r="BM179" s="3"/>
      <c r="BN179" s="3"/>
      <c r="BO179" s="17"/>
    </row>
    <row x14ac:dyDescent="0.25" r="180" customHeight="1" ht="15">
      <c r="A180" s="17"/>
      <c r="B180" s="14"/>
      <c r="C180" s="3"/>
      <c r="D180" s="3"/>
      <c r="E180" s="3"/>
      <c r="F180" s="3"/>
      <c r="G180" s="16"/>
      <c r="H180" s="18"/>
      <c r="I180" s="18"/>
      <c r="J180" s="279">
        <f>H180+I180</f>
      </c>
      <c r="K180" s="1"/>
      <c r="L180" s="123">
        <f>K180*I180</f>
      </c>
      <c r="M180" s="123">
        <f>K180*J180</f>
      </c>
      <c r="N180" s="16"/>
      <c r="O180" s="16"/>
      <c r="P180" s="282">
        <f>IF(ISBLANK(N180),O180/4.3,N180/20)</f>
      </c>
      <c r="Q180" s="1"/>
      <c r="R180" s="3"/>
      <c r="S180" s="3"/>
      <c r="T180" s="256">
        <f>IF(ISBLANK(R180),0,X180)</f>
      </c>
      <c r="U180" s="256">
        <f>IF(ISBLANK(S180),0,X180)</f>
      </c>
      <c r="V180" s="284">
        <f>IFERROR(Q180/K180,0)</f>
      </c>
      <c r="W180" s="123">
        <f>IFERROR(L180*V180,0)</f>
      </c>
      <c r="X180" s="256">
        <f>IFERROR(Q180+W180,0)</f>
      </c>
      <c r="Y180" s="256">
        <f>IFERROR(M180*V180,0)</f>
      </c>
      <c r="Z180" s="256">
        <f>Y180-(Y180*$B$1)</f>
      </c>
      <c r="AA180" s="285">
        <f>IFERROR(Z180/X180,"")</f>
      </c>
      <c r="AB180" s="286">
        <f>IFERROR(IF(ISBLANK(N180),Y180/O180,Y180/N180),0)</f>
      </c>
      <c r="AC180" s="286">
        <f>IFERROR(-1*(AB180*B$1),0)</f>
      </c>
      <c r="AD180" s="286">
        <f>IFERROR(SUM(AB180:AC180),0)</f>
      </c>
      <c r="AE180" s="286">
        <f>IF(ISBLANK(N180),AD180,AD180*5)</f>
      </c>
      <c r="AF180" s="287">
        <f>SUM(AG180:AV180)</f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18"/>
      <c r="AU180" s="18"/>
      <c r="AV180" s="18"/>
      <c r="AW180" s="18"/>
      <c r="AX180" s="18"/>
      <c r="AY180" s="18"/>
      <c r="AZ180" s="18"/>
      <c r="BA180" s="18"/>
      <c r="BB180" s="18"/>
      <c r="BC180" s="16"/>
      <c r="BD180" s="16"/>
      <c r="BE180" s="16"/>
      <c r="BF180" s="286">
        <f>Z180-AF180</f>
      </c>
      <c r="BG180" s="321">
        <f>IFERROR(AF180/Y180,0)</f>
      </c>
      <c r="BH180" s="284">
        <f>IFERROR(AF180/X180,0)</f>
      </c>
      <c r="BI180" s="284">
        <f>IFERROR(X180/SUM(X$3:X$12),0)</f>
      </c>
      <c r="BJ180" s="284">
        <f>IFERROR(BF180/SUM(BF$3:BF377),0)</f>
      </c>
      <c r="BK180" s="288">
        <f>BF180/'R&amp;H Portfolio'!Q$10</f>
      </c>
      <c r="BL180" s="286">
        <f>BI180*P180</f>
      </c>
      <c r="BM180" s="3"/>
      <c r="BN180" s="3"/>
      <c r="BO180" s="17"/>
    </row>
    <row x14ac:dyDescent="0.25" r="181" customHeight="1" ht="15">
      <c r="A181" s="17"/>
      <c r="B181" s="14"/>
      <c r="C181" s="3"/>
      <c r="D181" s="3"/>
      <c r="E181" s="3"/>
      <c r="F181" s="3"/>
      <c r="G181" s="16"/>
      <c r="H181" s="18"/>
      <c r="I181" s="18"/>
      <c r="J181" s="279">
        <f>H181+I181</f>
      </c>
      <c r="K181" s="1"/>
      <c r="L181" s="123">
        <f>K181*I181</f>
      </c>
      <c r="M181" s="123">
        <f>K181*J181</f>
      </c>
      <c r="N181" s="16"/>
      <c r="O181" s="16"/>
      <c r="P181" s="282">
        <f>IF(ISBLANK(N181),O181/4.3,N181/20)</f>
      </c>
      <c r="Q181" s="1"/>
      <c r="R181" s="3"/>
      <c r="S181" s="3"/>
      <c r="T181" s="256">
        <f>IF(ISBLANK(R181),0,X181)</f>
      </c>
      <c r="U181" s="256">
        <f>IF(ISBLANK(S181),0,X181)</f>
      </c>
      <c r="V181" s="284">
        <f>IFERROR(Q181/K181,0)</f>
      </c>
      <c r="W181" s="123">
        <f>IFERROR(L181*V181,0)</f>
      </c>
      <c r="X181" s="256">
        <f>IFERROR(Q181+W181,0)</f>
      </c>
      <c r="Y181" s="256">
        <f>IFERROR(M181*V181,0)</f>
      </c>
      <c r="Z181" s="256">
        <f>Y181-(Y181*$B$1)</f>
      </c>
      <c r="AA181" s="285">
        <f>IFERROR(Z181/X181,"")</f>
      </c>
      <c r="AB181" s="286">
        <f>IFERROR(IF(ISBLANK(N181),Y181/O181,Y181/N181),0)</f>
      </c>
      <c r="AC181" s="286">
        <f>IFERROR(-1*(AB181*B$1),0)</f>
      </c>
      <c r="AD181" s="286">
        <f>IFERROR(SUM(AB181:AC181),0)</f>
      </c>
      <c r="AE181" s="286">
        <f>IF(ISBLANK(N181),AD181,AD181*5)</f>
      </c>
      <c r="AF181" s="287">
        <f>SUM(AG181:AV181)</f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18"/>
      <c r="AU181" s="18"/>
      <c r="AV181" s="18"/>
      <c r="AW181" s="18"/>
      <c r="AX181" s="18"/>
      <c r="AY181" s="18"/>
      <c r="AZ181" s="18"/>
      <c r="BA181" s="18"/>
      <c r="BB181" s="18"/>
      <c r="BC181" s="16"/>
      <c r="BD181" s="16"/>
      <c r="BE181" s="16"/>
      <c r="BF181" s="286">
        <f>Z181-AF181</f>
      </c>
      <c r="BG181" s="321">
        <f>IFERROR(AF181/Y181,0)</f>
      </c>
      <c r="BH181" s="284">
        <f>IFERROR(AF181/X181,0)</f>
      </c>
      <c r="BI181" s="284">
        <f>IFERROR(X181/SUM(X$3:X$12),0)</f>
      </c>
      <c r="BJ181" s="284">
        <f>IFERROR(BF181/SUM(BF$3:BF378),0)</f>
      </c>
      <c r="BK181" s="288">
        <f>BF181/'R&amp;H Portfolio'!Q$10</f>
      </c>
      <c r="BL181" s="286">
        <f>BI181*P181</f>
      </c>
      <c r="BM181" s="3"/>
      <c r="BN181" s="3"/>
      <c r="BO181" s="17"/>
    </row>
    <row x14ac:dyDescent="0.25" r="182" customHeight="1" ht="15">
      <c r="A182" s="17"/>
      <c r="B182" s="14"/>
      <c r="C182" s="3"/>
      <c r="D182" s="3"/>
      <c r="E182" s="3"/>
      <c r="F182" s="3"/>
      <c r="G182" s="16"/>
      <c r="H182" s="18"/>
      <c r="I182" s="18"/>
      <c r="J182" s="279">
        <f>H182+I182</f>
      </c>
      <c r="K182" s="1"/>
      <c r="L182" s="123">
        <f>K182*I182</f>
      </c>
      <c r="M182" s="123">
        <f>K182*J182</f>
      </c>
      <c r="N182" s="16"/>
      <c r="O182" s="16"/>
      <c r="P182" s="282">
        <f>IF(ISBLANK(N182),O182/4.3,N182/20)</f>
      </c>
      <c r="Q182" s="1"/>
      <c r="R182" s="3"/>
      <c r="S182" s="3"/>
      <c r="T182" s="256">
        <f>IF(ISBLANK(R182),0,X182)</f>
      </c>
      <c r="U182" s="256">
        <f>IF(ISBLANK(S182),0,X182)</f>
      </c>
      <c r="V182" s="284">
        <f>IFERROR(Q182/K182,0)</f>
      </c>
      <c r="W182" s="123">
        <f>IFERROR(L182*V182,0)</f>
      </c>
      <c r="X182" s="256">
        <f>IFERROR(Q182+W182,0)</f>
      </c>
      <c r="Y182" s="256">
        <f>IFERROR(M182*V182,0)</f>
      </c>
      <c r="Z182" s="256">
        <f>Y182-(Y182*$B$1)</f>
      </c>
      <c r="AA182" s="285">
        <f>IFERROR(Z182/X182,"")</f>
      </c>
      <c r="AB182" s="286">
        <f>IFERROR(IF(ISBLANK(N182),Y182/O182,Y182/N182),0)</f>
      </c>
      <c r="AC182" s="286">
        <f>IFERROR(-1*(AB182*B$1),0)</f>
      </c>
      <c r="AD182" s="286">
        <f>IFERROR(SUM(AB182:AC182),0)</f>
      </c>
      <c r="AE182" s="286">
        <f>IF(ISBLANK(N182),AD182,AD182*5)</f>
      </c>
      <c r="AF182" s="287">
        <f>SUM(AG182:AV182)</f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18"/>
      <c r="AU182" s="18"/>
      <c r="AV182" s="18"/>
      <c r="AW182" s="18"/>
      <c r="AX182" s="18"/>
      <c r="AY182" s="18"/>
      <c r="AZ182" s="18"/>
      <c r="BA182" s="18"/>
      <c r="BB182" s="18"/>
      <c r="BC182" s="16"/>
      <c r="BD182" s="16"/>
      <c r="BE182" s="16"/>
      <c r="BF182" s="286">
        <f>Z182-AF182</f>
      </c>
      <c r="BG182" s="321">
        <f>IFERROR(AF182/Y182,0)</f>
      </c>
      <c r="BH182" s="284">
        <f>IFERROR(AF182/X182,0)</f>
      </c>
      <c r="BI182" s="284">
        <f>IFERROR(X182/SUM(X$3:X$12),0)</f>
      </c>
      <c r="BJ182" s="284">
        <f>IFERROR(BF182/SUM(BF$3:BF379),0)</f>
      </c>
      <c r="BK182" s="288">
        <f>BF182/'R&amp;H Portfolio'!Q$10</f>
      </c>
      <c r="BL182" s="286">
        <f>BI182*P182</f>
      </c>
      <c r="BM182" s="3"/>
      <c r="BN182" s="3"/>
      <c r="BO182" s="17"/>
    </row>
    <row x14ac:dyDescent="0.25" r="183" customHeight="1" ht="15">
      <c r="A183" s="17"/>
      <c r="B183" s="14"/>
      <c r="C183" s="3"/>
      <c r="D183" s="3"/>
      <c r="E183" s="3"/>
      <c r="F183" s="3"/>
      <c r="G183" s="16"/>
      <c r="H183" s="18"/>
      <c r="I183" s="18"/>
      <c r="J183" s="279">
        <f>H183+I183</f>
      </c>
      <c r="K183" s="1"/>
      <c r="L183" s="123">
        <f>K183*I183</f>
      </c>
      <c r="M183" s="123">
        <f>K183*J183</f>
      </c>
      <c r="N183" s="16"/>
      <c r="O183" s="16"/>
      <c r="P183" s="282">
        <f>IF(ISBLANK(N183),O183/4.3,N183/20)</f>
      </c>
      <c r="Q183" s="1"/>
      <c r="R183" s="3"/>
      <c r="S183" s="3"/>
      <c r="T183" s="256">
        <f>IF(ISBLANK(R183),0,X183)</f>
      </c>
      <c r="U183" s="256">
        <f>IF(ISBLANK(S183),0,X183)</f>
      </c>
      <c r="V183" s="284">
        <f>IFERROR(Q183/K183,0)</f>
      </c>
      <c r="W183" s="123">
        <f>IFERROR(L183*V183,0)</f>
      </c>
      <c r="X183" s="256">
        <f>IFERROR(Q183+W183,0)</f>
      </c>
      <c r="Y183" s="256">
        <f>IFERROR(M183*V183,0)</f>
      </c>
      <c r="Z183" s="256">
        <f>Y183-(Y183*$B$1)</f>
      </c>
      <c r="AA183" s="285">
        <f>IFERROR(Z183/X183,"")</f>
      </c>
      <c r="AB183" s="286">
        <f>IFERROR(IF(ISBLANK(N183),Y183/O183,Y183/N183),0)</f>
      </c>
      <c r="AC183" s="286">
        <f>IFERROR(-1*(AB183*B$1),0)</f>
      </c>
      <c r="AD183" s="286">
        <f>IFERROR(SUM(AB183:AC183),0)</f>
      </c>
      <c r="AE183" s="286">
        <f>IF(ISBLANK(N183),AD183,AD183*5)</f>
      </c>
      <c r="AF183" s="287">
        <f>SUM(AG183:AV183)</f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18"/>
      <c r="AU183" s="18"/>
      <c r="AV183" s="18"/>
      <c r="AW183" s="18"/>
      <c r="AX183" s="18"/>
      <c r="AY183" s="18"/>
      <c r="AZ183" s="18"/>
      <c r="BA183" s="18"/>
      <c r="BB183" s="18"/>
      <c r="BC183" s="16"/>
      <c r="BD183" s="16"/>
      <c r="BE183" s="16"/>
      <c r="BF183" s="286">
        <f>Z183-AF183</f>
      </c>
      <c r="BG183" s="321">
        <f>IFERROR(AF183/Y183,0)</f>
      </c>
      <c r="BH183" s="284">
        <f>IFERROR(AF183/X183,0)</f>
      </c>
      <c r="BI183" s="284">
        <f>IFERROR(X183/SUM(X$3:X$12),0)</f>
      </c>
      <c r="BJ183" s="284">
        <f>IFERROR(BF183/SUM(BF$3:BF380),0)</f>
      </c>
      <c r="BK183" s="288">
        <f>BF183/'R&amp;H Portfolio'!Q$10</f>
      </c>
      <c r="BL183" s="286">
        <f>BI183*P183</f>
      </c>
      <c r="BM183" s="3"/>
      <c r="BN183" s="3"/>
      <c r="BO183" s="17"/>
    </row>
    <row x14ac:dyDescent="0.25" r="184" customHeight="1" ht="15">
      <c r="A184" s="17"/>
      <c r="B184" s="14"/>
      <c r="C184" s="3"/>
      <c r="D184" s="3"/>
      <c r="E184" s="3"/>
      <c r="F184" s="3"/>
      <c r="G184" s="16"/>
      <c r="H184" s="18"/>
      <c r="I184" s="18"/>
      <c r="J184" s="279">
        <f>H184+I184</f>
      </c>
      <c r="K184" s="1"/>
      <c r="L184" s="123">
        <f>K184*I184</f>
      </c>
      <c r="M184" s="123">
        <f>K184*J184</f>
      </c>
      <c r="N184" s="16"/>
      <c r="O184" s="16"/>
      <c r="P184" s="282">
        <f>IF(ISBLANK(N184),O184/4.3,N184/20)</f>
      </c>
      <c r="Q184" s="1"/>
      <c r="R184" s="3"/>
      <c r="S184" s="3"/>
      <c r="T184" s="256">
        <f>IF(ISBLANK(R184),0,X184)</f>
      </c>
      <c r="U184" s="256">
        <f>IF(ISBLANK(S184),0,X184)</f>
      </c>
      <c r="V184" s="284">
        <f>IFERROR(Q184/K184,0)</f>
      </c>
      <c r="W184" s="123">
        <f>IFERROR(L184*V184,0)</f>
      </c>
      <c r="X184" s="256">
        <f>IFERROR(Q184+W184,0)</f>
      </c>
      <c r="Y184" s="256">
        <f>IFERROR(M184*V184,0)</f>
      </c>
      <c r="Z184" s="256">
        <f>Y184-(Y184*$B$1)</f>
      </c>
      <c r="AA184" s="285">
        <f>IFERROR(Z184/X184,"")</f>
      </c>
      <c r="AB184" s="286">
        <f>IFERROR(IF(ISBLANK(N184),Y184/O184,Y184/N184),0)</f>
      </c>
      <c r="AC184" s="286">
        <f>IFERROR(-1*(AB184*B$1),0)</f>
      </c>
      <c r="AD184" s="286">
        <f>IFERROR(SUM(AB184:AC184),0)</f>
      </c>
      <c r="AE184" s="286">
        <f>IF(ISBLANK(N184),AD184,AD184*5)</f>
      </c>
      <c r="AF184" s="287">
        <f>SUM(AG184:AV184)</f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18"/>
      <c r="AU184" s="18"/>
      <c r="AV184" s="18"/>
      <c r="AW184" s="18"/>
      <c r="AX184" s="18"/>
      <c r="AY184" s="18"/>
      <c r="AZ184" s="18"/>
      <c r="BA184" s="18"/>
      <c r="BB184" s="18"/>
      <c r="BC184" s="16"/>
      <c r="BD184" s="16"/>
      <c r="BE184" s="16"/>
      <c r="BF184" s="286">
        <f>Z184-AF184</f>
      </c>
      <c r="BG184" s="321">
        <f>IFERROR(AF184/Y184,0)</f>
      </c>
      <c r="BH184" s="284">
        <f>IFERROR(AF184/X184,0)</f>
      </c>
      <c r="BI184" s="284">
        <f>IFERROR(X184/SUM(X$3:X$12),0)</f>
      </c>
      <c r="BJ184" s="284">
        <f>IFERROR(BF184/SUM(BF$3:BF381),0)</f>
      </c>
      <c r="BK184" s="288">
        <f>BF184/'R&amp;H Portfolio'!Q$10</f>
      </c>
      <c r="BL184" s="286">
        <f>BI184*P184</f>
      </c>
      <c r="BM184" s="3"/>
      <c r="BN184" s="3"/>
      <c r="BO184" s="17"/>
    </row>
    <row x14ac:dyDescent="0.25" r="185" customHeight="1" ht="15">
      <c r="A185" s="17"/>
      <c r="B185" s="14"/>
      <c r="C185" s="3"/>
      <c r="D185" s="3"/>
      <c r="E185" s="3"/>
      <c r="F185" s="3"/>
      <c r="G185" s="16"/>
      <c r="H185" s="18"/>
      <c r="I185" s="18"/>
      <c r="J185" s="279">
        <f>H185+I185</f>
      </c>
      <c r="K185" s="1"/>
      <c r="L185" s="123">
        <f>K185*I185</f>
      </c>
      <c r="M185" s="123">
        <f>K185*J185</f>
      </c>
      <c r="N185" s="16"/>
      <c r="O185" s="16"/>
      <c r="P185" s="282">
        <f>IF(ISBLANK(N185),O185/4.3,N185/20)</f>
      </c>
      <c r="Q185" s="1"/>
      <c r="R185" s="3"/>
      <c r="S185" s="3"/>
      <c r="T185" s="256">
        <f>IF(ISBLANK(R185),0,X185)</f>
      </c>
      <c r="U185" s="256">
        <f>IF(ISBLANK(S185),0,X185)</f>
      </c>
      <c r="V185" s="284">
        <f>IFERROR(Q185/K185,0)</f>
      </c>
      <c r="W185" s="123">
        <f>IFERROR(L185*V185,0)</f>
      </c>
      <c r="X185" s="256">
        <f>IFERROR(Q185+W185,0)</f>
      </c>
      <c r="Y185" s="256">
        <f>IFERROR(M185*V185,0)</f>
      </c>
      <c r="Z185" s="256">
        <f>Y185-(Y185*$B$1)</f>
      </c>
      <c r="AA185" s="285">
        <f>IFERROR(Z185/X185,"")</f>
      </c>
      <c r="AB185" s="286">
        <f>IFERROR(IF(ISBLANK(N185),Y185/O185,Y185/N185),0)</f>
      </c>
      <c r="AC185" s="286">
        <f>IFERROR(-1*(AB185*B$1),0)</f>
      </c>
      <c r="AD185" s="286">
        <f>IFERROR(SUM(AB185:AC185),0)</f>
      </c>
      <c r="AE185" s="286">
        <f>IF(ISBLANK(N185),AD185,AD185*5)</f>
      </c>
      <c r="AF185" s="287">
        <f>SUM(AG185:AV185)</f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18"/>
      <c r="AU185" s="18"/>
      <c r="AV185" s="18"/>
      <c r="AW185" s="18"/>
      <c r="AX185" s="18"/>
      <c r="AY185" s="18"/>
      <c r="AZ185" s="18"/>
      <c r="BA185" s="18"/>
      <c r="BB185" s="18"/>
      <c r="BC185" s="16"/>
      <c r="BD185" s="16"/>
      <c r="BE185" s="16"/>
      <c r="BF185" s="286">
        <f>Z185-AF185</f>
      </c>
      <c r="BG185" s="321">
        <f>IFERROR(AF185/Y185,0)</f>
      </c>
      <c r="BH185" s="284">
        <f>IFERROR(AF185/X185,0)</f>
      </c>
      <c r="BI185" s="284">
        <f>IFERROR(X185/SUM(X$3:X$12),0)</f>
      </c>
      <c r="BJ185" s="284">
        <f>IFERROR(BF185/SUM(BF$3:BF382),0)</f>
      </c>
      <c r="BK185" s="288">
        <f>BF185/'R&amp;H Portfolio'!Q$10</f>
      </c>
      <c r="BL185" s="286">
        <f>BI185*P185</f>
      </c>
      <c r="BM185" s="3"/>
      <c r="BN185" s="3"/>
      <c r="BO185" s="17"/>
    </row>
    <row x14ac:dyDescent="0.25" r="186" customHeight="1" ht="15">
      <c r="A186" s="17"/>
      <c r="B186" s="14"/>
      <c r="C186" s="3"/>
      <c r="D186" s="3"/>
      <c r="E186" s="3"/>
      <c r="F186" s="3"/>
      <c r="G186" s="16"/>
      <c r="H186" s="18"/>
      <c r="I186" s="18"/>
      <c r="J186" s="279">
        <f>H186+I186</f>
      </c>
      <c r="K186" s="1"/>
      <c r="L186" s="123">
        <f>K186*I186</f>
      </c>
      <c r="M186" s="123">
        <f>K186*J186</f>
      </c>
      <c r="N186" s="16"/>
      <c r="O186" s="16"/>
      <c r="P186" s="282">
        <f>IF(ISBLANK(N186),O186/4.3,N186/20)</f>
      </c>
      <c r="Q186" s="1"/>
      <c r="R186" s="3"/>
      <c r="S186" s="3"/>
      <c r="T186" s="256">
        <f>IF(ISBLANK(R186),0,X186)</f>
      </c>
      <c r="U186" s="256">
        <f>IF(ISBLANK(S186),0,X186)</f>
      </c>
      <c r="V186" s="284">
        <f>IFERROR(Q186/K186,0)</f>
      </c>
      <c r="W186" s="123">
        <f>IFERROR(L186*V186,0)</f>
      </c>
      <c r="X186" s="256">
        <f>IFERROR(Q186+W186,0)</f>
      </c>
      <c r="Y186" s="256">
        <f>IFERROR(M186*V186,0)</f>
      </c>
      <c r="Z186" s="256">
        <f>Y186-(Y186*$B$1)</f>
      </c>
      <c r="AA186" s="285">
        <f>IFERROR(Z186/X186,"")</f>
      </c>
      <c r="AB186" s="286">
        <f>IFERROR(IF(ISBLANK(N186),Y186/O186,Y186/N186),0)</f>
      </c>
      <c r="AC186" s="286">
        <f>IFERROR(-1*(AB186*B$1),0)</f>
      </c>
      <c r="AD186" s="286">
        <f>IFERROR(SUM(AB186:AC186),0)</f>
      </c>
      <c r="AE186" s="286">
        <f>IF(ISBLANK(N186),AD186,AD186*5)</f>
      </c>
      <c r="AF186" s="287">
        <f>SUM(AG186:AV186)</f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18"/>
      <c r="AU186" s="18"/>
      <c r="AV186" s="18"/>
      <c r="AW186" s="18"/>
      <c r="AX186" s="18"/>
      <c r="AY186" s="18"/>
      <c r="AZ186" s="18"/>
      <c r="BA186" s="18"/>
      <c r="BB186" s="18"/>
      <c r="BC186" s="16"/>
      <c r="BD186" s="16"/>
      <c r="BE186" s="16"/>
      <c r="BF186" s="286">
        <f>Z186-AF186</f>
      </c>
      <c r="BG186" s="321">
        <f>IFERROR(AF186/Y186,0)</f>
      </c>
      <c r="BH186" s="284">
        <f>IFERROR(AF186/X186,0)</f>
      </c>
      <c r="BI186" s="284">
        <f>IFERROR(X186/SUM(X$3:X$12),0)</f>
      </c>
      <c r="BJ186" s="284">
        <f>IFERROR(BF186/SUM(BF$3:BF383),0)</f>
      </c>
      <c r="BK186" s="288">
        <f>BF186/'R&amp;H Portfolio'!Q$10</f>
      </c>
      <c r="BL186" s="286">
        <f>BI186*P186</f>
      </c>
      <c r="BM186" s="3"/>
      <c r="BN186" s="3"/>
      <c r="BO186" s="17"/>
    </row>
    <row x14ac:dyDescent="0.25" r="187" customHeight="1" ht="15">
      <c r="A187" s="17"/>
      <c r="B187" s="14"/>
      <c r="C187" s="3"/>
      <c r="D187" s="3"/>
      <c r="E187" s="3"/>
      <c r="F187" s="3"/>
      <c r="G187" s="16"/>
      <c r="H187" s="18"/>
      <c r="I187" s="18"/>
      <c r="J187" s="279">
        <f>H187+I187</f>
      </c>
      <c r="K187" s="1"/>
      <c r="L187" s="123">
        <f>K187*I187</f>
      </c>
      <c r="M187" s="123">
        <f>K187*J187</f>
      </c>
      <c r="N187" s="16"/>
      <c r="O187" s="16"/>
      <c r="P187" s="282">
        <f>IF(ISBLANK(N187),O187/4.3,N187/20)</f>
      </c>
      <c r="Q187" s="1"/>
      <c r="R187" s="3"/>
      <c r="S187" s="3"/>
      <c r="T187" s="256">
        <f>IF(ISBLANK(R187),0,X187)</f>
      </c>
      <c r="U187" s="256">
        <f>IF(ISBLANK(S187),0,X187)</f>
      </c>
      <c r="V187" s="284">
        <f>IFERROR(Q187/K187,0)</f>
      </c>
      <c r="W187" s="123">
        <f>IFERROR(L187*V187,0)</f>
      </c>
      <c r="X187" s="256">
        <f>IFERROR(Q187+W187,0)</f>
      </c>
      <c r="Y187" s="256">
        <f>IFERROR(M187*V187,0)</f>
      </c>
      <c r="Z187" s="256">
        <f>Y187-(Y187*$B$1)</f>
      </c>
      <c r="AA187" s="285">
        <f>IFERROR(Z187/X187,"")</f>
      </c>
      <c r="AB187" s="286">
        <f>IFERROR(IF(ISBLANK(N187),Y187/O187,Y187/N187),0)</f>
      </c>
      <c r="AC187" s="286">
        <f>IFERROR(-1*(AB187*B$1),0)</f>
      </c>
      <c r="AD187" s="286">
        <f>IFERROR(SUM(AB187:AC187),0)</f>
      </c>
      <c r="AE187" s="286">
        <f>IF(ISBLANK(N187),AD187,AD187*5)</f>
      </c>
      <c r="AF187" s="287">
        <f>SUM(AG187:AV187)</f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18"/>
      <c r="AU187" s="18"/>
      <c r="AV187" s="18"/>
      <c r="AW187" s="18"/>
      <c r="AX187" s="18"/>
      <c r="AY187" s="18"/>
      <c r="AZ187" s="18"/>
      <c r="BA187" s="18"/>
      <c r="BB187" s="18"/>
      <c r="BC187" s="16"/>
      <c r="BD187" s="16"/>
      <c r="BE187" s="16"/>
      <c r="BF187" s="286">
        <f>Z187-AF187</f>
      </c>
      <c r="BG187" s="321">
        <f>IFERROR(AF187/Y187,0)</f>
      </c>
      <c r="BH187" s="284">
        <f>IFERROR(AF187/X187,0)</f>
      </c>
      <c r="BI187" s="284">
        <f>IFERROR(X187/SUM(X$3:X$12),0)</f>
      </c>
      <c r="BJ187" s="284">
        <f>IFERROR(BF187/SUM(BF$3:BF384),0)</f>
      </c>
      <c r="BK187" s="288">
        <f>BF187/'R&amp;H Portfolio'!Q$10</f>
      </c>
      <c r="BL187" s="286">
        <f>BI187*P187</f>
      </c>
      <c r="BM187" s="3"/>
      <c r="BN187" s="3"/>
      <c r="BO187" s="17"/>
    </row>
    <row x14ac:dyDescent="0.25" r="188" customHeight="1" ht="15">
      <c r="A188" s="17"/>
      <c r="B188" s="14"/>
      <c r="C188" s="3"/>
      <c r="D188" s="3"/>
      <c r="E188" s="3"/>
      <c r="F188" s="3"/>
      <c r="G188" s="16"/>
      <c r="H188" s="18"/>
      <c r="I188" s="18"/>
      <c r="J188" s="279">
        <f>H188+I188</f>
      </c>
      <c r="K188" s="1"/>
      <c r="L188" s="123">
        <f>K188*I188</f>
      </c>
      <c r="M188" s="123">
        <f>K188*J188</f>
      </c>
      <c r="N188" s="16"/>
      <c r="O188" s="16"/>
      <c r="P188" s="282">
        <f>IF(ISBLANK(N188),O188/4.3,N188/20)</f>
      </c>
      <c r="Q188" s="1"/>
      <c r="R188" s="3"/>
      <c r="S188" s="3"/>
      <c r="T188" s="256">
        <f>IF(ISBLANK(R188),0,X188)</f>
      </c>
      <c r="U188" s="256">
        <f>IF(ISBLANK(S188),0,X188)</f>
      </c>
      <c r="V188" s="284">
        <f>IFERROR(Q188/K188,0)</f>
      </c>
      <c r="W188" s="123">
        <f>IFERROR(L188*V188,0)</f>
      </c>
      <c r="X188" s="256">
        <f>IFERROR(Q188+W188,0)</f>
      </c>
      <c r="Y188" s="256">
        <f>IFERROR(M188*V188,0)</f>
      </c>
      <c r="Z188" s="256">
        <f>Y188-(Y188*$B$1)</f>
      </c>
      <c r="AA188" s="285">
        <f>IFERROR(Z188/X188,"")</f>
      </c>
      <c r="AB188" s="286">
        <f>IFERROR(IF(ISBLANK(N188),Y188/O188,Y188/N188),0)</f>
      </c>
      <c r="AC188" s="286">
        <f>IFERROR(-1*(AB188*B$1),0)</f>
      </c>
      <c r="AD188" s="286">
        <f>IFERROR(SUM(AB188:AC188),0)</f>
      </c>
      <c r="AE188" s="286">
        <f>IF(ISBLANK(N188),AD188,AD188*5)</f>
      </c>
      <c r="AF188" s="287">
        <f>SUM(AG188:AV188)</f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18"/>
      <c r="AU188" s="18"/>
      <c r="AV188" s="18"/>
      <c r="AW188" s="18"/>
      <c r="AX188" s="18"/>
      <c r="AY188" s="18"/>
      <c r="AZ188" s="18"/>
      <c r="BA188" s="18"/>
      <c r="BB188" s="18"/>
      <c r="BC188" s="16"/>
      <c r="BD188" s="16"/>
      <c r="BE188" s="16"/>
      <c r="BF188" s="286">
        <f>Z188-AF188</f>
      </c>
      <c r="BG188" s="321">
        <f>IFERROR(AF188/Y188,0)</f>
      </c>
      <c r="BH188" s="284">
        <f>IFERROR(AF188/X188,0)</f>
      </c>
      <c r="BI188" s="284">
        <f>IFERROR(X188/SUM(X$3:X$12),0)</f>
      </c>
      <c r="BJ188" s="284">
        <f>IFERROR(BF188/SUM(BF$3:BF385),0)</f>
      </c>
      <c r="BK188" s="288">
        <f>BF188/'R&amp;H Portfolio'!Q$10</f>
      </c>
      <c r="BL188" s="286">
        <f>BI188*P188</f>
      </c>
      <c r="BM188" s="3"/>
      <c r="BN188" s="3"/>
      <c r="BO188" s="17"/>
    </row>
    <row x14ac:dyDescent="0.25" r="189" customHeight="1" ht="15">
      <c r="A189" s="17"/>
      <c r="B189" s="14"/>
      <c r="C189" s="3"/>
      <c r="D189" s="3"/>
      <c r="E189" s="3"/>
      <c r="F189" s="3"/>
      <c r="G189" s="16"/>
      <c r="H189" s="18"/>
      <c r="I189" s="18"/>
      <c r="J189" s="279">
        <f>H189+I189</f>
      </c>
      <c r="K189" s="1"/>
      <c r="L189" s="123">
        <f>K189*I189</f>
      </c>
      <c r="M189" s="123">
        <f>K189*J189</f>
      </c>
      <c r="N189" s="16"/>
      <c r="O189" s="16"/>
      <c r="P189" s="282">
        <f>IF(ISBLANK(N189),O189/4.3,N189/20)</f>
      </c>
      <c r="Q189" s="1"/>
      <c r="R189" s="3"/>
      <c r="S189" s="3"/>
      <c r="T189" s="256">
        <f>IF(ISBLANK(R189),0,X189)</f>
      </c>
      <c r="U189" s="256">
        <f>IF(ISBLANK(S189),0,X189)</f>
      </c>
      <c r="V189" s="284">
        <f>IFERROR(Q189/K189,0)</f>
      </c>
      <c r="W189" s="123">
        <f>IFERROR(L189*V189,0)</f>
      </c>
      <c r="X189" s="256">
        <f>IFERROR(Q189+W189,0)</f>
      </c>
      <c r="Y189" s="256">
        <f>IFERROR(M189*V189,0)</f>
      </c>
      <c r="Z189" s="256">
        <f>Y189-(Y189*$B$1)</f>
      </c>
      <c r="AA189" s="285">
        <f>IFERROR(Z189/X189,"")</f>
      </c>
      <c r="AB189" s="286">
        <f>IFERROR(IF(ISBLANK(N189),Y189/O189,Y189/N189),0)</f>
      </c>
      <c r="AC189" s="286">
        <f>IFERROR(-1*(AB189*B$1),0)</f>
      </c>
      <c r="AD189" s="286">
        <f>IFERROR(SUM(AB189:AC189),0)</f>
      </c>
      <c r="AE189" s="286">
        <f>IF(ISBLANK(N189),AD189,AD189*5)</f>
      </c>
      <c r="AF189" s="287">
        <f>SUM(AG189:AV189)</f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18"/>
      <c r="AU189" s="18"/>
      <c r="AV189" s="18"/>
      <c r="AW189" s="18"/>
      <c r="AX189" s="18"/>
      <c r="AY189" s="18"/>
      <c r="AZ189" s="18"/>
      <c r="BA189" s="18"/>
      <c r="BB189" s="18"/>
      <c r="BC189" s="16"/>
      <c r="BD189" s="16"/>
      <c r="BE189" s="16"/>
      <c r="BF189" s="286">
        <f>Z189-AF189</f>
      </c>
      <c r="BG189" s="321">
        <f>IFERROR(AF189/Y189,0)</f>
      </c>
      <c r="BH189" s="284">
        <f>IFERROR(AF189/X189,0)</f>
      </c>
      <c r="BI189" s="284">
        <f>IFERROR(X189/SUM(X$3:X$12),0)</f>
      </c>
      <c r="BJ189" s="284">
        <f>IFERROR(BF189/SUM(BF$3:BF386),0)</f>
      </c>
      <c r="BK189" s="288">
        <f>BF189/'R&amp;H Portfolio'!Q$10</f>
      </c>
      <c r="BL189" s="286">
        <f>BI189*P189</f>
      </c>
      <c r="BM189" s="3"/>
      <c r="BN189" s="3"/>
      <c r="BO189" s="17"/>
    </row>
    <row x14ac:dyDescent="0.25" r="190" customHeight="1" ht="15">
      <c r="A190" s="17"/>
      <c r="B190" s="14"/>
      <c r="C190" s="3"/>
      <c r="D190" s="3"/>
      <c r="E190" s="3"/>
      <c r="F190" s="3"/>
      <c r="G190" s="16"/>
      <c r="H190" s="18"/>
      <c r="I190" s="18"/>
      <c r="J190" s="279">
        <f>H190+I190</f>
      </c>
      <c r="K190" s="1"/>
      <c r="L190" s="123">
        <f>K190*I190</f>
      </c>
      <c r="M190" s="123">
        <f>K190*J190</f>
      </c>
      <c r="N190" s="16"/>
      <c r="O190" s="16"/>
      <c r="P190" s="282">
        <f>IF(ISBLANK(N190),O190/4.3,N190/20)</f>
      </c>
      <c r="Q190" s="1"/>
      <c r="R190" s="3"/>
      <c r="S190" s="3"/>
      <c r="T190" s="256">
        <f>IF(ISBLANK(R190),0,X190)</f>
      </c>
      <c r="U190" s="256">
        <f>IF(ISBLANK(S190),0,X190)</f>
      </c>
      <c r="V190" s="284">
        <f>IFERROR(Q190/K190,0)</f>
      </c>
      <c r="W190" s="123">
        <f>IFERROR(L190*V190,0)</f>
      </c>
      <c r="X190" s="256">
        <f>IFERROR(Q190+W190,0)</f>
      </c>
      <c r="Y190" s="256">
        <f>IFERROR(M190*V190,0)</f>
      </c>
      <c r="Z190" s="256">
        <f>Y190-(Y190*$B$1)</f>
      </c>
      <c r="AA190" s="285">
        <f>IFERROR(Z190/X190,"")</f>
      </c>
      <c r="AB190" s="286">
        <f>IFERROR(IF(ISBLANK(N190),Y190/O190,Y190/N190),0)</f>
      </c>
      <c r="AC190" s="286">
        <f>IFERROR(-1*(AB190*B$1),0)</f>
      </c>
      <c r="AD190" s="286">
        <f>IFERROR(SUM(AB190:AC190),0)</f>
      </c>
      <c r="AE190" s="286">
        <f>IF(ISBLANK(N190),AD190,AD190*5)</f>
      </c>
      <c r="AF190" s="287">
        <f>SUM(AG190:AV190)</f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18"/>
      <c r="AU190" s="18"/>
      <c r="AV190" s="18"/>
      <c r="AW190" s="18"/>
      <c r="AX190" s="18"/>
      <c r="AY190" s="18"/>
      <c r="AZ190" s="18"/>
      <c r="BA190" s="18"/>
      <c r="BB190" s="18"/>
      <c r="BC190" s="16"/>
      <c r="BD190" s="16"/>
      <c r="BE190" s="16"/>
      <c r="BF190" s="286">
        <f>Z190-AF190</f>
      </c>
      <c r="BG190" s="321">
        <f>IFERROR(AF190/Y190,0)</f>
      </c>
      <c r="BH190" s="284">
        <f>IFERROR(AF190/X190,0)</f>
      </c>
      <c r="BI190" s="284">
        <f>IFERROR(X190/SUM(X$3:X$12),0)</f>
      </c>
      <c r="BJ190" s="284">
        <f>IFERROR(BF190/SUM(BF$3:BF387),0)</f>
      </c>
      <c r="BK190" s="288">
        <f>BF190/'R&amp;H Portfolio'!Q$10</f>
      </c>
      <c r="BL190" s="286">
        <f>BI190*P190</f>
      </c>
      <c r="BM190" s="3"/>
      <c r="BN190" s="3"/>
      <c r="BO190" s="17"/>
    </row>
    <row x14ac:dyDescent="0.25" r="191" customHeight="1" ht="15">
      <c r="A191" s="17"/>
      <c r="B191" s="14"/>
      <c r="C191" s="3"/>
      <c r="D191" s="3"/>
      <c r="E191" s="3"/>
      <c r="F191" s="3"/>
      <c r="G191" s="16"/>
      <c r="H191" s="18"/>
      <c r="I191" s="18"/>
      <c r="J191" s="279">
        <f>H191+I191</f>
      </c>
      <c r="K191" s="1"/>
      <c r="L191" s="123">
        <f>K191*I191</f>
      </c>
      <c r="M191" s="123">
        <f>K191*J191</f>
      </c>
      <c r="N191" s="16"/>
      <c r="O191" s="16"/>
      <c r="P191" s="282">
        <f>IF(ISBLANK(N191),O191/4.3,N191/20)</f>
      </c>
      <c r="Q191" s="1"/>
      <c r="R191" s="3"/>
      <c r="S191" s="3"/>
      <c r="T191" s="256">
        <f>IF(ISBLANK(R191),0,X191)</f>
      </c>
      <c r="U191" s="256">
        <f>IF(ISBLANK(S191),0,X191)</f>
      </c>
      <c r="V191" s="284">
        <f>IFERROR(Q191/K191,0)</f>
      </c>
      <c r="W191" s="123">
        <f>IFERROR(L191*V191,0)</f>
      </c>
      <c r="X191" s="256">
        <f>IFERROR(Q191+W191,0)</f>
      </c>
      <c r="Y191" s="256">
        <f>IFERROR(M191*V191,0)</f>
      </c>
      <c r="Z191" s="256">
        <f>Y191-(Y191*$B$1)</f>
      </c>
      <c r="AA191" s="285">
        <f>IFERROR(Z191/X191,"")</f>
      </c>
      <c r="AB191" s="286">
        <f>IFERROR(IF(ISBLANK(N191),Y191/O191,Y191/N191),0)</f>
      </c>
      <c r="AC191" s="286">
        <f>IFERROR(-1*(AB191*B$1),0)</f>
      </c>
      <c r="AD191" s="286">
        <f>IFERROR(SUM(AB191:AC191),0)</f>
      </c>
      <c r="AE191" s="286">
        <f>IF(ISBLANK(N191),AD191,AD191*5)</f>
      </c>
      <c r="AF191" s="287">
        <f>SUM(AG191:AV191)</f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18"/>
      <c r="AU191" s="18"/>
      <c r="AV191" s="18"/>
      <c r="AW191" s="18"/>
      <c r="AX191" s="18"/>
      <c r="AY191" s="18"/>
      <c r="AZ191" s="18"/>
      <c r="BA191" s="18"/>
      <c r="BB191" s="18"/>
      <c r="BC191" s="16"/>
      <c r="BD191" s="16"/>
      <c r="BE191" s="16"/>
      <c r="BF191" s="286">
        <f>Z191-AF191</f>
      </c>
      <c r="BG191" s="321">
        <f>IFERROR(AF191/Y191,0)</f>
      </c>
      <c r="BH191" s="284">
        <f>IFERROR(AF191/X191,0)</f>
      </c>
      <c r="BI191" s="284">
        <f>IFERROR(X191/SUM(X$3:X$12),0)</f>
      </c>
      <c r="BJ191" s="284">
        <f>IFERROR(BF191/SUM(BF$3:BF388),0)</f>
      </c>
      <c r="BK191" s="288">
        <f>BF191/'R&amp;H Portfolio'!Q$10</f>
      </c>
      <c r="BL191" s="286">
        <f>BI191*P191</f>
      </c>
      <c r="BM191" s="3"/>
      <c r="BN191" s="3"/>
      <c r="BO191" s="17"/>
    </row>
    <row x14ac:dyDescent="0.25" r="192" customHeight="1" ht="15">
      <c r="A192" s="17"/>
      <c r="B192" s="14"/>
      <c r="C192" s="3"/>
      <c r="D192" s="3"/>
      <c r="E192" s="3"/>
      <c r="F192" s="3"/>
      <c r="G192" s="16"/>
      <c r="H192" s="18"/>
      <c r="I192" s="18"/>
      <c r="J192" s="279">
        <f>H192+I192</f>
      </c>
      <c r="K192" s="1"/>
      <c r="L192" s="123">
        <f>K192*I192</f>
      </c>
      <c r="M192" s="123">
        <f>K192*J192</f>
      </c>
      <c r="N192" s="16"/>
      <c r="O192" s="16"/>
      <c r="P192" s="282">
        <f>IF(ISBLANK(N192),O192/4.3,N192/20)</f>
      </c>
      <c r="Q192" s="1"/>
      <c r="R192" s="3"/>
      <c r="S192" s="3"/>
      <c r="T192" s="256">
        <f>IF(ISBLANK(R192),0,X192)</f>
      </c>
      <c r="U192" s="256">
        <f>IF(ISBLANK(S192),0,X192)</f>
      </c>
      <c r="V192" s="284">
        <f>IFERROR(Q192/K192,0)</f>
      </c>
      <c r="W192" s="123">
        <f>IFERROR(L192*V192,0)</f>
      </c>
      <c r="X192" s="256">
        <f>IFERROR(Q192+W192,0)</f>
      </c>
      <c r="Y192" s="256">
        <f>IFERROR(M192*V192,0)</f>
      </c>
      <c r="Z192" s="256">
        <f>Y192-(Y192*$B$1)</f>
      </c>
      <c r="AA192" s="285">
        <f>IFERROR(Z192/X192,"")</f>
      </c>
      <c r="AB192" s="286">
        <f>IFERROR(IF(ISBLANK(N192),Y192/O192,Y192/N192),0)</f>
      </c>
      <c r="AC192" s="286">
        <f>IFERROR(-1*(AB192*B$1),0)</f>
      </c>
      <c r="AD192" s="286">
        <f>IFERROR(SUM(AB192:AC192),0)</f>
      </c>
      <c r="AE192" s="286">
        <f>IF(ISBLANK(N192),AD192,AD192*5)</f>
      </c>
      <c r="AF192" s="287">
        <f>SUM(AG192:AV192)</f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18"/>
      <c r="AU192" s="18"/>
      <c r="AV192" s="18"/>
      <c r="AW192" s="18"/>
      <c r="AX192" s="18"/>
      <c r="AY192" s="18"/>
      <c r="AZ192" s="18"/>
      <c r="BA192" s="18"/>
      <c r="BB192" s="18"/>
      <c r="BC192" s="16"/>
      <c r="BD192" s="16"/>
      <c r="BE192" s="16"/>
      <c r="BF192" s="286">
        <f>Z192-AF192</f>
      </c>
      <c r="BG192" s="321">
        <f>IFERROR(AF192/Y192,0)</f>
      </c>
      <c r="BH192" s="284">
        <f>IFERROR(AF192/X192,0)</f>
      </c>
      <c r="BI192" s="284">
        <f>IFERROR(X192/SUM(X$3:X$12),0)</f>
      </c>
      <c r="BJ192" s="284">
        <f>IFERROR(BF192/SUM(BF$3:BF389),0)</f>
      </c>
      <c r="BK192" s="288">
        <f>BF192/'R&amp;H Portfolio'!Q$10</f>
      </c>
      <c r="BL192" s="286">
        <f>BI192*P192</f>
      </c>
      <c r="BM192" s="3"/>
      <c r="BN192" s="3"/>
      <c r="BO192" s="17"/>
    </row>
    <row x14ac:dyDescent="0.25" r="193" customHeight="1" ht="15">
      <c r="A193" s="17"/>
      <c r="B193" s="14"/>
      <c r="C193" s="3"/>
      <c r="D193" s="3"/>
      <c r="E193" s="3"/>
      <c r="F193" s="3"/>
      <c r="G193" s="16"/>
      <c r="H193" s="18"/>
      <c r="I193" s="18"/>
      <c r="J193" s="279">
        <f>H193+I193</f>
      </c>
      <c r="K193" s="1"/>
      <c r="L193" s="123">
        <f>K193*I193</f>
      </c>
      <c r="M193" s="123">
        <f>K193*J193</f>
      </c>
      <c r="N193" s="16"/>
      <c r="O193" s="16"/>
      <c r="P193" s="282">
        <f>IF(ISBLANK(N193),O193/4.3,N193/20)</f>
      </c>
      <c r="Q193" s="1"/>
      <c r="R193" s="3"/>
      <c r="S193" s="3"/>
      <c r="T193" s="256">
        <f>IF(ISBLANK(R193),0,X193)</f>
      </c>
      <c r="U193" s="256">
        <f>IF(ISBLANK(S193),0,X193)</f>
      </c>
      <c r="V193" s="284">
        <f>IFERROR(Q193/K193,0)</f>
      </c>
      <c r="W193" s="123">
        <f>IFERROR(L193*V193,0)</f>
      </c>
      <c r="X193" s="256">
        <f>IFERROR(Q193+W193,0)</f>
      </c>
      <c r="Y193" s="256">
        <f>IFERROR(M193*V193,0)</f>
      </c>
      <c r="Z193" s="256">
        <f>Y193-(Y193*$B$1)</f>
      </c>
      <c r="AA193" s="285">
        <f>IFERROR(Z193/X193,"")</f>
      </c>
      <c r="AB193" s="286">
        <f>IFERROR(IF(ISBLANK(N193),Y193/O193,Y193/N193),0)</f>
      </c>
      <c r="AC193" s="286">
        <f>IFERROR(-1*(AB193*B$1),0)</f>
      </c>
      <c r="AD193" s="286">
        <f>IFERROR(SUM(AB193:AC193),0)</f>
      </c>
      <c r="AE193" s="286">
        <f>IF(ISBLANK(N193),AD193,AD193*5)</f>
      </c>
      <c r="AF193" s="287">
        <f>SUM(AG193:AV193)</f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18"/>
      <c r="AU193" s="18"/>
      <c r="AV193" s="18"/>
      <c r="AW193" s="18"/>
      <c r="AX193" s="18"/>
      <c r="AY193" s="18"/>
      <c r="AZ193" s="18"/>
      <c r="BA193" s="18"/>
      <c r="BB193" s="18"/>
      <c r="BC193" s="16"/>
      <c r="BD193" s="16"/>
      <c r="BE193" s="16"/>
      <c r="BF193" s="286">
        <f>Z193-AF193</f>
      </c>
      <c r="BG193" s="321">
        <f>IFERROR(AF193/Y193,0)</f>
      </c>
      <c r="BH193" s="284">
        <f>IFERROR(AF193/X193,0)</f>
      </c>
      <c r="BI193" s="284">
        <f>IFERROR(X193/SUM(X$3:X$12),0)</f>
      </c>
      <c r="BJ193" s="284">
        <f>IFERROR(BF193/SUM(BF$3:BF390),0)</f>
      </c>
      <c r="BK193" s="288">
        <f>BF193/'R&amp;H Portfolio'!Q$10</f>
      </c>
      <c r="BL193" s="286">
        <f>BI193*P193</f>
      </c>
      <c r="BM193" s="3"/>
      <c r="BN193" s="3"/>
      <c r="BO193" s="17"/>
    </row>
    <row x14ac:dyDescent="0.25" r="194" customHeight="1" ht="15">
      <c r="A194" s="17"/>
      <c r="B194" s="14"/>
      <c r="C194" s="3"/>
      <c r="D194" s="3"/>
      <c r="E194" s="3"/>
      <c r="F194" s="3"/>
      <c r="G194" s="16"/>
      <c r="H194" s="18"/>
      <c r="I194" s="18"/>
      <c r="J194" s="279">
        <f>H194+I194</f>
      </c>
      <c r="K194" s="1"/>
      <c r="L194" s="123">
        <f>K194*I194</f>
      </c>
      <c r="M194" s="123">
        <f>K194*J194</f>
      </c>
      <c r="N194" s="16"/>
      <c r="O194" s="16"/>
      <c r="P194" s="282">
        <f>IF(ISBLANK(N194),O194/4.3,N194/20)</f>
      </c>
      <c r="Q194" s="1"/>
      <c r="R194" s="3"/>
      <c r="S194" s="3"/>
      <c r="T194" s="256">
        <f>IF(ISBLANK(R194),0,X194)</f>
      </c>
      <c r="U194" s="256">
        <f>IF(ISBLANK(S194),0,X194)</f>
      </c>
      <c r="V194" s="284">
        <f>IFERROR(Q194/K194,0)</f>
      </c>
      <c r="W194" s="123">
        <f>IFERROR(L194*V194,0)</f>
      </c>
      <c r="X194" s="256">
        <f>IFERROR(Q194+W194,0)</f>
      </c>
      <c r="Y194" s="256">
        <f>IFERROR(M194*V194,0)</f>
      </c>
      <c r="Z194" s="256">
        <f>Y194-(Y194*$B$1)</f>
      </c>
      <c r="AA194" s="285">
        <f>IFERROR(Z194/X194,"")</f>
      </c>
      <c r="AB194" s="286">
        <f>IFERROR(IF(ISBLANK(N194),Y194/O194,Y194/N194),0)</f>
      </c>
      <c r="AC194" s="286">
        <f>IFERROR(-1*(AB194*B$1),0)</f>
      </c>
      <c r="AD194" s="286">
        <f>IFERROR(SUM(AB194:AC194),0)</f>
      </c>
      <c r="AE194" s="286">
        <f>IF(ISBLANK(N194),AD194,AD194*5)</f>
      </c>
      <c r="AF194" s="287">
        <f>SUM(AG194:AV194)</f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18"/>
      <c r="AU194" s="18"/>
      <c r="AV194" s="18"/>
      <c r="AW194" s="18"/>
      <c r="AX194" s="18"/>
      <c r="AY194" s="18"/>
      <c r="AZ194" s="18"/>
      <c r="BA194" s="18"/>
      <c r="BB194" s="18"/>
      <c r="BC194" s="16"/>
      <c r="BD194" s="16"/>
      <c r="BE194" s="16"/>
      <c r="BF194" s="286">
        <f>Z194-AF194</f>
      </c>
      <c r="BG194" s="321">
        <f>IFERROR(AF194/Y194,0)</f>
      </c>
      <c r="BH194" s="284">
        <f>IFERROR(AF194/X194,0)</f>
      </c>
      <c r="BI194" s="284">
        <f>IFERROR(X194/SUM(X$3:X$12),0)</f>
      </c>
      <c r="BJ194" s="284">
        <f>IFERROR(BF194/SUM(BF$3:BF391),0)</f>
      </c>
      <c r="BK194" s="288">
        <f>BF194/'R&amp;H Portfolio'!Q$10</f>
      </c>
      <c r="BL194" s="286">
        <f>BI194*P194</f>
      </c>
      <c r="BM194" s="3"/>
      <c r="BN194" s="3"/>
      <c r="BO194" s="17"/>
    </row>
    <row x14ac:dyDescent="0.25" r="195" customHeight="1" ht="15">
      <c r="A195" s="17"/>
      <c r="B195" s="14"/>
      <c r="C195" s="3"/>
      <c r="D195" s="3"/>
      <c r="E195" s="3"/>
      <c r="F195" s="3"/>
      <c r="G195" s="16"/>
      <c r="H195" s="18"/>
      <c r="I195" s="18"/>
      <c r="J195" s="279">
        <f>H195+I195</f>
      </c>
      <c r="K195" s="1"/>
      <c r="L195" s="123">
        <f>K195*I195</f>
      </c>
      <c r="M195" s="123">
        <f>K195*J195</f>
      </c>
      <c r="N195" s="16"/>
      <c r="O195" s="16"/>
      <c r="P195" s="282">
        <f>IF(ISBLANK(N195),O195/4.3,N195/20)</f>
      </c>
      <c r="Q195" s="1"/>
      <c r="R195" s="3"/>
      <c r="S195" s="3"/>
      <c r="T195" s="256">
        <f>IF(ISBLANK(R195),0,X195)</f>
      </c>
      <c r="U195" s="256">
        <f>IF(ISBLANK(S195),0,X195)</f>
      </c>
      <c r="V195" s="284">
        <f>IFERROR(Q195/K195,0)</f>
      </c>
      <c r="W195" s="123">
        <f>IFERROR(L195*V195,0)</f>
      </c>
      <c r="X195" s="256">
        <f>IFERROR(Q195+W195,0)</f>
      </c>
      <c r="Y195" s="256">
        <f>IFERROR(M195*V195,0)</f>
      </c>
      <c r="Z195" s="256">
        <f>Y195-(Y195*$B$1)</f>
      </c>
      <c r="AA195" s="285">
        <f>IFERROR(Z195/X195,"")</f>
      </c>
      <c r="AB195" s="286">
        <f>IFERROR(IF(ISBLANK(N195),Y195/O195,Y195/N195),0)</f>
      </c>
      <c r="AC195" s="286">
        <f>IFERROR(-1*(AB195*B$1),0)</f>
      </c>
      <c r="AD195" s="286">
        <f>IFERROR(SUM(AB195:AC195),0)</f>
      </c>
      <c r="AE195" s="286">
        <f>IF(ISBLANK(N195),AD195,AD195*5)</f>
      </c>
      <c r="AF195" s="287">
        <f>SUM(AG195:AV195)</f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18"/>
      <c r="AU195" s="18"/>
      <c r="AV195" s="18"/>
      <c r="AW195" s="18"/>
      <c r="AX195" s="18"/>
      <c r="AY195" s="18"/>
      <c r="AZ195" s="18"/>
      <c r="BA195" s="18"/>
      <c r="BB195" s="18"/>
      <c r="BC195" s="16"/>
      <c r="BD195" s="16"/>
      <c r="BE195" s="16"/>
      <c r="BF195" s="286">
        <f>Z195-AF195</f>
      </c>
      <c r="BG195" s="321">
        <f>IFERROR(AF195/Y195,0)</f>
      </c>
      <c r="BH195" s="284">
        <f>IFERROR(AF195/X195,0)</f>
      </c>
      <c r="BI195" s="284">
        <f>IFERROR(X195/SUM(X$3:X$12),0)</f>
      </c>
      <c r="BJ195" s="284">
        <f>IFERROR(BF195/SUM(BF$3:BF392),0)</f>
      </c>
      <c r="BK195" s="288">
        <f>BF195/'R&amp;H Portfolio'!Q$10</f>
      </c>
      <c r="BL195" s="286">
        <f>BI195*P195</f>
      </c>
      <c r="BM195" s="3"/>
      <c r="BN195" s="3"/>
      <c r="BO195" s="17"/>
    </row>
    <row x14ac:dyDescent="0.25" r="196" customHeight="1" ht="15">
      <c r="A196" s="17"/>
      <c r="B196" s="14"/>
      <c r="C196" s="3"/>
      <c r="D196" s="3"/>
      <c r="E196" s="3"/>
      <c r="F196" s="3"/>
      <c r="G196" s="16"/>
      <c r="H196" s="18"/>
      <c r="I196" s="18"/>
      <c r="J196" s="279">
        <f>H196+I196</f>
      </c>
      <c r="K196" s="1"/>
      <c r="L196" s="123">
        <f>K196*I196</f>
      </c>
      <c r="M196" s="123">
        <f>K196*J196</f>
      </c>
      <c r="N196" s="16"/>
      <c r="O196" s="16"/>
      <c r="P196" s="282">
        <f>IF(ISBLANK(N196),O196/4.3,N196/20)</f>
      </c>
      <c r="Q196" s="1"/>
      <c r="R196" s="3"/>
      <c r="S196" s="3"/>
      <c r="T196" s="256">
        <f>IF(ISBLANK(R196),0,X196)</f>
      </c>
      <c r="U196" s="256">
        <f>IF(ISBLANK(S196),0,X196)</f>
      </c>
      <c r="V196" s="284">
        <f>IFERROR(Q196/K196,0)</f>
      </c>
      <c r="W196" s="123">
        <f>IFERROR(L196*V196,0)</f>
      </c>
      <c r="X196" s="256">
        <f>IFERROR(Q196+W196,0)</f>
      </c>
      <c r="Y196" s="256">
        <f>IFERROR(M196*V196,0)</f>
      </c>
      <c r="Z196" s="256">
        <f>Y196-(Y196*$B$1)</f>
      </c>
      <c r="AA196" s="285">
        <f>IFERROR(Z196/X196,"")</f>
      </c>
      <c r="AB196" s="286">
        <f>IFERROR(IF(ISBLANK(N196),Y196/O196,Y196/N196),0)</f>
      </c>
      <c r="AC196" s="286">
        <f>IFERROR(-1*(AB196*B$1),0)</f>
      </c>
      <c r="AD196" s="286">
        <f>IFERROR(SUM(AB196:AC196),0)</f>
      </c>
      <c r="AE196" s="286">
        <f>IF(ISBLANK(N196),AD196,AD196*5)</f>
      </c>
      <c r="AF196" s="287">
        <f>SUM(AG196:AV196)</f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18"/>
      <c r="AU196" s="18"/>
      <c r="AV196" s="18"/>
      <c r="AW196" s="18"/>
      <c r="AX196" s="18"/>
      <c r="AY196" s="18"/>
      <c r="AZ196" s="18"/>
      <c r="BA196" s="18"/>
      <c r="BB196" s="18"/>
      <c r="BC196" s="16"/>
      <c r="BD196" s="16"/>
      <c r="BE196" s="16"/>
      <c r="BF196" s="286">
        <f>Z196-AF196</f>
      </c>
      <c r="BG196" s="321">
        <f>IFERROR(AF196/Y196,0)</f>
      </c>
      <c r="BH196" s="284">
        <f>IFERROR(AF196/X196,0)</f>
      </c>
      <c r="BI196" s="284">
        <f>IFERROR(X196/SUM(X$3:X$12),0)</f>
      </c>
      <c r="BJ196" s="284">
        <f>IFERROR(BF196/SUM(BF$3:BF393),0)</f>
      </c>
      <c r="BK196" s="288">
        <f>BF196/'R&amp;H Portfolio'!Q$10</f>
      </c>
      <c r="BL196" s="286">
        <f>BI196*P196</f>
      </c>
      <c r="BM196" s="3"/>
      <c r="BN196" s="3"/>
      <c r="BO196" s="17"/>
    </row>
    <row x14ac:dyDescent="0.25" r="197" customHeight="1" ht="15">
      <c r="A197" s="17"/>
      <c r="B197" s="14"/>
      <c r="C197" s="3"/>
      <c r="D197" s="3"/>
      <c r="E197" s="3"/>
      <c r="F197" s="3"/>
      <c r="G197" s="16"/>
      <c r="H197" s="18"/>
      <c r="I197" s="18"/>
      <c r="J197" s="279">
        <f>H197+I197</f>
      </c>
      <c r="K197" s="1"/>
      <c r="L197" s="123">
        <f>K197*I197</f>
      </c>
      <c r="M197" s="123">
        <f>K197*J197</f>
      </c>
      <c r="N197" s="16"/>
      <c r="O197" s="16"/>
      <c r="P197" s="282">
        <f>IF(ISBLANK(N197),O197/4.3,N197/20)</f>
      </c>
      <c r="Q197" s="1"/>
      <c r="R197" s="3"/>
      <c r="S197" s="3"/>
      <c r="T197" s="256">
        <f>IF(ISBLANK(R197),0,X197)</f>
      </c>
      <c r="U197" s="256">
        <f>IF(ISBLANK(S197),0,X197)</f>
      </c>
      <c r="V197" s="284">
        <f>IFERROR(Q197/K197,0)</f>
      </c>
      <c r="W197" s="123">
        <f>IFERROR(L197*V197,0)</f>
      </c>
      <c r="X197" s="256">
        <f>IFERROR(Q197+W197,0)</f>
      </c>
      <c r="Y197" s="256">
        <f>IFERROR(M197*V197,0)</f>
      </c>
      <c r="Z197" s="256">
        <f>Y197-(Y197*$B$1)</f>
      </c>
      <c r="AA197" s="285">
        <f>IFERROR(Z197/X197,"")</f>
      </c>
      <c r="AB197" s="286">
        <f>IFERROR(IF(ISBLANK(N197),Y197/O197,Y197/N197),0)</f>
      </c>
      <c r="AC197" s="286">
        <f>IFERROR(-1*(AB197*B$1),0)</f>
      </c>
      <c r="AD197" s="286">
        <f>IFERROR(SUM(AB197:AC197),0)</f>
      </c>
      <c r="AE197" s="286">
        <f>IF(ISBLANK(N197),AD197,AD197*5)</f>
      </c>
      <c r="AF197" s="287">
        <f>SUM(AG197:AV197)</f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18"/>
      <c r="AU197" s="18"/>
      <c r="AV197" s="18"/>
      <c r="AW197" s="18"/>
      <c r="AX197" s="18"/>
      <c r="AY197" s="18"/>
      <c r="AZ197" s="18"/>
      <c r="BA197" s="18"/>
      <c r="BB197" s="18"/>
      <c r="BC197" s="16"/>
      <c r="BD197" s="16"/>
      <c r="BE197" s="16"/>
      <c r="BF197" s="286">
        <f>Z197-AF197</f>
      </c>
      <c r="BG197" s="321">
        <f>IFERROR(AF197/Y197,0)</f>
      </c>
      <c r="BH197" s="284">
        <f>IFERROR(AF197/X197,0)</f>
      </c>
      <c r="BI197" s="284">
        <f>IFERROR(X197/SUM(X$3:X$12),0)</f>
      </c>
      <c r="BJ197" s="284">
        <f>IFERROR(BF197/SUM(BF$3:BF394),0)</f>
      </c>
      <c r="BK197" s="288">
        <f>BF197/'R&amp;H Portfolio'!Q$10</f>
      </c>
      <c r="BL197" s="286">
        <f>BI197*P197</f>
      </c>
      <c r="BM197" s="3"/>
      <c r="BN197" s="3"/>
      <c r="BO197" s="17"/>
    </row>
    <row x14ac:dyDescent="0.25" r="198" customHeight="1" ht="15">
      <c r="A198" s="17"/>
      <c r="B198" s="14"/>
      <c r="C198" s="3"/>
      <c r="D198" s="3"/>
      <c r="E198" s="3"/>
      <c r="F198" s="3"/>
      <c r="G198" s="16"/>
      <c r="H198" s="18"/>
      <c r="I198" s="18"/>
      <c r="J198" s="279">
        <f>H198+I198</f>
      </c>
      <c r="K198" s="1"/>
      <c r="L198" s="123">
        <f>K198*I198</f>
      </c>
      <c r="M198" s="123">
        <f>K198*J198</f>
      </c>
      <c r="N198" s="16"/>
      <c r="O198" s="16"/>
      <c r="P198" s="282">
        <f>IF(ISBLANK(N198),O198/4.3,N198/20)</f>
      </c>
      <c r="Q198" s="1"/>
      <c r="R198" s="3"/>
      <c r="S198" s="3"/>
      <c r="T198" s="256">
        <f>IF(ISBLANK(R198),0,X198)</f>
      </c>
      <c r="U198" s="256">
        <f>IF(ISBLANK(S198),0,X198)</f>
      </c>
      <c r="V198" s="284">
        <f>IFERROR(Q198/K198,0)</f>
      </c>
      <c r="W198" s="123">
        <f>IFERROR(L198*V198,0)</f>
      </c>
      <c r="X198" s="256">
        <f>IFERROR(Q198+W198,0)</f>
      </c>
      <c r="Y198" s="256">
        <f>IFERROR(M198*V198,0)</f>
      </c>
      <c r="Z198" s="256">
        <f>Y198-(Y198*$B$1)</f>
      </c>
      <c r="AA198" s="285">
        <f>IFERROR(Z198/X198,"")</f>
      </c>
      <c r="AB198" s="286">
        <f>IFERROR(IF(ISBLANK(N198),Y198/O198,Y198/N198),0)</f>
      </c>
      <c r="AC198" s="286">
        <f>IFERROR(-1*(AB198*B$1),0)</f>
      </c>
      <c r="AD198" s="286">
        <f>IFERROR(SUM(AB198:AC198),0)</f>
      </c>
      <c r="AE198" s="286">
        <f>IF(ISBLANK(N198),AD198,AD198*5)</f>
      </c>
      <c r="AF198" s="287">
        <f>SUM(AG198:AV198)</f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18"/>
      <c r="AU198" s="18"/>
      <c r="AV198" s="18"/>
      <c r="AW198" s="18"/>
      <c r="AX198" s="18"/>
      <c r="AY198" s="18"/>
      <c r="AZ198" s="18"/>
      <c r="BA198" s="18"/>
      <c r="BB198" s="18"/>
      <c r="BC198" s="16"/>
      <c r="BD198" s="16"/>
      <c r="BE198" s="16"/>
      <c r="BF198" s="286">
        <f>Z198-AF198</f>
      </c>
      <c r="BG198" s="321">
        <f>IFERROR(AF198/Y198,0)</f>
      </c>
      <c r="BH198" s="284">
        <f>IFERROR(AF198/X198,0)</f>
      </c>
      <c r="BI198" s="284">
        <f>IFERROR(X198/SUM(X$3:X$12),0)</f>
      </c>
      <c r="BJ198" s="284">
        <f>IFERROR(BF198/SUM(BF$3:BF395),0)</f>
      </c>
      <c r="BK198" s="288">
        <f>BF198/'R&amp;H Portfolio'!Q$10</f>
      </c>
      <c r="BL198" s="286">
        <f>BI198*P198</f>
      </c>
      <c r="BM198" s="3"/>
      <c r="BN198" s="3"/>
      <c r="BO198" s="17"/>
    </row>
    <row x14ac:dyDescent="0.25" r="199" customHeight="1" ht="15">
      <c r="A199" s="17"/>
      <c r="B199" s="14"/>
      <c r="C199" s="3"/>
      <c r="D199" s="3"/>
      <c r="E199" s="3"/>
      <c r="F199" s="3"/>
      <c r="G199" s="16"/>
      <c r="H199" s="18"/>
      <c r="I199" s="18"/>
      <c r="J199" s="279">
        <f>H199+I199</f>
      </c>
      <c r="K199" s="1"/>
      <c r="L199" s="123">
        <f>K199*I199</f>
      </c>
      <c r="M199" s="123">
        <f>K199*J199</f>
      </c>
      <c r="N199" s="16"/>
      <c r="O199" s="16"/>
      <c r="P199" s="282">
        <f>IF(ISBLANK(N199),O199/4.3,N199/20)</f>
      </c>
      <c r="Q199" s="1"/>
      <c r="R199" s="3"/>
      <c r="S199" s="3"/>
      <c r="T199" s="256">
        <f>IF(ISBLANK(R199),0,X199)</f>
      </c>
      <c r="U199" s="256">
        <f>IF(ISBLANK(S199),0,X199)</f>
      </c>
      <c r="V199" s="284">
        <f>IFERROR(Q199/K199,0)</f>
      </c>
      <c r="W199" s="123">
        <f>IFERROR(L199*V199,0)</f>
      </c>
      <c r="X199" s="256">
        <f>IFERROR(Q199+W199,0)</f>
      </c>
      <c r="Y199" s="256">
        <f>IFERROR(M199*V199,0)</f>
      </c>
      <c r="Z199" s="256">
        <f>Y199-(Y199*$B$1)</f>
      </c>
      <c r="AA199" s="285">
        <f>IFERROR(Z199/X199,"")</f>
      </c>
      <c r="AB199" s="286">
        <f>IFERROR(IF(ISBLANK(N199),Y199/O199,Y199/N199),0)</f>
      </c>
      <c r="AC199" s="286">
        <f>IFERROR(-1*(AB199*B$1),0)</f>
      </c>
      <c r="AD199" s="286">
        <f>IFERROR(SUM(AB199:AC199),0)</f>
      </c>
      <c r="AE199" s="286">
        <f>IF(ISBLANK(N199),AD199,AD199*5)</f>
      </c>
      <c r="AF199" s="287">
        <f>SUM(AG199:AV199)</f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18"/>
      <c r="AU199" s="18"/>
      <c r="AV199" s="18"/>
      <c r="AW199" s="18"/>
      <c r="AX199" s="18"/>
      <c r="AY199" s="18"/>
      <c r="AZ199" s="18"/>
      <c r="BA199" s="18"/>
      <c r="BB199" s="18"/>
      <c r="BC199" s="16"/>
      <c r="BD199" s="16"/>
      <c r="BE199" s="16"/>
      <c r="BF199" s="286">
        <f>Z199-AF199</f>
      </c>
      <c r="BG199" s="321">
        <f>IFERROR(AF199/Y199,0)</f>
      </c>
      <c r="BH199" s="284">
        <f>IFERROR(AF199/X199,0)</f>
      </c>
      <c r="BI199" s="284">
        <f>IFERROR(X199/SUM(X$3:X$12),0)</f>
      </c>
      <c r="BJ199" s="284">
        <f>IFERROR(BF199/SUM(BF$3:BF396),0)</f>
      </c>
      <c r="BK199" s="288">
        <f>BF199/'R&amp;H Portfolio'!Q$10</f>
      </c>
      <c r="BL199" s="286">
        <f>BI199*P199</f>
      </c>
      <c r="BM199" s="3"/>
      <c r="BN199" s="3"/>
      <c r="BO199" s="17"/>
    </row>
    <row x14ac:dyDescent="0.25" r="200" customHeight="1" ht="15">
      <c r="A200" s="17"/>
      <c r="B200" s="14"/>
      <c r="C200" s="3"/>
      <c r="D200" s="3"/>
      <c r="E200" s="3"/>
      <c r="F200" s="3"/>
      <c r="G200" s="16"/>
      <c r="H200" s="18"/>
      <c r="I200" s="18"/>
      <c r="J200" s="279">
        <f>H200+I200</f>
      </c>
      <c r="K200" s="1"/>
      <c r="L200" s="123">
        <f>K200*I200</f>
      </c>
      <c r="M200" s="123">
        <f>K200*J200</f>
      </c>
      <c r="N200" s="16"/>
      <c r="O200" s="16"/>
      <c r="P200" s="282">
        <f>IF(ISBLANK(N200),O200/4.3,N200/20)</f>
      </c>
      <c r="Q200" s="1"/>
      <c r="R200" s="3"/>
      <c r="S200" s="3"/>
      <c r="T200" s="256">
        <f>IF(ISBLANK(R200),0,X200)</f>
      </c>
      <c r="U200" s="256">
        <f>IF(ISBLANK(S200),0,X200)</f>
      </c>
      <c r="V200" s="284">
        <f>IFERROR(Q200/K200,0)</f>
      </c>
      <c r="W200" s="123">
        <f>IFERROR(L200*V200,0)</f>
      </c>
      <c r="X200" s="256">
        <f>IFERROR(Q200+W200,0)</f>
      </c>
      <c r="Y200" s="256">
        <f>IFERROR(M200*V200,0)</f>
      </c>
      <c r="Z200" s="256">
        <f>Y200-(Y200*$B$1)</f>
      </c>
      <c r="AA200" s="285">
        <f>IFERROR(Z200/X200,"")</f>
      </c>
      <c r="AB200" s="286">
        <f>IFERROR(IF(ISBLANK(N200),Y200/O200,Y200/N200),0)</f>
      </c>
      <c r="AC200" s="286">
        <f>IFERROR(-1*(AB200*B$1),0)</f>
      </c>
      <c r="AD200" s="286">
        <f>IFERROR(SUM(AB200:AC200),0)</f>
      </c>
      <c r="AE200" s="286">
        <f>IF(ISBLANK(N200),AD200,AD200*5)</f>
      </c>
      <c r="AF200" s="287">
        <f>SUM(AG200:AV200)</f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18"/>
      <c r="AU200" s="18"/>
      <c r="AV200" s="18"/>
      <c r="AW200" s="18"/>
      <c r="AX200" s="18"/>
      <c r="AY200" s="18"/>
      <c r="AZ200" s="18"/>
      <c r="BA200" s="18"/>
      <c r="BB200" s="18"/>
      <c r="BC200" s="16"/>
      <c r="BD200" s="16"/>
      <c r="BE200" s="16"/>
      <c r="BF200" s="286">
        <f>Z200-AF200</f>
      </c>
      <c r="BG200" s="321">
        <f>IFERROR(AF200/Y200,0)</f>
      </c>
      <c r="BH200" s="284">
        <f>IFERROR(AF200/X200,0)</f>
      </c>
      <c r="BI200" s="284">
        <f>IFERROR(X200/SUM(X$3:X$12),0)</f>
      </c>
      <c r="BJ200" s="284">
        <f>IFERROR(BF200/SUM(BF$3:BF397),0)</f>
      </c>
      <c r="BK200" s="288">
        <f>BF200/'R&amp;H Portfolio'!Q$10</f>
      </c>
      <c r="BL200" s="286">
        <f>BI200*P200</f>
      </c>
      <c r="BM200" s="3"/>
      <c r="BN200" s="3"/>
      <c r="BO200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20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48" width="12.719285714285713" customWidth="1" bestFit="1"/>
    <col min="2" max="2" style="89" width="25.005" customWidth="1" bestFit="1"/>
    <col min="3" max="3" style="21" width="10.862142857142858" customWidth="1" bestFit="1"/>
    <col min="4" max="4" style="21" width="10.576428571428572" customWidth="1" bestFit="1"/>
    <col min="5" max="5" style="21" width="12.862142857142858" customWidth="1" bestFit="1"/>
    <col min="6" max="6" style="21" width="7.147857142857143" customWidth="1" bestFit="1"/>
    <col min="7" max="7" style="171" width="7.576428571428571" customWidth="1" bestFit="1"/>
    <col min="8" max="8" style="249" width="7.576428571428571" customWidth="1" bestFit="1"/>
    <col min="9" max="9" style="249" width="9.576428571428572" customWidth="1" bestFit="1"/>
    <col min="10" max="10" style="157" width="7.719285714285714" customWidth="1" bestFit="1"/>
    <col min="11" max="11" style="28" width="11.147857142857141" customWidth="1" bestFit="1"/>
    <col min="12" max="12" style="157" width="9.576428571428572" customWidth="1" bestFit="1"/>
    <col min="13" max="13" style="157" width="10.005" customWidth="1" bestFit="1"/>
    <col min="14" max="14" style="171" width="8.005" customWidth="1" bestFit="1"/>
    <col min="15" max="15" style="171" width="8.290714285714287" customWidth="1" bestFit="1"/>
    <col min="16" max="16" style="157" width="8.147857142857141" customWidth="1" bestFit="1"/>
    <col min="17" max="17" style="28" width="10.147857142857141" customWidth="1" bestFit="1"/>
    <col min="18" max="18" style="21" width="8.576428571428572" customWidth="1" bestFit="1"/>
    <col min="19" max="19" style="21" width="8.576428571428572" customWidth="1" bestFit="1"/>
    <col min="20" max="20" style="157" width="8.576428571428572" customWidth="1" bestFit="1"/>
    <col min="21" max="21" style="157" width="8.576428571428572" customWidth="1" bestFit="1"/>
    <col min="22" max="22" style="157" width="7.862142857142857" customWidth="1" bestFit="1"/>
    <col min="23" max="23" style="157" width="9.147857142857141" customWidth="1" bestFit="1"/>
    <col min="24" max="24" style="157" width="8.147857142857141" customWidth="1" bestFit="1"/>
    <col min="25" max="25" style="157" width="8.576428571428572" customWidth="1" bestFit="1"/>
    <col min="26" max="26" style="157" width="8.576428571428572" customWidth="1" bestFit="1"/>
    <col min="27" max="27" style="157" width="8.290714285714287" customWidth="1" bestFit="1"/>
    <col min="28" max="28" style="157" width="10.862142857142858" customWidth="1" bestFit="1"/>
    <col min="29" max="29" style="157" width="8.862142857142858" customWidth="1" bestFit="1"/>
    <col min="30" max="30" style="157" width="9.576428571428572" customWidth="1" bestFit="1"/>
    <col min="31" max="31" style="157" width="9.576428571428572" customWidth="1" bestFit="1"/>
    <col min="32" max="32" style="157" width="15.147857142857141" customWidth="1" bestFit="1"/>
    <col min="33" max="33" style="249" width="12.43357142857143" customWidth="1" bestFit="1" hidden="1"/>
    <col min="34" max="34" style="249" width="12.43357142857143" customWidth="1" bestFit="1" hidden="1"/>
    <col min="35" max="35" style="249" width="12.43357142857143" customWidth="1" bestFit="1" hidden="1"/>
    <col min="36" max="36" style="249" width="12.43357142857143" customWidth="1" bestFit="1" hidden="1"/>
    <col min="37" max="37" style="249" width="12.43357142857143" customWidth="1" bestFit="1" hidden="1"/>
    <col min="38" max="38" style="249" width="12.43357142857143" customWidth="1" bestFit="1" hidden="1"/>
    <col min="39" max="39" style="249" width="12.43357142857143" customWidth="1" bestFit="1" hidden="1"/>
    <col min="40" max="40" style="249" width="12.43357142857143" customWidth="1" bestFit="1" hidden="1"/>
    <col min="41" max="41" style="249" width="12.43357142857143" customWidth="1" bestFit="1" hidden="1"/>
    <col min="42" max="42" style="249" width="12.43357142857143" customWidth="1" bestFit="1" hidden="1"/>
    <col min="43" max="43" style="249" width="12.43357142857143" customWidth="1" bestFit="1" hidden="1"/>
    <col min="44" max="44" style="249" width="12.43357142857143" customWidth="1" bestFit="1" hidden="1"/>
    <col min="45" max="45" style="249" width="12.43357142857143" customWidth="1" bestFit="1" hidden="1"/>
    <col min="46" max="46" style="249" width="12.43357142857143" customWidth="1" bestFit="1" hidden="1"/>
    <col min="47" max="47" style="249" width="12.43357142857143" customWidth="1" bestFit="1" hidden="1"/>
    <col min="48" max="48" style="249" width="12.43357142857143" customWidth="1" bestFit="1" hidden="1"/>
    <col min="49" max="49" style="249" width="12.43357142857143" customWidth="1" bestFit="1" hidden="1"/>
    <col min="50" max="50" style="249" width="12.43357142857143" customWidth="1" bestFit="1" hidden="1"/>
    <col min="51" max="51" style="249" width="12.43357142857143" customWidth="1" bestFit="1" hidden="1"/>
    <col min="52" max="52" style="249" width="12.43357142857143" customWidth="1" bestFit="1" hidden="1"/>
    <col min="53" max="53" style="249" width="8.147857142857141" customWidth="1" bestFit="1"/>
    <col min="54" max="54" style="249" width="9.147857142857141" customWidth="1" bestFit="1"/>
    <col min="55" max="55" style="250" width="12.576428571428572" customWidth="1" bestFit="1"/>
    <col min="56" max="56" style="157" width="9.147857142857141" customWidth="1" bestFit="1"/>
    <col min="57" max="57" style="157" width="9.576428571428572" customWidth="1" bestFit="1"/>
    <col min="58" max="58" style="157" width="11.576428571428572" customWidth="1" bestFit="1"/>
    <col min="59" max="59" style="157" width="11.862142857142858" customWidth="1" bestFit="1"/>
    <col min="60" max="60" style="157" width="10.147857142857141" customWidth="1" bestFit="1"/>
    <col min="61" max="61" style="157" width="12.005" customWidth="1" bestFit="1"/>
    <col min="62" max="62" style="157" width="12.43357142857143" customWidth="1" bestFit="1"/>
    <col min="63" max="63" style="21" width="12.43357142857143" customWidth="1" bestFit="1"/>
    <col min="64" max="64" style="21" width="12.43357142857143" customWidth="1" bestFit="1"/>
    <col min="65" max="65" style="21" width="12.43357142857143" customWidth="1" bestFit="1"/>
  </cols>
  <sheetData>
    <row x14ac:dyDescent="0.25" r="1" customHeight="1" ht="27.5">
      <c r="A1" s="182" t="s">
        <v>64</v>
      </c>
      <c r="B1" s="183">
        <v>0.03</v>
      </c>
      <c r="C1" s="184" t="s">
        <v>64</v>
      </c>
      <c r="D1" s="184" t="s">
        <v>64</v>
      </c>
      <c r="E1" s="184" t="s">
        <v>64</v>
      </c>
      <c r="F1" s="184" t="s">
        <v>64</v>
      </c>
      <c r="G1" s="185" t="s">
        <v>64</v>
      </c>
      <c r="H1" s="186" t="s">
        <v>64</v>
      </c>
      <c r="I1" s="186" t="s">
        <v>64</v>
      </c>
      <c r="J1" s="184" t="s">
        <v>64</v>
      </c>
      <c r="K1" s="187" t="s">
        <v>64</v>
      </c>
      <c r="L1" s="184" t="s">
        <v>64</v>
      </c>
      <c r="M1" s="184" t="s">
        <v>64</v>
      </c>
      <c r="N1" s="185" t="s">
        <v>64</v>
      </c>
      <c r="O1" s="185" t="s">
        <v>64</v>
      </c>
      <c r="P1" s="184" t="s">
        <v>64</v>
      </c>
      <c r="Q1" s="187" t="s">
        <v>64</v>
      </c>
      <c r="R1" s="184" t="s">
        <v>64</v>
      </c>
      <c r="S1" s="184" t="s">
        <v>64</v>
      </c>
      <c r="T1" s="184" t="s">
        <v>64</v>
      </c>
      <c r="U1" s="184" t="s">
        <v>64</v>
      </c>
      <c r="V1" s="184" t="s">
        <v>64</v>
      </c>
      <c r="W1" s="184" t="s">
        <v>64</v>
      </c>
      <c r="X1" s="184" t="s">
        <v>64</v>
      </c>
      <c r="Y1" s="184" t="s">
        <v>64</v>
      </c>
      <c r="Z1" s="184" t="s">
        <v>64</v>
      </c>
      <c r="AA1" s="184" t="s">
        <v>64</v>
      </c>
      <c r="AB1" s="184" t="s">
        <v>64</v>
      </c>
      <c r="AC1" s="184" t="s">
        <v>64</v>
      </c>
      <c r="AD1" s="184" t="s">
        <v>64</v>
      </c>
      <c r="AE1" s="184" t="s">
        <v>64</v>
      </c>
      <c r="AF1" s="184" t="s">
        <v>64</v>
      </c>
      <c r="AG1" s="186" t="s">
        <v>64</v>
      </c>
      <c r="AH1" s="186" t="s">
        <v>64</v>
      </c>
      <c r="AI1" s="186" t="s">
        <v>64</v>
      </c>
      <c r="AJ1" s="186" t="s">
        <v>64</v>
      </c>
      <c r="AK1" s="186" t="s">
        <v>64</v>
      </c>
      <c r="AL1" s="186" t="s">
        <v>64</v>
      </c>
      <c r="AM1" s="186" t="s">
        <v>64</v>
      </c>
      <c r="AN1" s="186" t="s">
        <v>64</v>
      </c>
      <c r="AO1" s="186" t="s">
        <v>64</v>
      </c>
      <c r="AP1" s="186" t="s">
        <v>64</v>
      </c>
      <c r="AQ1" s="186" t="s">
        <v>64</v>
      </c>
      <c r="AR1" s="186" t="s">
        <v>64</v>
      </c>
      <c r="AS1" s="186" t="s">
        <v>64</v>
      </c>
      <c r="AT1" s="186" t="s">
        <v>64</v>
      </c>
      <c r="AU1" s="186" t="s">
        <v>64</v>
      </c>
      <c r="AV1" s="186" t="s">
        <v>64</v>
      </c>
      <c r="AW1" s="186" t="s">
        <v>64</v>
      </c>
      <c r="AX1" s="186" t="s">
        <v>64</v>
      </c>
      <c r="AY1" s="186" t="s">
        <v>64</v>
      </c>
      <c r="AZ1" s="186" t="s">
        <v>64</v>
      </c>
      <c r="BA1" s="185"/>
      <c r="BB1" s="185"/>
      <c r="BC1" s="188"/>
      <c r="BD1" s="184" t="s">
        <v>64</v>
      </c>
      <c r="BE1" s="184" t="s">
        <v>64</v>
      </c>
      <c r="BF1" s="184" t="s">
        <v>64</v>
      </c>
      <c r="BG1" s="184" t="s">
        <v>64</v>
      </c>
      <c r="BH1" s="184" t="s">
        <v>64</v>
      </c>
      <c r="BI1" s="184" t="s">
        <v>64</v>
      </c>
      <c r="BJ1" s="184" t="s">
        <v>64</v>
      </c>
      <c r="BK1" s="184" t="s">
        <v>64</v>
      </c>
      <c r="BL1" s="184" t="s">
        <v>64</v>
      </c>
      <c r="BM1" s="184" t="s">
        <v>64</v>
      </c>
    </row>
    <row x14ac:dyDescent="0.25" r="2" customHeight="1" ht="74.5" customFormat="1" s="6">
      <c r="A2" s="189" t="s">
        <v>65</v>
      </c>
      <c r="B2" s="190" t="s">
        <v>66</v>
      </c>
      <c r="C2" s="191" t="s">
        <v>67</v>
      </c>
      <c r="D2" s="191" t="s">
        <v>68</v>
      </c>
      <c r="E2" s="191" t="s">
        <v>69</v>
      </c>
      <c r="F2" s="191" t="s">
        <v>70</v>
      </c>
      <c r="G2" s="192" t="s">
        <v>71</v>
      </c>
      <c r="H2" s="193" t="s">
        <v>72</v>
      </c>
      <c r="I2" s="193" t="s">
        <v>73</v>
      </c>
      <c r="J2" s="194" t="s">
        <v>74</v>
      </c>
      <c r="K2" s="195" t="s">
        <v>75</v>
      </c>
      <c r="L2" s="194" t="s">
        <v>73</v>
      </c>
      <c r="M2" s="194" t="s">
        <v>76</v>
      </c>
      <c r="N2" s="192" t="s">
        <v>77</v>
      </c>
      <c r="O2" s="192" t="s">
        <v>78</v>
      </c>
      <c r="P2" s="196" t="s">
        <v>79</v>
      </c>
      <c r="Q2" s="195" t="s">
        <v>80</v>
      </c>
      <c r="R2" s="197" t="s">
        <v>81</v>
      </c>
      <c r="S2" s="197" t="s">
        <v>82</v>
      </c>
      <c r="T2" s="198" t="s">
        <v>83</v>
      </c>
      <c r="U2" s="198" t="s">
        <v>84</v>
      </c>
      <c r="V2" s="199" t="s">
        <v>85</v>
      </c>
      <c r="W2" s="199" t="s">
        <v>86</v>
      </c>
      <c r="X2" s="198" t="s">
        <v>87</v>
      </c>
      <c r="Y2" s="198" t="s">
        <v>88</v>
      </c>
      <c r="Z2" s="198" t="s">
        <v>89</v>
      </c>
      <c r="AA2" s="198" t="s">
        <v>90</v>
      </c>
      <c r="AB2" s="199" t="s">
        <v>91</v>
      </c>
      <c r="AC2" s="199" t="s">
        <v>92</v>
      </c>
      <c r="AD2" s="199" t="s">
        <v>93</v>
      </c>
      <c r="AE2" s="199" t="s">
        <v>94</v>
      </c>
      <c r="AF2" s="197" t="s">
        <v>95</v>
      </c>
      <c r="AG2" s="200" t="s">
        <v>96</v>
      </c>
      <c r="AH2" s="200" t="s">
        <v>97</v>
      </c>
      <c r="AI2" s="200" t="s">
        <v>98</v>
      </c>
      <c r="AJ2" s="200" t="s">
        <v>99</v>
      </c>
      <c r="AK2" s="200" t="s">
        <v>100</v>
      </c>
      <c r="AL2" s="200" t="s">
        <v>101</v>
      </c>
      <c r="AM2" s="200" t="s">
        <v>102</v>
      </c>
      <c r="AN2" s="200" t="s">
        <v>103</v>
      </c>
      <c r="AO2" s="200" t="s">
        <v>104</v>
      </c>
      <c r="AP2" s="200" t="s">
        <v>105</v>
      </c>
      <c r="AQ2" s="200" t="s">
        <v>106</v>
      </c>
      <c r="AR2" s="200" t="s">
        <v>107</v>
      </c>
      <c r="AS2" s="200" t="s">
        <v>108</v>
      </c>
      <c r="AT2" s="200" t="s">
        <v>109</v>
      </c>
      <c r="AU2" s="200" t="s">
        <v>110</v>
      </c>
      <c r="AV2" s="200" t="s">
        <v>111</v>
      </c>
      <c r="AW2" s="200" t="s">
        <v>112</v>
      </c>
      <c r="AX2" s="200" t="s">
        <v>113</v>
      </c>
      <c r="AY2" s="200" t="s">
        <v>114</v>
      </c>
      <c r="AZ2" s="200" t="s">
        <v>115</v>
      </c>
      <c r="BA2" s="200" t="s">
        <v>116</v>
      </c>
      <c r="BB2" s="200" t="s">
        <v>117</v>
      </c>
      <c r="BC2" s="188" t="s">
        <v>118</v>
      </c>
      <c r="BD2" s="199" t="s">
        <v>119</v>
      </c>
      <c r="BE2" s="199" t="s">
        <v>120</v>
      </c>
      <c r="BF2" s="199" t="s">
        <v>121</v>
      </c>
      <c r="BG2" s="199" t="s">
        <v>122</v>
      </c>
      <c r="BH2" s="199" t="s">
        <v>123</v>
      </c>
      <c r="BI2" s="199" t="s">
        <v>124</v>
      </c>
      <c r="BJ2" s="199" t="s">
        <v>125</v>
      </c>
      <c r="BK2" s="175" t="s">
        <v>126</v>
      </c>
      <c r="BL2" s="175" t="s">
        <v>127</v>
      </c>
      <c r="BM2" s="201" t="s">
        <v>128</v>
      </c>
    </row>
    <row x14ac:dyDescent="0.25" r="3" customHeight="1" ht="18.75">
      <c r="A3" s="202">
        <v>25568.79196759259</v>
      </c>
      <c r="B3" s="203" t="s">
        <v>129</v>
      </c>
      <c r="C3" s="204"/>
      <c r="D3" s="70" t="s">
        <v>130</v>
      </c>
      <c r="E3" s="70" t="s">
        <v>131</v>
      </c>
      <c r="F3" s="70" t="s">
        <v>132</v>
      </c>
      <c r="G3" s="205">
        <v>580</v>
      </c>
      <c r="H3" s="206">
        <v>1.35</v>
      </c>
      <c r="I3" s="207">
        <v>0.12</v>
      </c>
      <c r="J3" s="208">
        <f>H3+I3</f>
      </c>
      <c r="K3" s="209">
        <v>12000</v>
      </c>
      <c r="L3" s="58">
        <f>K3*I3</f>
      </c>
      <c r="M3" s="58">
        <f>K3*J3</f>
      </c>
      <c r="N3" s="210">
        <v>90</v>
      </c>
      <c r="O3" s="16"/>
      <c r="P3" s="211">
        <f>IF(ISBLANK(N3),O3/4.3,N3/20)</f>
      </c>
      <c r="Q3" s="209">
        <v>2000</v>
      </c>
      <c r="R3" s="212" t="s">
        <v>133</v>
      </c>
      <c r="S3" s="209"/>
      <c r="T3" s="213">
        <f>IF(ISBLANK(R3),0,X3)</f>
      </c>
      <c r="U3" s="213">
        <f>IF(ISBLANK(S3),0,X3)</f>
      </c>
      <c r="V3" s="214">
        <f>IFERROR(Q3/K3,0)</f>
      </c>
      <c r="W3" s="58">
        <f>IFERROR(L3*V3,0)</f>
      </c>
      <c r="X3" s="213">
        <f>IFERROR(Q3+W3,0)</f>
      </c>
      <c r="Y3" s="213">
        <f>IFERROR(M3*V3,0)</f>
      </c>
      <c r="Z3" s="213">
        <f>Y3-(Y3*$B$1)</f>
      </c>
      <c r="AA3" s="67">
        <f>Z3/X3</f>
      </c>
      <c r="AB3" s="215">
        <f>IF(ISBLANK(N3),Y3/O3,Y3/N3)</f>
      </c>
      <c r="AC3" s="215">
        <f>IFERROR(-1*(AB3*B$1),0)</f>
      </c>
      <c r="AD3" s="215">
        <f>IFERROR(SUM(AB3:AC3),0)</f>
      </c>
      <c r="AE3" s="215">
        <f>IF(ISBLANK(N3),AD3,AD3*5)</f>
      </c>
      <c r="AF3" s="216">
        <f>SUM(AG3:BC3)</f>
      </c>
      <c r="AG3" s="207">
        <v>190.12</v>
      </c>
      <c r="AH3" s="207">
        <v>126.74</v>
      </c>
      <c r="AI3" s="207">
        <v>95.06</v>
      </c>
      <c r="AJ3" s="207">
        <v>63.38</v>
      </c>
      <c r="AK3" s="207">
        <v>63.37</v>
      </c>
      <c r="AL3" s="207">
        <v>63.37</v>
      </c>
      <c r="AM3" s="207"/>
      <c r="AN3" s="207">
        <v>151.16</v>
      </c>
      <c r="AO3" s="207">
        <v>32.33</v>
      </c>
      <c r="AP3" s="207">
        <v>64.02</v>
      </c>
      <c r="AQ3" s="207">
        <v>64.67</v>
      </c>
      <c r="AR3" s="207"/>
      <c r="AS3" s="207">
        <v>126.75</v>
      </c>
      <c r="AT3" s="207">
        <v>32.33</v>
      </c>
      <c r="AU3" s="207"/>
      <c r="AV3" s="207">
        <v>80.83</v>
      </c>
      <c r="AW3" s="207">
        <v>31.69</v>
      </c>
      <c r="AX3" s="207">
        <v>32.33</v>
      </c>
      <c r="AY3" s="207">
        <v>96.36000000000001</v>
      </c>
      <c r="AZ3" s="207">
        <v>32.33</v>
      </c>
      <c r="BA3" s="207">
        <v>161.67</v>
      </c>
      <c r="BB3" s="207">
        <v>16.16</v>
      </c>
      <c r="BC3" s="188"/>
      <c r="BD3" s="215">
        <f>Z3-AF3</f>
      </c>
      <c r="BE3" s="214">
        <f>IFERROR(AF3/Z3,0)</f>
      </c>
      <c r="BF3" s="214">
        <f>IFERROR(AF3/X3,0)</f>
      </c>
      <c r="BG3" s="214">
        <f>X3/SUM(X$3:X$12)</f>
      </c>
      <c r="BH3" s="214">
        <f>BC3/SUM(BC$3:BC200)</f>
      </c>
      <c r="BI3" s="217">
        <f>BC3/'R&amp;H Portfolio'!Q$10</f>
      </c>
      <c r="BJ3" s="215">
        <f>BF3*P3</f>
      </c>
      <c r="BK3" s="218"/>
      <c r="BL3" s="219">
        <f>IF(BJ3="YES", BC3, "")</f>
      </c>
      <c r="BM3" s="3"/>
    </row>
    <row x14ac:dyDescent="0.25" r="4" customHeight="1" ht="19.5">
      <c r="A4" s="202">
        <v>25568.79196759259</v>
      </c>
      <c r="B4" s="203" t="s">
        <v>134</v>
      </c>
      <c r="C4" s="204" t="s">
        <v>135</v>
      </c>
      <c r="D4" s="70" t="s">
        <v>136</v>
      </c>
      <c r="E4" s="70" t="s">
        <v>137</v>
      </c>
      <c r="F4" s="70" t="s">
        <v>138</v>
      </c>
      <c r="G4" s="205">
        <v>572</v>
      </c>
      <c r="H4" s="206">
        <v>1.37</v>
      </c>
      <c r="I4" s="207">
        <v>0.03</v>
      </c>
      <c r="J4" s="208">
        <f>H4+I4</f>
      </c>
      <c r="K4" s="209">
        <v>240000</v>
      </c>
      <c r="L4" s="58">
        <f>K4*I4</f>
      </c>
      <c r="M4" s="58">
        <f>K4*J4</f>
      </c>
      <c r="N4" s="210">
        <v>189</v>
      </c>
      <c r="O4" s="16"/>
      <c r="P4" s="211">
        <f>IF(ISBLANK(N4),O4/4.3,N4/20)</f>
      </c>
      <c r="Q4" s="209">
        <v>7000</v>
      </c>
      <c r="R4" s="212" t="s">
        <v>133</v>
      </c>
      <c r="S4" s="209"/>
      <c r="T4" s="213">
        <f>IF(ISBLANK(R4),0,X4)</f>
      </c>
      <c r="U4" s="213">
        <f>IF(ISBLANK(S4),0,X4)</f>
      </c>
      <c r="V4" s="214">
        <f>IFERROR(Q4/K4,0)</f>
      </c>
      <c r="W4" s="58">
        <f>IFERROR(L4*V4,0)</f>
      </c>
      <c r="X4" s="213">
        <f>IFERROR(Q4+W4,0)</f>
      </c>
      <c r="Y4" s="213">
        <f>IFERROR(M4*V4,0)</f>
      </c>
      <c r="Z4" s="213">
        <f>Y4-(Y4*$B$1)</f>
      </c>
      <c r="AA4" s="67">
        <f>Z4/X4</f>
      </c>
      <c r="AB4" s="215">
        <f>IF(ISBLANK(N4),Y4/O4,Y4/N4)</f>
      </c>
      <c r="AC4" s="215">
        <f>IFERROR(-1*(AB4*B$1),0)</f>
      </c>
      <c r="AD4" s="215">
        <f>IFERROR(SUM(AB4:AC4),0)</f>
      </c>
      <c r="AE4" s="215">
        <f>IF(ISBLANK(N4),AD4,AD4*5)</f>
      </c>
      <c r="AF4" s="216">
        <f>SUM(AG4:BC4)</f>
      </c>
      <c r="AG4" s="207">
        <v>150.88</v>
      </c>
      <c r="AH4" s="207">
        <v>201.19</v>
      </c>
      <c r="AI4" s="207">
        <v>251.48</v>
      </c>
      <c r="AJ4" s="207">
        <v>201.19</v>
      </c>
      <c r="AK4" s="207">
        <v>251.48</v>
      </c>
      <c r="AL4" s="207">
        <v>251.48</v>
      </c>
      <c r="AM4" s="207">
        <v>251.48</v>
      </c>
      <c r="AN4" s="207">
        <v>251.48</v>
      </c>
      <c r="AO4" s="207">
        <v>201.19</v>
      </c>
      <c r="AP4" s="207">
        <v>251.48</v>
      </c>
      <c r="AQ4" s="207">
        <v>251.48</v>
      </c>
      <c r="AR4" s="207">
        <v>100.6</v>
      </c>
      <c r="AS4" s="207"/>
      <c r="AT4" s="207"/>
      <c r="AU4" s="207"/>
      <c r="AV4" s="207"/>
      <c r="AW4" s="207"/>
      <c r="AX4" s="18"/>
      <c r="AY4" s="207"/>
      <c r="AZ4" s="207"/>
      <c r="BA4" s="207"/>
      <c r="BB4" s="207"/>
      <c r="BC4" s="188"/>
      <c r="BD4" s="215">
        <f>Z4-AF4</f>
      </c>
      <c r="BE4" s="214">
        <f>IFERROR(AF4/Z4,0)</f>
      </c>
      <c r="BF4" s="214">
        <f>IFERROR(AF4/X4,0)</f>
      </c>
      <c r="BG4" s="214">
        <f>X4/SUM(X$3:X$12)</f>
      </c>
      <c r="BH4" s="214">
        <f>BC4/SUM(BC$3:BC201)</f>
      </c>
      <c r="BI4" s="217">
        <f>BC4/'R&amp;H Portfolio'!Q$10</f>
      </c>
      <c r="BJ4" s="215">
        <f>BF4*P4</f>
      </c>
      <c r="BK4" s="73"/>
      <c r="BL4" s="220">
        <f>IF(BJ4="YES", BC4, "")</f>
      </c>
      <c r="BM4" s="3"/>
    </row>
    <row x14ac:dyDescent="0.25" r="5" customHeight="1" ht="19.5">
      <c r="A5" s="17"/>
      <c r="B5" s="203" t="s">
        <v>139</v>
      </c>
      <c r="C5" s="204"/>
      <c r="D5" s="70" t="s">
        <v>140</v>
      </c>
      <c r="E5" s="3"/>
      <c r="F5" s="3"/>
      <c r="G5" s="205"/>
      <c r="H5" s="18"/>
      <c r="I5" s="18"/>
      <c r="J5" s="208">
        <f>H5+I5</f>
      </c>
      <c r="K5" s="209"/>
      <c r="L5" s="58">
        <f>K5*I5</f>
      </c>
      <c r="M5" s="58">
        <f>K5*J5</f>
      </c>
      <c r="N5" s="16"/>
      <c r="O5" s="16"/>
      <c r="P5" s="211">
        <f>IF(ISBLANK(N5),O5/4.3,N5/20)</f>
      </c>
      <c r="Q5" s="209"/>
      <c r="R5" s="209"/>
      <c r="S5" s="209"/>
      <c r="T5" s="213">
        <f>IF(ISBLANK(R5),0,X5)</f>
      </c>
      <c r="U5" s="213">
        <f>IF(ISBLANK(S5),0,X5)</f>
      </c>
      <c r="V5" s="214">
        <f>IFERROR(Q5/K5,0)</f>
      </c>
      <c r="W5" s="58">
        <f>IFERROR(L5*V5,0)</f>
      </c>
      <c r="X5" s="221">
        <f>IFERROR(Q5+W5,0)</f>
      </c>
      <c r="Y5" s="221">
        <f>IFERROR(M5*V5,0)</f>
      </c>
      <c r="Z5" s="221">
        <f>Y5-(Y5*$B$1)</f>
      </c>
      <c r="AA5" s="222"/>
      <c r="AB5" s="215">
        <f>IF(ISBLANK(N5),Y5/O5,Y5/N5)</f>
      </c>
      <c r="AC5" s="215">
        <f>IFERROR(-1*(AB5*B$1),0)</f>
      </c>
      <c r="AD5" s="215">
        <f>IFERROR(SUM(AB5:AC5),0)</f>
      </c>
      <c r="AE5" s="215">
        <f>IF(ISBLANK(N5),AD5,AD5*5)</f>
      </c>
      <c r="AF5" s="216">
        <f>SUM(AG5:BC5)</f>
      </c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18"/>
      <c r="AY5" s="207"/>
      <c r="AZ5" s="207"/>
      <c r="BA5" s="207"/>
      <c r="BB5" s="207"/>
      <c r="BC5" s="188"/>
      <c r="BD5" s="215">
        <f>Z5-AF5</f>
      </c>
      <c r="BE5" s="214">
        <f>IFERROR(AF5/Z5,0)</f>
      </c>
      <c r="BF5" s="214">
        <f>IFERROR(AF5/X5,0)</f>
      </c>
      <c r="BG5" s="214">
        <f>X5/SUM(X$3:X$12)</f>
      </c>
      <c r="BH5" s="214">
        <f>BC5/SUM(BC$3:BC202)</f>
      </c>
      <c r="BI5" s="217">
        <f>BC5/'R&amp;H Portfolio'!Q$10</f>
      </c>
      <c r="BJ5" s="215">
        <f>BF5*P5</f>
      </c>
      <c r="BK5" s="73"/>
      <c r="BL5" s="220">
        <f>IF(BJ5="YES", BC5, "")</f>
      </c>
      <c r="BM5" s="3"/>
    </row>
    <row x14ac:dyDescent="0.25" r="6" customHeight="1" ht="19.5">
      <c r="A6" s="202">
        <v>25568.79196759259</v>
      </c>
      <c r="B6" s="203" t="s">
        <v>141</v>
      </c>
      <c r="C6" s="204" t="s">
        <v>142</v>
      </c>
      <c r="D6" s="70" t="s">
        <v>143</v>
      </c>
      <c r="E6" s="70" t="s">
        <v>144</v>
      </c>
      <c r="F6" s="70" t="s">
        <v>145</v>
      </c>
      <c r="G6" s="205">
        <v>765</v>
      </c>
      <c r="H6" s="206">
        <v>1.32</v>
      </c>
      <c r="I6" s="207">
        <v>0.03</v>
      </c>
      <c r="J6" s="208">
        <f>H6+I6</f>
      </c>
      <c r="K6" s="209">
        <v>40000</v>
      </c>
      <c r="L6" s="58">
        <f>K6*I6</f>
      </c>
      <c r="M6" s="58">
        <f>K6*J6</f>
      </c>
      <c r="N6" s="210">
        <v>230</v>
      </c>
      <c r="O6" s="16"/>
      <c r="P6" s="211">
        <f>IF(ISBLANK(N6),O6/4.3,N6/20)</f>
      </c>
      <c r="Q6" s="209">
        <v>4000</v>
      </c>
      <c r="R6" s="212" t="s">
        <v>133</v>
      </c>
      <c r="S6" s="209"/>
      <c r="T6" s="213">
        <f>IF(ISBLANK(R6),0,X6)</f>
      </c>
      <c r="U6" s="213">
        <f>IF(ISBLANK(S6),0,X6)</f>
      </c>
      <c r="V6" s="214">
        <f>IFERROR(Q6/K6,0)</f>
      </c>
      <c r="W6" s="58">
        <f>IFERROR(L6*V6,0)</f>
      </c>
      <c r="X6" s="213">
        <f>IFERROR(Q6+W6,0)</f>
      </c>
      <c r="Y6" s="213">
        <f>IFERROR(M6*V6,0)</f>
      </c>
      <c r="Z6" s="213">
        <f>Y6-(Y6*$B$1)</f>
      </c>
      <c r="AA6" s="67">
        <f>Z6/X6</f>
      </c>
      <c r="AB6" s="215">
        <f>IF(ISBLANK(N6),Y6/O6,Y6/N6)</f>
      </c>
      <c r="AC6" s="215">
        <f>IFERROR(-1*(AB6*B$1),0)</f>
      </c>
      <c r="AD6" s="215">
        <f>IFERROR(SUM(AB6:AC6),0)</f>
      </c>
      <c r="AE6" s="215">
        <f>IF(ISBLANK(N6),AD6,AD6*5)</f>
      </c>
      <c r="AF6" s="216">
        <f>SUM(AG6:BC6)</f>
      </c>
      <c r="AG6" s="207">
        <v>22.7</v>
      </c>
      <c r="AH6" s="207">
        <v>91.09</v>
      </c>
      <c r="AI6" s="207">
        <v>113.87</v>
      </c>
      <c r="AJ6" s="207">
        <v>91.1</v>
      </c>
      <c r="AK6" s="207">
        <v>113.86</v>
      </c>
      <c r="AL6" s="207">
        <v>113.87</v>
      </c>
      <c r="AM6" s="207">
        <v>113.87</v>
      </c>
      <c r="AN6" s="207">
        <v>113.87</v>
      </c>
      <c r="AO6" s="207">
        <v>91.08999999999999</v>
      </c>
      <c r="AP6" s="207">
        <v>113.87</v>
      </c>
      <c r="AQ6" s="207">
        <v>113.87</v>
      </c>
      <c r="AR6" s="207">
        <v>113.87</v>
      </c>
      <c r="AS6" s="207">
        <v>113.87</v>
      </c>
      <c r="AT6" s="207">
        <v>113.87</v>
      </c>
      <c r="AU6" s="207">
        <v>91.08999999999999</v>
      </c>
      <c r="AV6" s="207">
        <v>113.87</v>
      </c>
      <c r="AW6" s="207">
        <v>113.87</v>
      </c>
      <c r="AX6" s="207">
        <v>113.87</v>
      </c>
      <c r="AY6" s="207">
        <v>113.86</v>
      </c>
      <c r="AZ6" s="207">
        <v>91.1</v>
      </c>
      <c r="BA6" s="207">
        <v>91.08999999999999</v>
      </c>
      <c r="BB6" s="207">
        <v>113.87</v>
      </c>
      <c r="BC6" s="188"/>
      <c r="BD6" s="215">
        <f>Z6-AF6</f>
      </c>
      <c r="BE6" s="214">
        <f>IFERROR(AF6/Z6,0)</f>
      </c>
      <c r="BF6" s="214">
        <f>IFERROR(AF6/X6,0)</f>
      </c>
      <c r="BG6" s="214">
        <f>X6/SUM(X$3:X$12)</f>
      </c>
      <c r="BH6" s="214">
        <f>BC6/SUM(BC$3:BC203)</f>
      </c>
      <c r="BI6" s="217">
        <f>BC6/'R&amp;H Portfolio'!Q$10</f>
      </c>
      <c r="BJ6" s="215">
        <f>BF6*P6</f>
      </c>
      <c r="BK6" s="73"/>
      <c r="BL6" s="220">
        <f>IF(BJ6="YES", BC6, "")</f>
      </c>
      <c r="BM6" s="3"/>
    </row>
    <row x14ac:dyDescent="0.25" r="7" customHeight="1" ht="19.5">
      <c r="A7" s="202">
        <v>25568.79196759259</v>
      </c>
      <c r="B7" s="203" t="s">
        <v>146</v>
      </c>
      <c r="C7" s="204" t="s">
        <v>147</v>
      </c>
      <c r="D7" s="70" t="s">
        <v>148</v>
      </c>
      <c r="E7" s="70" t="s">
        <v>149</v>
      </c>
      <c r="F7" s="70" t="s">
        <v>150</v>
      </c>
      <c r="G7" s="205">
        <v>731</v>
      </c>
      <c r="H7" s="206">
        <v>1.33</v>
      </c>
      <c r="I7" s="207">
        <v>0.05</v>
      </c>
      <c r="J7" s="208">
        <f>H7+I7</f>
      </c>
      <c r="K7" s="209">
        <v>200000</v>
      </c>
      <c r="L7" s="58">
        <f>K7*I7</f>
      </c>
      <c r="M7" s="58">
        <f>K7*J7</f>
      </c>
      <c r="N7" s="16"/>
      <c r="O7" s="210">
        <v>40</v>
      </c>
      <c r="P7" s="211">
        <f>IF(ISBLANK(N7),O7/4.3,N7/20)</f>
      </c>
      <c r="Q7" s="209">
        <v>7000</v>
      </c>
      <c r="R7" s="212" t="s">
        <v>133</v>
      </c>
      <c r="S7" s="209"/>
      <c r="T7" s="213">
        <f>IF(ISBLANK(R7),0,X7)</f>
      </c>
      <c r="U7" s="213">
        <f>IF(ISBLANK(S7),0,X7)</f>
      </c>
      <c r="V7" s="214">
        <f>IFERROR(Q7/K7,0)</f>
      </c>
      <c r="W7" s="58">
        <f>IFERROR(L7*V7,0)</f>
      </c>
      <c r="X7" s="213">
        <f>IFERROR(Q7+W7,0)</f>
      </c>
      <c r="Y7" s="213">
        <f>IFERROR(M7*V7,0)</f>
      </c>
      <c r="Z7" s="213">
        <f>Y7-(Y7*$B$1)</f>
      </c>
      <c r="AA7" s="67">
        <f>Z7/X7</f>
      </c>
      <c r="AB7" s="215">
        <f>IF(ISBLANK(N7),Y7/O7,Y7/N7)</f>
      </c>
      <c r="AC7" s="215">
        <f>IFERROR(-1*(AB7*B$1),0)</f>
      </c>
      <c r="AD7" s="215">
        <f>IFERROR(SUM(AB7:AC7),0)</f>
      </c>
      <c r="AE7" s="215">
        <f>IF(ISBLANK(N7),AD7,AD7*5)</f>
      </c>
      <c r="AF7" s="216">
        <f>SUM(AG7:BC7)</f>
      </c>
      <c r="AG7" s="207"/>
      <c r="AH7" s="207">
        <v>234.25</v>
      </c>
      <c r="AI7" s="207">
        <v>234.26</v>
      </c>
      <c r="AJ7" s="207">
        <v>234.25</v>
      </c>
      <c r="AK7" s="207">
        <v>234.26</v>
      </c>
      <c r="AL7" s="207">
        <v>234.25</v>
      </c>
      <c r="AM7" s="207">
        <v>234.26</v>
      </c>
      <c r="AN7" s="207">
        <v>234.25</v>
      </c>
      <c r="AO7" s="207">
        <v>234.26</v>
      </c>
      <c r="AP7" s="207">
        <v>234.25</v>
      </c>
      <c r="AQ7" s="207">
        <v>234.26</v>
      </c>
      <c r="AR7" s="207">
        <v>234.25</v>
      </c>
      <c r="AS7" s="207">
        <v>234.26</v>
      </c>
      <c r="AT7" s="207">
        <v>234.25</v>
      </c>
      <c r="AU7" s="207">
        <v>234.26</v>
      </c>
      <c r="AV7" s="207">
        <v>234.25</v>
      </c>
      <c r="AW7" s="207">
        <v>234.26</v>
      </c>
      <c r="AX7" s="207">
        <v>234.25</v>
      </c>
      <c r="AY7" s="207">
        <v>234.26</v>
      </c>
      <c r="AZ7" s="207">
        <v>234.25</v>
      </c>
      <c r="BA7" s="207">
        <v>234.26</v>
      </c>
      <c r="BB7" s="207">
        <v>234.25</v>
      </c>
      <c r="BC7" s="188"/>
      <c r="BD7" s="215">
        <f>Z7-AF7</f>
      </c>
      <c r="BE7" s="214">
        <f>IFERROR(AF7/Z7,0)</f>
      </c>
      <c r="BF7" s="214">
        <f>IFERROR(AF7/X7,0)</f>
      </c>
      <c r="BG7" s="214">
        <f>X7/SUM(X$3:X$12)</f>
      </c>
      <c r="BH7" s="214">
        <f>BC7/SUM(BC$3:BC204)</f>
      </c>
      <c r="BI7" s="217">
        <f>BC7/'R&amp;H Portfolio'!Q$10</f>
      </c>
      <c r="BJ7" s="215">
        <f>BF7*P7</f>
      </c>
      <c r="BK7" s="73"/>
      <c r="BL7" s="220">
        <f>IF(BJ7="YES", BC7, "")</f>
      </c>
      <c r="BM7" s="3"/>
    </row>
    <row x14ac:dyDescent="0.25" r="8" customHeight="1" ht="19.5">
      <c r="A8" s="202">
        <v>25568.79196759259</v>
      </c>
      <c r="B8" s="203" t="s">
        <v>151</v>
      </c>
      <c r="C8" s="204" t="s">
        <v>152</v>
      </c>
      <c r="D8" s="70" t="s">
        <v>153</v>
      </c>
      <c r="E8" s="70" t="s">
        <v>154</v>
      </c>
      <c r="F8" s="70" t="s">
        <v>155</v>
      </c>
      <c r="G8" s="205">
        <v>669</v>
      </c>
      <c r="H8" s="206">
        <v>1.33</v>
      </c>
      <c r="I8" s="207">
        <v>0.03</v>
      </c>
      <c r="J8" s="208">
        <f>H8+I8</f>
      </c>
      <c r="K8" s="209">
        <v>70000</v>
      </c>
      <c r="L8" s="58">
        <f>K8*I8</f>
      </c>
      <c r="M8" s="58">
        <f>K8*J8</f>
      </c>
      <c r="N8" s="210">
        <v>210</v>
      </c>
      <c r="O8" s="16"/>
      <c r="P8" s="211">
        <f>IF(ISBLANK(N8),O8/4.3,N8/20)</f>
      </c>
      <c r="Q8" s="209">
        <v>4000</v>
      </c>
      <c r="R8" s="212" t="s">
        <v>133</v>
      </c>
      <c r="S8" s="209"/>
      <c r="T8" s="213">
        <f>IF(ISBLANK(R8),0,X8)</f>
      </c>
      <c r="U8" s="213">
        <f>IF(ISBLANK(S8),0,X8)</f>
      </c>
      <c r="V8" s="214">
        <f>IFERROR(Q8/K8,0)</f>
      </c>
      <c r="W8" s="58">
        <f>IFERROR(L8*V8,0)</f>
      </c>
      <c r="X8" s="213">
        <f>IFERROR(Q8+W8,0)</f>
      </c>
      <c r="Y8" s="213">
        <f>IFERROR(M8*V8,0)</f>
      </c>
      <c r="Z8" s="213">
        <f>Y8-(Y8*$B$1)</f>
      </c>
      <c r="AA8" s="67">
        <f>Z8/X8</f>
      </c>
      <c r="AB8" s="215">
        <f>IF(ISBLANK(N8),Y8/O8,Y8/N8)</f>
      </c>
      <c r="AC8" s="215">
        <f>IFERROR(-1*(AB8*B$1),0)</f>
      </c>
      <c r="AD8" s="215">
        <f>IFERROR(SUM(AB8:AC8),0)</f>
      </c>
      <c r="AE8" s="215">
        <f>IF(ISBLANK(N8),AD8,AD8*5)</f>
      </c>
      <c r="AF8" s="216">
        <f>SUM(AG8:BC8)</f>
      </c>
      <c r="AG8" s="207"/>
      <c r="AH8" s="207">
        <v>50.25</v>
      </c>
      <c r="AI8" s="207">
        <v>125.64</v>
      </c>
      <c r="AJ8" s="207">
        <v>100.51</v>
      </c>
      <c r="AK8" s="207">
        <v>125.63</v>
      </c>
      <c r="AL8" s="207">
        <v>125.64</v>
      </c>
      <c r="AM8" s="207">
        <v>125.64</v>
      </c>
      <c r="AN8" s="207">
        <v>125.64</v>
      </c>
      <c r="AO8" s="207">
        <v>100.51</v>
      </c>
      <c r="AP8" s="207">
        <v>125.63</v>
      </c>
      <c r="AQ8" s="207">
        <v>75.38</v>
      </c>
      <c r="AR8" s="207">
        <v>125.64</v>
      </c>
      <c r="AS8" s="207">
        <v>125.64</v>
      </c>
      <c r="AT8" s="207">
        <v>125.64</v>
      </c>
      <c r="AU8" s="207">
        <v>100.51</v>
      </c>
      <c r="AV8" s="207">
        <v>125.63</v>
      </c>
      <c r="AW8" s="207">
        <v>125.64</v>
      </c>
      <c r="AX8" s="207">
        <v>125.64</v>
      </c>
      <c r="AY8" s="207">
        <v>125.63</v>
      </c>
      <c r="AZ8" s="207">
        <v>100.51</v>
      </c>
      <c r="BA8" s="207">
        <v>100.51</v>
      </c>
      <c r="BB8" s="207">
        <v>125.64</v>
      </c>
      <c r="BC8" s="188"/>
      <c r="BD8" s="215">
        <f>Z8-AF8</f>
      </c>
      <c r="BE8" s="214">
        <f>IFERROR(AF8/Z8,0)</f>
      </c>
      <c r="BF8" s="214">
        <f>IFERROR(AF8/X8,0)</f>
      </c>
      <c r="BG8" s="214">
        <f>X8/SUM(X$3:X$12)</f>
      </c>
      <c r="BH8" s="214">
        <f>BC8/SUM(BC$3:BC205)</f>
      </c>
      <c r="BI8" s="217">
        <f>BC8/'R&amp;H Portfolio'!Q$10</f>
      </c>
      <c r="BJ8" s="215">
        <f>BF8*P8</f>
      </c>
      <c r="BK8" s="73"/>
      <c r="BL8" s="220">
        <f>IF(BJ8="YES", BC8, "")</f>
      </c>
      <c r="BM8" s="3"/>
    </row>
    <row x14ac:dyDescent="0.25" r="9" customHeight="1" ht="19.5">
      <c r="A9" s="202">
        <v>25568.79196759259</v>
      </c>
      <c r="B9" s="203" t="s">
        <v>156</v>
      </c>
      <c r="C9" s="204" t="s">
        <v>157</v>
      </c>
      <c r="D9" s="70" t="s">
        <v>158</v>
      </c>
      <c r="E9" s="70" t="s">
        <v>159</v>
      </c>
      <c r="F9" s="70" t="s">
        <v>160</v>
      </c>
      <c r="G9" s="205">
        <v>519</v>
      </c>
      <c r="H9" s="206">
        <v>1.32</v>
      </c>
      <c r="I9" s="207">
        <v>0.12</v>
      </c>
      <c r="J9" s="208">
        <f>H9+I9</f>
      </c>
      <c r="K9" s="209">
        <v>20000</v>
      </c>
      <c r="L9" s="58">
        <f>K9*I9</f>
      </c>
      <c r="M9" s="58">
        <f>K9*J9</f>
      </c>
      <c r="N9" s="16"/>
      <c r="O9" s="210">
        <v>28</v>
      </c>
      <c r="P9" s="211">
        <f>IF(ISBLANK(N9),O9/4.3,N9/20)</f>
      </c>
      <c r="Q9" s="209">
        <v>2000</v>
      </c>
      <c r="R9" s="212" t="s">
        <v>133</v>
      </c>
      <c r="S9" s="209"/>
      <c r="T9" s="213">
        <f>IF(ISBLANK(R9),0,X9)</f>
      </c>
      <c r="U9" s="213">
        <f>IF(ISBLANK(S9),0,X9)</f>
      </c>
      <c r="V9" s="214">
        <f>IFERROR(Q9/K9,0)</f>
      </c>
      <c r="W9" s="58">
        <f>IFERROR(L9*V9,0)</f>
      </c>
      <c r="X9" s="213">
        <f>IFERROR(Q9+W9,0)</f>
      </c>
      <c r="Y9" s="213">
        <f>IFERROR(M9*V9,0)</f>
      </c>
      <c r="Z9" s="213">
        <f>Y9-(Y9*$B$1)</f>
      </c>
      <c r="AA9" s="67">
        <f>Z9/X9</f>
      </c>
      <c r="AB9" s="215">
        <f>IF(ISBLANK(N9),Y9/O9,Y9/N9)</f>
      </c>
      <c r="AC9" s="215">
        <f>IFERROR(-1*(AB9*B$1),0)</f>
      </c>
      <c r="AD9" s="215">
        <f>IFERROR(SUM(AB9:AC9),0)</f>
      </c>
      <c r="AE9" s="215">
        <f>IF(ISBLANK(N9),AD9,AD9*5)</f>
      </c>
      <c r="AF9" s="216">
        <f>SUM(AG9:BC9)</f>
      </c>
      <c r="AG9" s="207"/>
      <c r="AH9" s="207"/>
      <c r="AI9" s="207">
        <v>99.77</v>
      </c>
      <c r="AJ9" s="207"/>
      <c r="AK9" s="207">
        <v>199.54</v>
      </c>
      <c r="AL9" s="207">
        <v>99.77</v>
      </c>
      <c r="AM9" s="207">
        <v>99.77</v>
      </c>
      <c r="AN9" s="207">
        <v>99.77</v>
      </c>
      <c r="AO9" s="207"/>
      <c r="AP9" s="207">
        <v>199.55</v>
      </c>
      <c r="AQ9" s="207">
        <v>99.77</v>
      </c>
      <c r="AR9" s="207">
        <v>99.77</v>
      </c>
      <c r="AS9" s="207">
        <v>99.77</v>
      </c>
      <c r="AT9" s="207">
        <v>99.77</v>
      </c>
      <c r="AU9" s="207"/>
      <c r="AV9" s="207">
        <v>99.77</v>
      </c>
      <c r="AW9" s="207">
        <v>199.54</v>
      </c>
      <c r="AX9" s="207">
        <v>99.78</v>
      </c>
      <c r="AY9" s="207">
        <v>99.77</v>
      </c>
      <c r="AZ9" s="207"/>
      <c r="BA9" s="207">
        <v>99.77</v>
      </c>
      <c r="BB9" s="207">
        <v>199.54</v>
      </c>
      <c r="BC9" s="188">
        <v>99.77</v>
      </c>
      <c r="BD9" s="215">
        <f>Z9-AF9</f>
      </c>
      <c r="BE9" s="214">
        <f>IFERROR(AF9/Z9,0)</f>
      </c>
      <c r="BF9" s="214">
        <f>IFERROR(AF9/X9,0)</f>
      </c>
      <c r="BG9" s="214">
        <f>X9/SUM(X$3:X$12)</f>
      </c>
      <c r="BH9" s="214">
        <f>BC9/SUM(BC$3:BC206)</f>
      </c>
      <c r="BI9" s="217">
        <f>BC9/'R&amp;H Portfolio'!Q$10</f>
      </c>
      <c r="BJ9" s="215">
        <f>BF9*P9</f>
      </c>
      <c r="BK9" s="73"/>
      <c r="BL9" s="220">
        <f>IF(BJ9="YES", BC9, "")</f>
      </c>
      <c r="BM9" s="3"/>
    </row>
    <row x14ac:dyDescent="0.25" r="10" customHeight="1" ht="19.5">
      <c r="A10" s="202">
        <v>25568.79196759259</v>
      </c>
      <c r="B10" s="203" t="s">
        <v>161</v>
      </c>
      <c r="C10" s="204" t="s">
        <v>162</v>
      </c>
      <c r="D10" s="70" t="s">
        <v>163</v>
      </c>
      <c r="E10" s="70" t="s">
        <v>164</v>
      </c>
      <c r="F10" s="70" t="s">
        <v>165</v>
      </c>
      <c r="G10" s="205">
        <v>541</v>
      </c>
      <c r="H10" s="206">
        <v>1.32</v>
      </c>
      <c r="I10" s="207">
        <v>0.03</v>
      </c>
      <c r="J10" s="208">
        <f>H10+I10</f>
      </c>
      <c r="K10" s="209">
        <v>70000</v>
      </c>
      <c r="L10" s="58">
        <f>K10*I10</f>
      </c>
      <c r="M10" s="58">
        <f>K10*J10</f>
      </c>
      <c r="N10" s="210">
        <v>220</v>
      </c>
      <c r="O10" s="16"/>
      <c r="P10" s="211">
        <f>IF(ISBLANK(N10),O10/4.3,N10/20)</f>
      </c>
      <c r="Q10" s="209">
        <v>5000</v>
      </c>
      <c r="R10" s="212" t="s">
        <v>133</v>
      </c>
      <c r="S10" s="209"/>
      <c r="T10" s="213">
        <f>IF(ISBLANK(R10),0,X10)</f>
      </c>
      <c r="U10" s="213">
        <f>IF(ISBLANK(S10),0,X10)</f>
      </c>
      <c r="V10" s="214">
        <f>IFERROR(Q10/K10,0)</f>
      </c>
      <c r="W10" s="58">
        <f>IFERROR(L10*V10,0)</f>
      </c>
      <c r="X10" s="213">
        <f>IFERROR(Q10+W10,0)</f>
      </c>
      <c r="Y10" s="213">
        <f>IFERROR(M10*V10,0)</f>
      </c>
      <c r="Z10" s="213">
        <f>Y10-(Y10*$B$1)</f>
      </c>
      <c r="AA10" s="67">
        <f>Z10/X10</f>
      </c>
      <c r="AB10" s="215">
        <f>IF(ISBLANK(N10),Y10/O10,Y10/N10)</f>
      </c>
      <c r="AC10" s="215">
        <f>IFERROR(-1*(AB10*B$1),0)</f>
      </c>
      <c r="AD10" s="215">
        <f>IFERROR(SUM(AB10:AC10),0)</f>
      </c>
      <c r="AE10" s="215">
        <f>IF(ISBLANK(N10),AD10,AD10*5)</f>
      </c>
      <c r="AF10" s="216">
        <f>SUM(AG10:BC10)</f>
      </c>
      <c r="AG10" s="207"/>
      <c r="AH10" s="207"/>
      <c r="AI10" s="207">
        <v>148.8</v>
      </c>
      <c r="AJ10" s="207">
        <v>119.05</v>
      </c>
      <c r="AK10" s="207">
        <v>148.81</v>
      </c>
      <c r="AL10" s="207">
        <v>148.81</v>
      </c>
      <c r="AM10" s="207">
        <v>148.81</v>
      </c>
      <c r="AN10" s="207">
        <v>148.8</v>
      </c>
      <c r="AO10" s="207">
        <v>119.05</v>
      </c>
      <c r="AP10" s="207">
        <v>148.81</v>
      </c>
      <c r="AQ10" s="207">
        <v>148.81</v>
      </c>
      <c r="AR10" s="207">
        <v>148.81</v>
      </c>
      <c r="AS10" s="207">
        <v>148.8</v>
      </c>
      <c r="AT10" s="207">
        <v>148.81</v>
      </c>
      <c r="AU10" s="207">
        <v>119.05</v>
      </c>
      <c r="AV10" s="207">
        <v>148.81</v>
      </c>
      <c r="AW10" s="207">
        <v>148.81</v>
      </c>
      <c r="AX10" s="207">
        <v>148.8</v>
      </c>
      <c r="AY10" s="207">
        <v>133.93</v>
      </c>
      <c r="AZ10" s="207">
        <v>59.53000000000001</v>
      </c>
      <c r="BA10" s="207">
        <v>59.52</v>
      </c>
      <c r="BB10" s="207">
        <v>89.29</v>
      </c>
      <c r="BC10" s="188"/>
      <c r="BD10" s="215">
        <f>Z10-AF10</f>
      </c>
      <c r="BE10" s="214">
        <f>IFERROR(AF10/Z10,0)</f>
      </c>
      <c r="BF10" s="214">
        <f>IFERROR(AF10/X10,0)</f>
      </c>
      <c r="BG10" s="214">
        <f>X10/SUM(X$3:X$12)</f>
      </c>
      <c r="BH10" s="214">
        <f>BC10/SUM(BC$3:BC207)</f>
      </c>
      <c r="BI10" s="217">
        <f>BC10/'R&amp;H Portfolio'!Q$10</f>
      </c>
      <c r="BJ10" s="215">
        <f>BF10*P10</f>
      </c>
      <c r="BK10" s="73"/>
      <c r="BL10" s="220">
        <f>IF(BJ10="YES", BC10, "")</f>
      </c>
      <c r="BM10" s="3"/>
    </row>
    <row x14ac:dyDescent="0.25" r="11" customHeight="1" ht="19.5">
      <c r="A11" s="202">
        <v>25568.79196759259</v>
      </c>
      <c r="B11" s="203" t="s">
        <v>166</v>
      </c>
      <c r="C11" s="204" t="s">
        <v>167</v>
      </c>
      <c r="D11" s="70" t="s">
        <v>168</v>
      </c>
      <c r="E11" s="70" t="s">
        <v>169</v>
      </c>
      <c r="F11" s="70" t="s">
        <v>170</v>
      </c>
      <c r="G11" s="205">
        <v>696</v>
      </c>
      <c r="H11" s="206">
        <v>1.36</v>
      </c>
      <c r="I11" s="207">
        <v>0.03</v>
      </c>
      <c r="J11" s="208">
        <f>H11+I11</f>
      </c>
      <c r="K11" s="209">
        <v>40000</v>
      </c>
      <c r="L11" s="58">
        <f>K11*I11</f>
      </c>
      <c r="M11" s="58">
        <f>K11*J11</f>
      </c>
      <c r="N11" s="210">
        <v>147</v>
      </c>
      <c r="O11" s="16"/>
      <c r="P11" s="211">
        <f>IF(ISBLANK(N11),O11/4.3,N11/20)</f>
      </c>
      <c r="Q11" s="209">
        <v>4000</v>
      </c>
      <c r="R11" s="212" t="s">
        <v>133</v>
      </c>
      <c r="S11" s="209"/>
      <c r="T11" s="213">
        <f>IF(ISBLANK(R11),0,X11)</f>
      </c>
      <c r="U11" s="213">
        <f>IF(ISBLANK(S11),0,X11)</f>
      </c>
      <c r="V11" s="214">
        <f>IFERROR(Q11/K11,0)</f>
      </c>
      <c r="W11" s="58">
        <f>IFERROR(L11*V11,0)</f>
      </c>
      <c r="X11" s="213">
        <f>IFERROR(Q11+W11,0)</f>
      </c>
      <c r="Y11" s="213">
        <f>IFERROR(M11*V11,0)</f>
      </c>
      <c r="Z11" s="213">
        <f>Y11-(Y11*$B$1)</f>
      </c>
      <c r="AA11" s="67">
        <f>Z11/X11</f>
      </c>
      <c r="AB11" s="215">
        <f>IF(ISBLANK(N11),Y11/O11,Y11/N11)</f>
      </c>
      <c r="AC11" s="215">
        <f>IFERROR(-1*(AB11*B$1),0)</f>
      </c>
      <c r="AD11" s="215">
        <f>IFERROR(SUM(AB11:AC11),0)</f>
      </c>
      <c r="AE11" s="215">
        <f>IF(ISBLANK(N11),AD11,AD11*5)</f>
      </c>
      <c r="AF11" s="216">
        <f>SUM(AG11:BC11)</f>
      </c>
      <c r="AG11" s="207"/>
      <c r="AH11" s="207"/>
      <c r="AI11" s="207"/>
      <c r="AJ11" s="207">
        <v>110.06</v>
      </c>
      <c r="AK11" s="207">
        <v>183.44</v>
      </c>
      <c r="AL11" s="207">
        <v>183.44</v>
      </c>
      <c r="AM11" s="207">
        <v>183.44</v>
      </c>
      <c r="AN11" s="207">
        <v>183.45</v>
      </c>
      <c r="AO11" s="207">
        <v>146.75</v>
      </c>
      <c r="AP11" s="207">
        <v>183.44</v>
      </c>
      <c r="AQ11" s="207">
        <v>183.44</v>
      </c>
      <c r="AR11" s="207">
        <v>146.76</v>
      </c>
      <c r="AS11" s="207">
        <v>91.72</v>
      </c>
      <c r="AT11" s="207">
        <v>91.72</v>
      </c>
      <c r="AU11" s="207">
        <v>73.38</v>
      </c>
      <c r="AV11" s="207">
        <v>128.41</v>
      </c>
      <c r="AW11" s="207">
        <v>183.44</v>
      </c>
      <c r="AX11" s="207">
        <v>183.44</v>
      </c>
      <c r="AY11" s="207">
        <v>183.44</v>
      </c>
      <c r="AZ11" s="207">
        <v>146.76</v>
      </c>
      <c r="BA11" s="207">
        <v>146.75</v>
      </c>
      <c r="BB11" s="207">
        <v>183.44</v>
      </c>
      <c r="BC11" s="188"/>
      <c r="BD11" s="215">
        <f>Z11-AF11</f>
      </c>
      <c r="BE11" s="214">
        <f>IFERROR(AF11/Z11,0)</f>
      </c>
      <c r="BF11" s="214">
        <f>IFERROR(AF11/X11,0)</f>
      </c>
      <c r="BG11" s="214">
        <f>X11/SUM(X$3:X$12)</f>
      </c>
      <c r="BH11" s="214">
        <f>BC11/SUM(BC$3:BC208)</f>
      </c>
      <c r="BI11" s="217">
        <f>BC11/'R&amp;H Portfolio'!Q$10</f>
      </c>
      <c r="BJ11" s="215">
        <f>BF11*P11</f>
      </c>
      <c r="BK11" s="73"/>
      <c r="BL11" s="220">
        <f>IF(BJ11="YES", BC11, "")</f>
      </c>
      <c r="BM11" s="66" t="s">
        <v>171</v>
      </c>
    </row>
    <row x14ac:dyDescent="0.25" r="12" customHeight="1" ht="19.5">
      <c r="A12" s="223">
        <v>25568.79196759259</v>
      </c>
      <c r="B12" s="224" t="s">
        <v>172</v>
      </c>
      <c r="C12" s="225" t="s">
        <v>173</v>
      </c>
      <c r="D12" s="226" t="s">
        <v>174</v>
      </c>
      <c r="E12" s="226" t="s">
        <v>169</v>
      </c>
      <c r="F12" s="226" t="s">
        <v>175</v>
      </c>
      <c r="G12" s="227">
        <v>581</v>
      </c>
      <c r="H12" s="228">
        <v>1.34</v>
      </c>
      <c r="I12" s="229">
        <v>0.06</v>
      </c>
      <c r="J12" s="230">
        <f>H12+I12</f>
      </c>
      <c r="K12" s="231">
        <v>60000</v>
      </c>
      <c r="L12" s="232">
        <f>K12*I12</f>
      </c>
      <c r="M12" s="232">
        <f>K12*J12</f>
      </c>
      <c r="N12" s="233"/>
      <c r="O12" s="233">
        <v>36</v>
      </c>
      <c r="P12" s="234">
        <f>IF(ISBLANK(N12),O12/4.3,N12/20)</f>
      </c>
      <c r="Q12" s="231">
        <v>6000</v>
      </c>
      <c r="R12" s="235" t="s">
        <v>133</v>
      </c>
      <c r="S12" s="236"/>
      <c r="T12" s="237">
        <f>IF(ISBLANK(R12),0,X12)</f>
      </c>
      <c r="U12" s="237">
        <f>IF(ISBLANK(S12),0,X12)</f>
      </c>
      <c r="V12" s="238">
        <f>IFERROR(Q12/K12,0)</f>
      </c>
      <c r="W12" s="232">
        <f>IFERROR(L12*V12,0)</f>
      </c>
      <c r="X12" s="239">
        <f>IFERROR(Q12+W12,0)</f>
      </c>
      <c r="Y12" s="239">
        <f>IFERROR(M12*V12,0)</f>
      </c>
      <c r="Z12" s="239">
        <f>Y12-(Y12*$B$1)</f>
      </c>
      <c r="AA12" s="240">
        <f>Z12/X12</f>
      </c>
      <c r="AB12" s="241">
        <f>IF(ISBLANK(N12),Y12/O12,Y12/N12)</f>
      </c>
      <c r="AC12" s="241">
        <f>IFERROR(-1*(AB12*B$1),0)</f>
      </c>
      <c r="AD12" s="241">
        <f>IFERROR(SUM(AB12:AC12),0)</f>
      </c>
      <c r="AE12" s="241">
        <f>IF(ISBLANK(N12),AD12,AD12*5)</f>
      </c>
      <c r="AF12" s="242">
        <f>SUM(AG12:BC12)</f>
      </c>
      <c r="AG12" s="229"/>
      <c r="AH12" s="229"/>
      <c r="AI12" s="229"/>
      <c r="AJ12" s="229"/>
      <c r="AK12" s="229">
        <v>226.33</v>
      </c>
      <c r="AL12" s="229">
        <v>226.33</v>
      </c>
      <c r="AM12" s="229">
        <v>226.33</v>
      </c>
      <c r="AN12" s="229">
        <v>226.34</v>
      </c>
      <c r="AO12" s="229">
        <v>226.33</v>
      </c>
      <c r="AP12" s="229">
        <v>226.33</v>
      </c>
      <c r="AQ12" s="243">
        <v>226.34</v>
      </c>
      <c r="AR12" s="243">
        <v>226.33</v>
      </c>
      <c r="AS12" s="243">
        <v>226.33</v>
      </c>
      <c r="AT12" s="243">
        <v>226.34</v>
      </c>
      <c r="AU12" s="243">
        <v>226.33</v>
      </c>
      <c r="AV12" s="244"/>
      <c r="AW12" s="244"/>
      <c r="AX12" s="229"/>
      <c r="AY12" s="243">
        <v>226.33</v>
      </c>
      <c r="AZ12" s="243">
        <v>113.17</v>
      </c>
      <c r="BA12" s="243">
        <v>113.17</v>
      </c>
      <c r="BB12" s="243">
        <v>113.16</v>
      </c>
      <c r="BC12" s="188"/>
      <c r="BD12" s="241">
        <f>Z12-AF12</f>
      </c>
      <c r="BE12" s="238">
        <f>IFERROR(AF12/Z12,0)</f>
      </c>
      <c r="BF12" s="214">
        <f>IFERROR(AF12/X12,0)</f>
      </c>
      <c r="BG12" s="214">
        <f>X12/SUM(X$3:X$12)</f>
      </c>
      <c r="BH12" s="214">
        <f>BC12/SUM(BC$3:BC209)</f>
      </c>
      <c r="BI12" s="217">
        <f>BC12/'R&amp;H Portfolio'!Q$10</f>
      </c>
      <c r="BJ12" s="241">
        <f>BF12*P12</f>
      </c>
      <c r="BK12" s="73"/>
      <c r="BL12" s="220">
        <f>IF(BJ12="YES", BC12, "")</f>
      </c>
      <c r="BM12" s="3"/>
    </row>
    <row x14ac:dyDescent="0.25" r="13" customHeight="1" ht="19.5">
      <c r="A13" s="17"/>
      <c r="B13" s="203" t="s">
        <v>176</v>
      </c>
      <c r="C13" s="3"/>
      <c r="D13" s="70" t="s">
        <v>177</v>
      </c>
      <c r="E13" s="3"/>
      <c r="F13" s="3"/>
      <c r="G13" s="205"/>
      <c r="H13" s="18"/>
      <c r="I13" s="18"/>
      <c r="J13" s="208">
        <f>H13+I13</f>
      </c>
      <c r="K13" s="209"/>
      <c r="L13" s="58">
        <f>K13*I13</f>
      </c>
      <c r="M13" s="58">
        <f>K13*J13</f>
      </c>
      <c r="N13" s="16"/>
      <c r="O13" s="16"/>
      <c r="P13" s="211">
        <f>IF(ISBLANK(N13),O13/4.3,N13/20)</f>
      </c>
      <c r="Q13" s="209"/>
      <c r="R13" s="212" t="s">
        <v>178</v>
      </c>
      <c r="S13" s="209"/>
      <c r="T13" s="213"/>
      <c r="U13" s="213">
        <f>IF(ISBLANK(S13),0,X13)</f>
      </c>
      <c r="V13" s="214">
        <f>IFERROR(Q13/K13,0)</f>
      </c>
      <c r="W13" s="58">
        <f>IFERROR(L13*V13,0)</f>
      </c>
      <c r="X13" s="213">
        <f>IFERROR(Q13+W13,0)</f>
      </c>
      <c r="Y13" s="213">
        <f>IFERROR(M13*V13,0)</f>
      </c>
      <c r="Z13" s="213">
        <f>Y13-(Y13*$B$1)</f>
      </c>
      <c r="AA13" s="67">
        <f>IFERROR(Z13/X13,"")</f>
      </c>
      <c r="AB13" s="215">
        <f>IF(ISBLANK(N13),Y13/O13,Y13/N13)</f>
      </c>
      <c r="AC13" s="215">
        <f>IFERROR(-1*(AB13*B$1),0)</f>
      </c>
      <c r="AD13" s="215">
        <f>IFERROR(SUM(AB13:AC13),0)</f>
      </c>
      <c r="AE13" s="215">
        <f>IF(ISBLANK(N13),AD13,AD13*5)</f>
      </c>
      <c r="AF13" s="216">
        <f>SUM(AG13:BC13)</f>
      </c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18"/>
      <c r="AY13" s="207"/>
      <c r="AZ13" s="207"/>
      <c r="BA13" s="207"/>
      <c r="BB13" s="207"/>
      <c r="BC13" s="188">
        <v>29.1</v>
      </c>
      <c r="BD13" s="215">
        <f>Z13-AF13</f>
      </c>
      <c r="BE13" s="214">
        <f>IFERROR(AF13/Z13,0)</f>
      </c>
      <c r="BF13" s="214">
        <f>IFERROR(AF13/X13,0)</f>
      </c>
      <c r="BG13" s="214">
        <f>X13/SUM(X$3:X$12)</f>
      </c>
      <c r="BH13" s="214">
        <f>BC13/SUM(BC$3:BC210)</f>
      </c>
      <c r="BI13" s="217">
        <f>BC13/'R&amp;H Portfolio'!Q$10</f>
      </c>
      <c r="BJ13" s="215">
        <f>BF13*P13</f>
      </c>
      <c r="BK13" s="73"/>
      <c r="BL13" s="220">
        <f>IF(BJ13="YES", BC13, "")</f>
      </c>
      <c r="BM13" s="3"/>
    </row>
    <row x14ac:dyDescent="0.25" r="14" customHeight="1" ht="19.5">
      <c r="A14" s="202">
        <v>25568.79196759259</v>
      </c>
      <c r="B14" s="203" t="s">
        <v>179</v>
      </c>
      <c r="C14" s="70" t="s">
        <v>180</v>
      </c>
      <c r="D14" s="70" t="s">
        <v>181</v>
      </c>
      <c r="E14" s="70" t="s">
        <v>182</v>
      </c>
      <c r="F14" s="70" t="s">
        <v>183</v>
      </c>
      <c r="G14" s="205">
        <v>581</v>
      </c>
      <c r="H14" s="206">
        <v>1.28</v>
      </c>
      <c r="I14" s="207">
        <v>0.05</v>
      </c>
      <c r="J14" s="208">
        <f>H14+I14</f>
      </c>
      <c r="K14" s="209">
        <v>20000</v>
      </c>
      <c r="L14" s="58">
        <f>K14*I14</f>
      </c>
      <c r="M14" s="58">
        <f>K14*J14</f>
      </c>
      <c r="N14" s="210">
        <v>210</v>
      </c>
      <c r="O14" s="16"/>
      <c r="P14" s="211">
        <f>IF(ISBLANK(N14),O14/4.3,N14/20)</f>
      </c>
      <c r="Q14" s="209">
        <v>3000</v>
      </c>
      <c r="R14" s="212" t="s">
        <v>133</v>
      </c>
      <c r="S14" s="209"/>
      <c r="T14" s="213">
        <f>IF(ISBLANK(R14),0,X14)</f>
      </c>
      <c r="U14" s="213">
        <f>IF(ISBLANK(S14),0,X14)</f>
      </c>
      <c r="V14" s="214">
        <f>IFERROR(Q14/K14,0)</f>
      </c>
      <c r="W14" s="58">
        <f>IFERROR(L14*V14,0)</f>
      </c>
      <c r="X14" s="213">
        <f>IFERROR(Q14+W14,0)</f>
      </c>
      <c r="Y14" s="213">
        <f>IFERROR(M14*V14,0)</f>
      </c>
      <c r="Z14" s="213">
        <f>Y14-(Y14*$B$1)</f>
      </c>
      <c r="AA14" s="67">
        <f>IFERROR(Z14/X14,"")</f>
      </c>
      <c r="AB14" s="215">
        <f>IF(ISBLANK(N14),Y14/O14,Y14/N14)</f>
      </c>
      <c r="AC14" s="215">
        <f>IFERROR(-1*(AB14*B$1),0)</f>
      </c>
      <c r="AD14" s="215">
        <f>IFERROR(SUM(AB14:AC14),0)</f>
      </c>
      <c r="AE14" s="215">
        <f>IF(ISBLANK(N14),AD14,AD14*5)</f>
      </c>
      <c r="AF14" s="216">
        <f>SUM(AG14:BC14)</f>
      </c>
      <c r="AG14" s="207"/>
      <c r="AH14" s="207"/>
      <c r="AI14" s="207"/>
      <c r="AJ14" s="207"/>
      <c r="AK14" s="207"/>
      <c r="AL14" s="207"/>
      <c r="AM14" s="207">
        <v>55.29</v>
      </c>
      <c r="AN14" s="207">
        <v>92.15</v>
      </c>
      <c r="AO14" s="207">
        <v>73.72</v>
      </c>
      <c r="AP14" s="207">
        <v>64.51</v>
      </c>
      <c r="AQ14" s="207">
        <v>46.08</v>
      </c>
      <c r="AR14" s="207">
        <v>46.08</v>
      </c>
      <c r="AS14" s="207">
        <v>64.50999999999999</v>
      </c>
      <c r="AT14" s="207">
        <v>55.29</v>
      </c>
      <c r="AU14" s="207">
        <v>36.87</v>
      </c>
      <c r="AV14" s="207">
        <v>27.64</v>
      </c>
      <c r="AW14" s="207"/>
      <c r="AX14" s="207">
        <v>92.16</v>
      </c>
      <c r="AY14" s="207">
        <v>92.15</v>
      </c>
      <c r="AZ14" s="207">
        <v>18.43</v>
      </c>
      <c r="BA14" s="207">
        <v>73.72</v>
      </c>
      <c r="BB14" s="207">
        <v>55.29</v>
      </c>
      <c r="BC14" s="188">
        <v>92.16</v>
      </c>
      <c r="BD14" s="215">
        <f>Z14-AF14</f>
      </c>
      <c r="BE14" s="214">
        <f>IFERROR(AF14/Z14,0)</f>
      </c>
      <c r="BF14" s="214">
        <f>IFERROR(AF14/X14,0)</f>
      </c>
      <c r="BG14" s="214">
        <f>X14/SUM(X$14:X$17)</f>
      </c>
      <c r="BH14" s="214">
        <f>BC14/SUM(BC$3:BC211)</f>
      </c>
      <c r="BI14" s="217">
        <f>BC14/'R&amp;H Portfolio'!Q$10</f>
      </c>
      <c r="BJ14" s="215">
        <f>BF14*P14</f>
      </c>
      <c r="BK14" s="73"/>
      <c r="BL14" s="220">
        <f>IF(BJ14="YES", BC14, "")</f>
      </c>
      <c r="BM14" s="3"/>
    </row>
    <row x14ac:dyDescent="0.25" r="15" customHeight="1" ht="19.5">
      <c r="A15" s="202">
        <v>25568.79196759259</v>
      </c>
      <c r="B15" s="203" t="s">
        <v>184</v>
      </c>
      <c r="C15" s="204" t="s">
        <v>185</v>
      </c>
      <c r="D15" s="70" t="s">
        <v>186</v>
      </c>
      <c r="E15" s="70" t="s">
        <v>187</v>
      </c>
      <c r="F15" s="70" t="s">
        <v>132</v>
      </c>
      <c r="G15" s="205">
        <v>605</v>
      </c>
      <c r="H15" s="206">
        <v>1.34</v>
      </c>
      <c r="I15" s="207">
        <v>0.12</v>
      </c>
      <c r="J15" s="208">
        <f>H15+I15</f>
      </c>
      <c r="K15" s="209">
        <v>75000</v>
      </c>
      <c r="L15" s="58">
        <f>K15*I15</f>
      </c>
      <c r="M15" s="58">
        <f>K15*J15</f>
      </c>
      <c r="N15" s="16"/>
      <c r="O15" s="210">
        <v>34</v>
      </c>
      <c r="P15" s="211">
        <f>IF(ISBLANK(N15),O15/4.3,N15/20)</f>
      </c>
      <c r="Q15" s="209">
        <v>6000</v>
      </c>
      <c r="R15" s="212" t="s">
        <v>133</v>
      </c>
      <c r="S15" s="209"/>
      <c r="T15" s="213">
        <f>IF(ISBLANK(R15),0,X15)</f>
      </c>
      <c r="U15" s="213">
        <f>IF(ISBLANK(S15),0,X15)</f>
      </c>
      <c r="V15" s="214">
        <f>IFERROR(Q15/K15,0)</f>
      </c>
      <c r="W15" s="58">
        <f>IFERROR(L15*V15,0)</f>
      </c>
      <c r="X15" s="213">
        <f>IFERROR(Q15+W15,0)</f>
      </c>
      <c r="Y15" s="213">
        <f>IFERROR(M15*V15,0)</f>
      </c>
      <c r="Z15" s="213">
        <f>Y15-(Y15*$B$1)</f>
      </c>
      <c r="AA15" s="67">
        <f>IFERROR(Z15/X15,"")</f>
      </c>
      <c r="AB15" s="215">
        <f>IF(ISBLANK(N15),Y15/O15,Y15/N15)</f>
      </c>
      <c r="AC15" s="215">
        <f>IFERROR(-1*(AB15*B$1),0)</f>
      </c>
      <c r="AD15" s="215">
        <f>IFERROR(SUM(AB15:AC15),0)</f>
      </c>
      <c r="AE15" s="215">
        <f>IF(ISBLANK(N15),AD15,AD15*5)</f>
      </c>
      <c r="AF15" s="216">
        <f>SUM(AG15:BC15)</f>
      </c>
      <c r="AG15" s="207"/>
      <c r="AH15" s="207"/>
      <c r="AI15" s="207"/>
      <c r="AJ15" s="207"/>
      <c r="AK15" s="207"/>
      <c r="AL15" s="207"/>
      <c r="AM15" s="207"/>
      <c r="AN15" s="207">
        <v>249.91</v>
      </c>
      <c r="AO15" s="207">
        <v>249.92</v>
      </c>
      <c r="AP15" s="207">
        <v>249.92</v>
      </c>
      <c r="AQ15" s="207">
        <v>249.92</v>
      </c>
      <c r="AR15" s="207">
        <v>249.91</v>
      </c>
      <c r="AS15" s="207">
        <v>249.92</v>
      </c>
      <c r="AT15" s="207">
        <v>249.92</v>
      </c>
      <c r="AU15" s="207">
        <v>124.96</v>
      </c>
      <c r="AV15" s="207">
        <v>124.96</v>
      </c>
      <c r="AW15" s="207">
        <v>124.96</v>
      </c>
      <c r="AX15" s="207">
        <v>124.96</v>
      </c>
      <c r="AY15" s="207">
        <v>124.95</v>
      </c>
      <c r="AZ15" s="207">
        <v>124.96</v>
      </c>
      <c r="BA15" s="207">
        <v>124.96</v>
      </c>
      <c r="BB15" s="207">
        <v>124.96</v>
      </c>
      <c r="BC15" s="188"/>
      <c r="BD15" s="215">
        <f>Z15-AF15</f>
      </c>
      <c r="BE15" s="214">
        <f>IFERROR(AF15/Z15,0)</f>
      </c>
      <c r="BF15" s="214">
        <f>IFERROR(AF15/X15,0)</f>
      </c>
      <c r="BG15" s="214">
        <f>X15/SUM(X$14:X$17)</f>
      </c>
      <c r="BH15" s="214">
        <f>BC15/SUM(BC$3:BC212)</f>
      </c>
      <c r="BI15" s="217">
        <f>BC15/'R&amp;H Portfolio'!Q$10</f>
      </c>
      <c r="BJ15" s="215">
        <f>BF15*P15</f>
      </c>
      <c r="BK15" s="73"/>
      <c r="BL15" s="220">
        <f>IF(BJ15="YES", BC15, "")</f>
      </c>
      <c r="BM15" s="3"/>
    </row>
    <row x14ac:dyDescent="0.25" r="16" customHeight="1" ht="19.5">
      <c r="A16" s="202">
        <v>25568.79196759259</v>
      </c>
      <c r="B16" s="203" t="s">
        <v>188</v>
      </c>
      <c r="C16" s="204" t="s">
        <v>189</v>
      </c>
      <c r="D16" s="70" t="s">
        <v>190</v>
      </c>
      <c r="E16" s="70" t="s">
        <v>191</v>
      </c>
      <c r="F16" s="70" t="s">
        <v>192</v>
      </c>
      <c r="G16" s="205">
        <v>680</v>
      </c>
      <c r="H16" s="206">
        <v>1.3</v>
      </c>
      <c r="I16" s="207">
        <v>0.12</v>
      </c>
      <c r="J16" s="208">
        <f>H16+I16</f>
      </c>
      <c r="K16" s="209">
        <v>35000</v>
      </c>
      <c r="L16" s="58">
        <f>K16*I16</f>
      </c>
      <c r="M16" s="58">
        <f>K16*J16</f>
      </c>
      <c r="N16" s="210">
        <v>160</v>
      </c>
      <c r="O16" s="16"/>
      <c r="P16" s="211">
        <f>IF(ISBLANK(N16),O16/4.3,N16/20)</f>
      </c>
      <c r="Q16" s="209">
        <v>3500</v>
      </c>
      <c r="R16" s="209"/>
      <c r="S16" s="212" t="s">
        <v>82</v>
      </c>
      <c r="T16" s="213">
        <f>IF(ISBLANK(R16),0,X16)</f>
      </c>
      <c r="U16" s="213">
        <f>IF(ISBLANK(S16),0,X16)</f>
      </c>
      <c r="V16" s="214">
        <f>IFERROR(Q16/K16,0)</f>
      </c>
      <c r="W16" s="58">
        <f>IFERROR(L16*V16,0)</f>
      </c>
      <c r="X16" s="213">
        <f>IFERROR(Q16+W16,0)</f>
      </c>
      <c r="Y16" s="213">
        <f>IFERROR(M16*V16,0)</f>
      </c>
      <c r="Z16" s="213">
        <f>Y16-(Y16*$B$1)</f>
      </c>
      <c r="AA16" s="67">
        <f>IFERROR(Z16/X16,"")</f>
      </c>
      <c r="AB16" s="215">
        <f>IF(ISBLANK(N16),Y16/O16,Y16/N16)</f>
      </c>
      <c r="AC16" s="215">
        <f>IFERROR(-1*(AB16*B$1),0)</f>
      </c>
      <c r="AD16" s="215">
        <f>IFERROR(SUM(AB16:AC16),0)</f>
      </c>
      <c r="AE16" s="215">
        <f>IF(ISBLANK(N16),AD16,AD16*5)</f>
      </c>
      <c r="AF16" s="216">
        <f>SUM(AG16:BC16)</f>
      </c>
      <c r="AG16" s="207"/>
      <c r="AH16" s="207"/>
      <c r="AI16" s="207"/>
      <c r="AJ16" s="207"/>
      <c r="AK16" s="207"/>
      <c r="AL16" s="207"/>
      <c r="AM16" s="207">
        <v>30.13</v>
      </c>
      <c r="AN16" s="207">
        <v>150.65</v>
      </c>
      <c r="AO16" s="207">
        <v>120.53</v>
      </c>
      <c r="AP16" s="207">
        <v>105.46</v>
      </c>
      <c r="AQ16" s="207">
        <v>75.33000000000001</v>
      </c>
      <c r="AR16" s="207">
        <v>75.33000000000001</v>
      </c>
      <c r="AS16" s="207">
        <v>75.33000000000001</v>
      </c>
      <c r="AT16" s="207">
        <v>75.33000000000001</v>
      </c>
      <c r="AU16" s="207">
        <v>60.26000000000001</v>
      </c>
      <c r="AV16" s="207">
        <v>75.33</v>
      </c>
      <c r="AW16" s="207">
        <v>75.33</v>
      </c>
      <c r="AX16" s="207">
        <v>75.33</v>
      </c>
      <c r="AY16" s="207">
        <v>75.33</v>
      </c>
      <c r="AZ16" s="207">
        <v>60.27</v>
      </c>
      <c r="BA16" s="207">
        <v>44.19</v>
      </c>
      <c r="BB16" s="207">
        <v>29.1</v>
      </c>
      <c r="BC16" s="188"/>
      <c r="BD16" s="215">
        <f>Z16-AF16</f>
      </c>
      <c r="BE16" s="214">
        <f>IFERROR(AF16/Y16,0)</f>
      </c>
      <c r="BF16" s="214">
        <f>IFERROR(AF16/X16,0)</f>
      </c>
      <c r="BG16" s="214">
        <f>X16/SUM(X$14:X$17)</f>
      </c>
      <c r="BH16" s="214">
        <f>BC16/SUM(BC$3:BC213)</f>
      </c>
      <c r="BI16" s="217">
        <f>BC16/'R&amp;H Portfolio'!Q$10</f>
      </c>
      <c r="BJ16" s="215">
        <f>BF16*P16</f>
      </c>
      <c r="BK16" s="73"/>
      <c r="BL16" s="220">
        <f>IF(BJ16="YES", BC16, "")</f>
      </c>
      <c r="BM16" s="3"/>
    </row>
    <row x14ac:dyDescent="0.25" r="17" customHeight="1" ht="19.5">
      <c r="A17" s="223">
        <v>25568.79196759259</v>
      </c>
      <c r="B17" s="224" t="s">
        <v>193</v>
      </c>
      <c r="C17" s="225" t="s">
        <v>194</v>
      </c>
      <c r="D17" s="226" t="s">
        <v>195</v>
      </c>
      <c r="E17" s="226" t="s">
        <v>196</v>
      </c>
      <c r="F17" s="226" t="s">
        <v>197</v>
      </c>
      <c r="G17" s="245">
        <v>589</v>
      </c>
      <c r="H17" s="228">
        <v>1.34</v>
      </c>
      <c r="I17" s="229">
        <v>0.06</v>
      </c>
      <c r="J17" s="230">
        <f>H17+I17</f>
      </c>
      <c r="K17" s="231">
        <v>30000</v>
      </c>
      <c r="L17" s="232">
        <f>K17*I17</f>
      </c>
      <c r="M17" s="232">
        <f>K17*J17</f>
      </c>
      <c r="N17" s="233"/>
      <c r="O17" s="233">
        <v>36</v>
      </c>
      <c r="P17" s="234">
        <f>IF(ISBLANK(N17),O17/4.3,N17/20)</f>
      </c>
      <c r="Q17" s="231">
        <v>3000</v>
      </c>
      <c r="R17" s="246" t="s">
        <v>133</v>
      </c>
      <c r="S17" s="231"/>
      <c r="T17" s="239">
        <f>IF(ISBLANK(R17),0,X17)</f>
      </c>
      <c r="U17" s="239">
        <f>IF(ISBLANK(S17),0,X17)</f>
      </c>
      <c r="V17" s="238">
        <f>IFERROR(Q17/K17,0)</f>
      </c>
      <c r="W17" s="232">
        <f>IFERROR(L17*V17,0)</f>
      </c>
      <c r="X17" s="239">
        <f>IFERROR(Q17+W17,0)</f>
      </c>
      <c r="Y17" s="239">
        <f>IFERROR(M17*V17,0)</f>
      </c>
      <c r="Z17" s="239">
        <f>Y17-(Y17*$B$1)</f>
      </c>
      <c r="AA17" s="240">
        <f>IFERROR(Z17/X17,"")</f>
      </c>
      <c r="AB17" s="241">
        <f>IF(ISBLANK(N17),Y17/O17,Y17/N17)</f>
      </c>
      <c r="AC17" s="241">
        <f>IFERROR(-1*(AB17*B$1),0)</f>
      </c>
      <c r="AD17" s="241">
        <f>IFERROR(SUM(AB17:AC17),0)</f>
      </c>
      <c r="AE17" s="241">
        <f>IF(ISBLANK(N17),AD17,AD17*5)</f>
      </c>
      <c r="AF17" s="242">
        <f>SUM(AG17:BC17)</f>
      </c>
      <c r="AG17" s="229"/>
      <c r="AH17" s="229"/>
      <c r="AI17" s="229"/>
      <c r="AJ17" s="229"/>
      <c r="AK17" s="229"/>
      <c r="AL17" s="229"/>
      <c r="AM17" s="229"/>
      <c r="AN17" s="229">
        <v>113.16</v>
      </c>
      <c r="AO17" s="229">
        <v>113.17</v>
      </c>
      <c r="AP17" s="229">
        <v>113.17</v>
      </c>
      <c r="AQ17" s="229">
        <v>113.16</v>
      </c>
      <c r="AR17" s="229">
        <v>113.17</v>
      </c>
      <c r="AS17" s="229">
        <v>113.17</v>
      </c>
      <c r="AT17" s="229">
        <v>113.16</v>
      </c>
      <c r="AU17" s="229">
        <v>113.17</v>
      </c>
      <c r="AV17" s="229">
        <v>113.17</v>
      </c>
      <c r="AW17" s="229">
        <v>113.16</v>
      </c>
      <c r="AX17" s="229">
        <v>113.17</v>
      </c>
      <c r="AY17" s="229">
        <v>113.17</v>
      </c>
      <c r="AZ17" s="229">
        <v>113.17</v>
      </c>
      <c r="BA17" s="229">
        <v>113.16</v>
      </c>
      <c r="BB17" s="229">
        <v>113.17</v>
      </c>
      <c r="BC17" s="188"/>
      <c r="BD17" s="241">
        <f>Z17-AF17</f>
      </c>
      <c r="BE17" s="238">
        <f>IFERROR(AF17/Y17,0)</f>
      </c>
      <c r="BF17" s="238">
        <f>IFERROR(AF17/X17,0)</f>
      </c>
      <c r="BG17" s="238">
        <f>X17/SUM(X$14:X$17)</f>
      </c>
      <c r="BH17" s="238">
        <f>BC17/SUM(BC$3:BC214)</f>
      </c>
      <c r="BI17" s="217">
        <f>BC17/'R&amp;H Portfolio'!Q$10</f>
      </c>
      <c r="BJ17" s="241">
        <f>BF17*P17</f>
      </c>
      <c r="BK17" s="218"/>
      <c r="BL17" s="219">
        <f>IF(BJ17="YES", BC17, "")</f>
      </c>
      <c r="BM17" s="3"/>
    </row>
    <row x14ac:dyDescent="0.25" r="18" customHeight="1" ht="19.5">
      <c r="A18" s="202">
        <v>25568.79196759259</v>
      </c>
      <c r="B18" s="203" t="s">
        <v>198</v>
      </c>
      <c r="C18" s="204" t="s">
        <v>199</v>
      </c>
      <c r="D18" s="70" t="s">
        <v>200</v>
      </c>
      <c r="E18" s="70" t="s">
        <v>201</v>
      </c>
      <c r="F18" s="70" t="s">
        <v>132</v>
      </c>
      <c r="G18" s="205">
        <v>685</v>
      </c>
      <c r="H18" s="206">
        <v>1.32</v>
      </c>
      <c r="I18" s="207">
        <v>0.08</v>
      </c>
      <c r="J18" s="208">
        <f>H18+I18</f>
      </c>
      <c r="K18" s="209">
        <v>60000</v>
      </c>
      <c r="L18" s="58">
        <f>K18*I18</f>
      </c>
      <c r="M18" s="58">
        <f>K18*J18</f>
      </c>
      <c r="N18" s="16"/>
      <c r="O18" s="210">
        <v>38</v>
      </c>
      <c r="P18" s="211">
        <f>IF(ISBLANK(N18),O18/4.3,N18/20)</f>
      </c>
      <c r="Q18" s="209">
        <v>6000</v>
      </c>
      <c r="R18" s="212" t="s">
        <v>133</v>
      </c>
      <c r="S18" s="209"/>
      <c r="T18" s="213">
        <f>IF(ISBLANK(R18),0,X18)</f>
      </c>
      <c r="U18" s="213">
        <f>IF(ISBLANK(S18),0,X18)</f>
      </c>
      <c r="V18" s="214">
        <f>IFERROR(Q18/K18,0)</f>
      </c>
      <c r="W18" s="58">
        <f>IFERROR(L18*V18,0)</f>
      </c>
      <c r="X18" s="213">
        <f>IFERROR(Q18+W18,0)</f>
      </c>
      <c r="Y18" s="213">
        <f>IFERROR(M18*V18,0)</f>
      </c>
      <c r="Z18" s="213">
        <f>Y18-(Y18*$B$1)</f>
      </c>
      <c r="AA18" s="67">
        <f>IFERROR(Z18/X18,"")</f>
      </c>
      <c r="AB18" s="215">
        <f>IF(ISBLANK(N18),Y18/O18,Y18/N18)</f>
      </c>
      <c r="AC18" s="215">
        <f>IFERROR(-1*(AB18*B$1),0)</f>
      </c>
      <c r="AD18" s="215">
        <f>IFERROR(SUM(AB18:AC18),0)</f>
      </c>
      <c r="AE18" s="215">
        <f>IF(ISBLANK(N18),AD18,AD18*5)</f>
      </c>
      <c r="AF18" s="216">
        <f>SUM(AG18:BC18)</f>
      </c>
      <c r="AG18" s="207"/>
      <c r="AH18" s="207"/>
      <c r="AI18" s="207"/>
      <c r="AJ18" s="207"/>
      <c r="AK18" s="207"/>
      <c r="AL18" s="207"/>
      <c r="AM18" s="207"/>
      <c r="AN18" s="207"/>
      <c r="AO18" s="207">
        <v>214.42</v>
      </c>
      <c r="AP18" s="207">
        <v>214.42</v>
      </c>
      <c r="AQ18" s="207">
        <v>214.42</v>
      </c>
      <c r="AR18" s="207">
        <v>214.42</v>
      </c>
      <c r="AS18" s="207">
        <v>214.42</v>
      </c>
      <c r="AT18" s="207">
        <v>214.42</v>
      </c>
      <c r="AU18" s="207">
        <v>214.42</v>
      </c>
      <c r="AV18" s="207">
        <v>214.43</v>
      </c>
      <c r="AW18" s="207">
        <v>214.42</v>
      </c>
      <c r="AX18" s="207">
        <v>214.42</v>
      </c>
      <c r="AY18" s="207">
        <v>214.42</v>
      </c>
      <c r="AZ18" s="207">
        <v>214.42</v>
      </c>
      <c r="BA18" s="207">
        <v>214.42</v>
      </c>
      <c r="BB18" s="207">
        <v>214.42</v>
      </c>
      <c r="BC18" s="188"/>
      <c r="BD18" s="215">
        <f>Z18-AF18</f>
      </c>
      <c r="BE18" s="238">
        <f>IFERROR(AF18/Y18,0)</f>
      </c>
      <c r="BF18" s="214">
        <f>IFERROR(AF18/X18,0)</f>
      </c>
      <c r="BG18" s="214">
        <f>X18/SUM(X$18:X$33)</f>
      </c>
      <c r="BH18" s="214">
        <f>BC18/SUM(BC$3:BC215)</f>
      </c>
      <c r="BI18" s="217">
        <f>BC18/'R&amp;H Portfolio'!Q$10</f>
      </c>
      <c r="BJ18" s="215">
        <f>BF18*P18</f>
      </c>
      <c r="BK18" s="73"/>
      <c r="BL18" s="220">
        <f>IF(BJ18="YES", BC18, "")</f>
      </c>
      <c r="BM18" s="3"/>
    </row>
    <row x14ac:dyDescent="0.25" r="19" customHeight="1" ht="19.5">
      <c r="A19" s="202">
        <v>25568.79196759259</v>
      </c>
      <c r="B19" s="203" t="s">
        <v>202</v>
      </c>
      <c r="C19" s="204" t="s">
        <v>203</v>
      </c>
      <c r="D19" s="70" t="s">
        <v>204</v>
      </c>
      <c r="E19" s="70" t="s">
        <v>205</v>
      </c>
      <c r="F19" s="70" t="s">
        <v>206</v>
      </c>
      <c r="G19" s="205">
        <v>702</v>
      </c>
      <c r="H19" s="206">
        <v>1.3</v>
      </c>
      <c r="I19" s="207">
        <v>0.1</v>
      </c>
      <c r="J19" s="208">
        <f>H19+I19</f>
      </c>
      <c r="K19" s="209">
        <v>70000</v>
      </c>
      <c r="L19" s="58">
        <f>K19*I19</f>
      </c>
      <c r="M19" s="58">
        <f>K19*J19</f>
      </c>
      <c r="N19" s="16"/>
      <c r="O19" s="210">
        <v>32</v>
      </c>
      <c r="P19" s="211">
        <f>IF(ISBLANK(N19),O19/4.3,N19/20)</f>
      </c>
      <c r="Q19" s="209">
        <v>7000</v>
      </c>
      <c r="R19" s="212" t="s">
        <v>133</v>
      </c>
      <c r="S19" s="209"/>
      <c r="T19" s="213">
        <f>IF(ISBLANK(R19),0,X19)</f>
      </c>
      <c r="U19" s="213">
        <f>IF(ISBLANK(S19),0,X19)</f>
      </c>
      <c r="V19" s="214">
        <f>IFERROR(Q19/K19,0)</f>
      </c>
      <c r="W19" s="58">
        <f>IFERROR(L19*V19,0)</f>
      </c>
      <c r="X19" s="213">
        <f>IFERROR(Q19+W19,0)</f>
      </c>
      <c r="Y19" s="213">
        <f>IFERROR(M19*V19,0)</f>
      </c>
      <c r="Z19" s="213">
        <f>Y19-(Y19*$B$1)</f>
      </c>
      <c r="AA19" s="67">
        <f>IFERROR(Z19/X19,"")</f>
      </c>
      <c r="AB19" s="215">
        <f>IFERROR(IF(ISBLANK(N19),Y19/O19,Y19/N19),0)</f>
      </c>
      <c r="AC19" s="215">
        <f>IFERROR(-1*(AB19*B$1),0)</f>
      </c>
      <c r="AD19" s="215">
        <f>IFERROR(SUM(AB19:AC19),0)</f>
      </c>
      <c r="AE19" s="215">
        <f>IF(ISBLANK(N19),AD19,AD19*5)</f>
      </c>
      <c r="AF19" s="216">
        <f>SUM(AG19:BC19)</f>
      </c>
      <c r="AG19" s="207"/>
      <c r="AH19" s="207"/>
      <c r="AI19" s="207"/>
      <c r="AJ19" s="207"/>
      <c r="AK19" s="207"/>
      <c r="AL19" s="207"/>
      <c r="AM19" s="207"/>
      <c r="AN19" s="207"/>
      <c r="AO19" s="207"/>
      <c r="AP19" s="207">
        <v>297.06</v>
      </c>
      <c r="AQ19" s="207">
        <v>297.06</v>
      </c>
      <c r="AR19" s="207">
        <v>297.06</v>
      </c>
      <c r="AS19" s="207">
        <v>297.07</v>
      </c>
      <c r="AT19" s="207">
        <v>297.06</v>
      </c>
      <c r="AU19" s="207">
        <v>297.06</v>
      </c>
      <c r="AV19" s="207">
        <v>297.06</v>
      </c>
      <c r="AW19" s="207">
        <v>297.06</v>
      </c>
      <c r="AX19" s="207">
        <v>297.06</v>
      </c>
      <c r="AY19" s="207">
        <v>297.06</v>
      </c>
      <c r="AZ19" s="207">
        <v>297.06</v>
      </c>
      <c r="BA19" s="207">
        <v>271.6</v>
      </c>
      <c r="BB19" s="207"/>
      <c r="BC19" s="188"/>
      <c r="BD19" s="215">
        <f>Z19-AF19</f>
      </c>
      <c r="BE19" s="238">
        <f>IFERROR(AF19/Y19,0)</f>
      </c>
      <c r="BF19" s="214">
        <f>IFERROR(AF19/X19,0)</f>
      </c>
      <c r="BG19" s="214">
        <f>X19/SUM(X$18:X$33)</f>
      </c>
      <c r="BH19" s="214">
        <f>BC19/SUM(BC$3:BC216)</f>
      </c>
      <c r="BI19" s="217">
        <f>BC19/'R&amp;H Portfolio'!Q$10</f>
      </c>
      <c r="BJ19" s="215">
        <f>BF19*P19</f>
      </c>
      <c r="BK19" s="73"/>
      <c r="BL19" s="220">
        <f>IF(BJ19="YES", BC19, "")</f>
      </c>
      <c r="BM19" s="3"/>
    </row>
    <row x14ac:dyDescent="0.25" r="20" customHeight="1" ht="19.5">
      <c r="A20" s="202">
        <v>25568.79196759259</v>
      </c>
      <c r="B20" s="203" t="s">
        <v>207</v>
      </c>
      <c r="C20" s="204" t="s">
        <v>208</v>
      </c>
      <c r="D20" s="70" t="s">
        <v>209</v>
      </c>
      <c r="E20" s="70" t="s">
        <v>210</v>
      </c>
      <c r="F20" s="70" t="s">
        <v>160</v>
      </c>
      <c r="G20" s="205">
        <v>703</v>
      </c>
      <c r="H20" s="206">
        <v>1.31</v>
      </c>
      <c r="I20" s="207">
        <v>0.12</v>
      </c>
      <c r="J20" s="208">
        <f>H20+I20</f>
      </c>
      <c r="K20" s="209">
        <v>200000</v>
      </c>
      <c r="L20" s="58">
        <f>K20*I20</f>
      </c>
      <c r="M20" s="58">
        <f>K20*J20</f>
      </c>
      <c r="N20" s="16"/>
      <c r="O20" s="210">
        <v>39</v>
      </c>
      <c r="P20" s="211">
        <f>IF(ISBLANK(N20),O20/4.3,N20/20)</f>
      </c>
      <c r="Q20" s="209">
        <v>7000</v>
      </c>
      <c r="R20" s="212" t="s">
        <v>133</v>
      </c>
      <c r="S20" s="209"/>
      <c r="T20" s="213">
        <f>IF(ISBLANK(R20),0,X20)</f>
      </c>
      <c r="U20" s="213">
        <f>IF(ISBLANK(S20),0,X20)</f>
      </c>
      <c r="V20" s="214">
        <f>IFERROR(Q20/K20,0)</f>
      </c>
      <c r="W20" s="58">
        <f>IFERROR(L20*V20,0)</f>
      </c>
      <c r="X20" s="213">
        <f>IFERROR(Q20+W20,0)</f>
      </c>
      <c r="Y20" s="213">
        <f>IFERROR(M20*V20,0)</f>
      </c>
      <c r="Z20" s="213">
        <f>Y20-(Y20*$B$1)</f>
      </c>
      <c r="AA20" s="67">
        <f>IFERROR(Z20/X20,"")</f>
      </c>
      <c r="AB20" s="215">
        <f>IFERROR(IF(ISBLANK(N20),Y20/O20,Y20/N20),0)</f>
      </c>
      <c r="AC20" s="215">
        <f>IFERROR(-1*(AB20*B$1),0)</f>
      </c>
      <c r="AD20" s="215">
        <f>IFERROR(SUM(AB20:AC20),0)</f>
      </c>
      <c r="AE20" s="215">
        <f>IF(ISBLANK(N20),AD20,AD20*5)</f>
      </c>
      <c r="AF20" s="216">
        <f>SUM(AG20:BC20)</f>
      </c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>
        <v>228.45</v>
      </c>
      <c r="AR20" s="207">
        <v>228.45</v>
      </c>
      <c r="AS20" s="207">
        <v>456.9</v>
      </c>
      <c r="AT20" s="207"/>
      <c r="AU20" s="207">
        <v>228.45</v>
      </c>
      <c r="AV20" s="207">
        <v>228.45</v>
      </c>
      <c r="AW20" s="207">
        <v>228.45</v>
      </c>
      <c r="AX20" s="207">
        <v>228.45</v>
      </c>
      <c r="AY20" s="207"/>
      <c r="AZ20" s="207">
        <v>228.45</v>
      </c>
      <c r="BA20" s="207">
        <v>456.9</v>
      </c>
      <c r="BB20" s="207">
        <v>228.45</v>
      </c>
      <c r="BC20" s="188"/>
      <c r="BD20" s="215">
        <f>Z20-AF20</f>
      </c>
      <c r="BE20" s="238">
        <f>IFERROR(AF20/Y20,0)</f>
      </c>
      <c r="BF20" s="214">
        <f>IFERROR(AF20/X20,0)</f>
      </c>
      <c r="BG20" s="214">
        <f>X20/SUM(X$18:X$33)</f>
      </c>
      <c r="BH20" s="214">
        <f>BC20/SUM(BC$3:BC217)</f>
      </c>
      <c r="BI20" s="217">
        <f>BC20/'R&amp;H Portfolio'!Q$10</f>
      </c>
      <c r="BJ20" s="215">
        <f>BF20*P20</f>
      </c>
      <c r="BK20" s="73"/>
      <c r="BL20" s="220">
        <f>IF(BJ20="YES", BC20, "")</f>
      </c>
      <c r="BM20" s="3"/>
    </row>
    <row x14ac:dyDescent="0.25" r="21" customHeight="1" ht="19.5">
      <c r="A21" s="202">
        <v>25568.79196759259</v>
      </c>
      <c r="B21" s="203" t="s">
        <v>211</v>
      </c>
      <c r="C21" s="204" t="s">
        <v>212</v>
      </c>
      <c r="D21" s="70" t="s">
        <v>213</v>
      </c>
      <c r="E21" s="70" t="s">
        <v>144</v>
      </c>
      <c r="F21" s="70" t="s">
        <v>132</v>
      </c>
      <c r="G21" s="205">
        <v>644</v>
      </c>
      <c r="H21" s="206">
        <v>1.32</v>
      </c>
      <c r="I21" s="207">
        <v>0.12</v>
      </c>
      <c r="J21" s="208">
        <f>H21+I21</f>
      </c>
      <c r="K21" s="209">
        <v>85000</v>
      </c>
      <c r="L21" s="58">
        <f>K21*I21</f>
      </c>
      <c r="M21" s="58">
        <f>K21*J21</f>
      </c>
      <c r="N21" s="16"/>
      <c r="O21" s="210">
        <v>36</v>
      </c>
      <c r="P21" s="211">
        <f>IF(ISBLANK(N21),O21/4.3,N21/20)</f>
      </c>
      <c r="Q21" s="209">
        <v>8500</v>
      </c>
      <c r="R21" s="212" t="s">
        <v>133</v>
      </c>
      <c r="S21" s="3"/>
      <c r="T21" s="213">
        <f>IF(ISBLANK(R21),0,X21)</f>
      </c>
      <c r="U21" s="213">
        <f>IF(ISBLANK(S21),0,X21)</f>
      </c>
      <c r="V21" s="214">
        <f>IFERROR(Q21/K21,0)</f>
      </c>
      <c r="W21" s="58">
        <f>IFERROR(L21*V21,0)</f>
      </c>
      <c r="X21" s="213">
        <f>IFERROR(Q21+W21,0)</f>
      </c>
      <c r="Y21" s="213">
        <f>IFERROR(M21*V21,0)</f>
      </c>
      <c r="Z21" s="213">
        <f>Y21-(Y21*$B$1)</f>
      </c>
      <c r="AA21" s="67">
        <f>IFERROR(Z21/X21,"")</f>
      </c>
      <c r="AB21" s="215">
        <f>IFERROR(IF(ISBLANK(N21),Y21/O21,Y21/N21),0)</f>
      </c>
      <c r="AC21" s="215">
        <f>IFERROR(-1*(AB21*B$1),0)</f>
      </c>
      <c r="AD21" s="215">
        <f>IFERROR(SUM(AB21:AC21),0)</f>
      </c>
      <c r="AE21" s="215">
        <f>IF(ISBLANK(N21),AD21,AD21*5)</f>
      </c>
      <c r="AF21" s="216">
        <f>SUM(AG21:BC21)</f>
      </c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>
        <v>354.56</v>
      </c>
      <c r="AR21" s="207">
        <v>354.56</v>
      </c>
      <c r="AS21" s="207">
        <v>709.12</v>
      </c>
      <c r="AT21" s="207"/>
      <c r="AU21" s="207">
        <v>354.56</v>
      </c>
      <c r="AV21" s="207">
        <v>354.56</v>
      </c>
      <c r="AW21" s="207">
        <v>354.56</v>
      </c>
      <c r="AX21" s="207">
        <v>354.56</v>
      </c>
      <c r="AY21" s="207"/>
      <c r="AZ21" s="207">
        <v>354.57</v>
      </c>
      <c r="BA21" s="207">
        <v>709.12</v>
      </c>
      <c r="BB21" s="207">
        <v>354.56</v>
      </c>
      <c r="BC21" s="188"/>
      <c r="BD21" s="215">
        <f>Z21-AF21</f>
      </c>
      <c r="BE21" s="238">
        <f>IFERROR(AF21/Y21,0)</f>
      </c>
      <c r="BF21" s="214">
        <f>IFERROR(AF21/X21,0)</f>
      </c>
      <c r="BG21" s="214">
        <f>X21/SUM(X$18:X$33)</f>
      </c>
      <c r="BH21" s="214">
        <f>BC21/SUM(BC$3:BC218)</f>
      </c>
      <c r="BI21" s="217">
        <f>BC21/'R&amp;H Portfolio'!Q$10</f>
      </c>
      <c r="BJ21" s="215">
        <f>BF21*P21</f>
      </c>
      <c r="BK21" s="73"/>
      <c r="BL21" s="220">
        <f>IF(BJ21="YES", BC21, "")</f>
      </c>
      <c r="BM21" s="3"/>
    </row>
    <row x14ac:dyDescent="0.25" r="22" customHeight="1" ht="19.5">
      <c r="A22" s="202">
        <v>25568.79196759259</v>
      </c>
      <c r="B22" s="203" t="s">
        <v>214</v>
      </c>
      <c r="C22" s="204" t="s">
        <v>215</v>
      </c>
      <c r="D22" s="70" t="s">
        <v>216</v>
      </c>
      <c r="E22" s="70" t="s">
        <v>217</v>
      </c>
      <c r="F22" s="70" t="s">
        <v>218</v>
      </c>
      <c r="G22" s="205">
        <v>702</v>
      </c>
      <c r="H22" s="206">
        <v>1.27</v>
      </c>
      <c r="I22" s="207">
        <v>0.08</v>
      </c>
      <c r="J22" s="208">
        <f>H22+I22</f>
      </c>
      <c r="K22" s="209">
        <v>60000</v>
      </c>
      <c r="L22" s="58">
        <f>K22*I22</f>
      </c>
      <c r="M22" s="58">
        <f>K22*J22</f>
      </c>
      <c r="N22" s="16"/>
      <c r="O22" s="210">
        <v>28</v>
      </c>
      <c r="P22" s="211">
        <f>IF(ISBLANK(N22),O22/4.3,N22/20)</f>
      </c>
      <c r="Q22" s="209">
        <v>6000</v>
      </c>
      <c r="R22" s="212" t="s">
        <v>133</v>
      </c>
      <c r="S22" s="3"/>
      <c r="T22" s="213">
        <f>IF(ISBLANK(R22),0,X22)</f>
      </c>
      <c r="U22" s="213">
        <f>IF(ISBLANK(S22),0,X22)</f>
      </c>
      <c r="V22" s="214">
        <f>IFERROR(Q22/K22,0)</f>
      </c>
      <c r="W22" s="58">
        <f>IFERROR(L22*V22,0)</f>
      </c>
      <c r="X22" s="213">
        <f>IFERROR(Q22+W22,0)</f>
      </c>
      <c r="Y22" s="213">
        <f>IFERROR(M22*V22,0)</f>
      </c>
      <c r="Z22" s="213">
        <f>Y22-(Y22*$B$1)</f>
      </c>
      <c r="AA22" s="67">
        <f>IFERROR(Z22/X22,"")</f>
      </c>
      <c r="AB22" s="215">
        <f>IFERROR(IF(ISBLANK(N22),Y22/O22,Y22/N22),0)</f>
      </c>
      <c r="AC22" s="215">
        <f>IFERROR(-1*(AB22*B$1),0)</f>
      </c>
      <c r="AD22" s="215">
        <f>IFERROR(SUM(AB22:AC22),0)</f>
      </c>
      <c r="AE22" s="215">
        <f>IF(ISBLANK(N22),AD22,AD22*5)</f>
      </c>
      <c r="AF22" s="216">
        <f>SUM(AG22:BC22)</f>
      </c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>
        <v>277.8</v>
      </c>
      <c r="AR22" s="207">
        <v>277.8</v>
      </c>
      <c r="AS22" s="207">
        <v>277.8</v>
      </c>
      <c r="AT22" s="207">
        <v>277.8</v>
      </c>
      <c r="AU22" s="207">
        <v>277.8</v>
      </c>
      <c r="AV22" s="207"/>
      <c r="AW22" s="207"/>
      <c r="AX22" s="207">
        <v>1111.21</v>
      </c>
      <c r="AY22" s="207"/>
      <c r="AZ22" s="207"/>
      <c r="BA22" s="207"/>
      <c r="BB22" s="207"/>
      <c r="BC22" s="188"/>
      <c r="BD22" s="215">
        <f>Z22-AF22</f>
      </c>
      <c r="BE22" s="238">
        <f>IFERROR(AF22/Y22,0)</f>
      </c>
      <c r="BF22" s="214">
        <f>IFERROR(AF22/X22,0)</f>
      </c>
      <c r="BG22" s="214">
        <f>X22/SUM(X$18:X$33)</f>
      </c>
      <c r="BH22" s="214">
        <f>BC22/SUM(BC$3:BC219)</f>
      </c>
      <c r="BI22" s="217">
        <f>BC22/'R&amp;H Portfolio'!Q$10</f>
      </c>
      <c r="BJ22" s="215">
        <f>BF22*P22</f>
      </c>
      <c r="BK22" s="73"/>
      <c r="BL22" s="220">
        <f>IF(BJ22="YES", BC22, "")</f>
      </c>
      <c r="BM22" s="3"/>
    </row>
    <row x14ac:dyDescent="0.25" r="23" customHeight="1" ht="19.5">
      <c r="A23" s="202">
        <v>25568.79196759259</v>
      </c>
      <c r="B23" s="203" t="s">
        <v>219</v>
      </c>
      <c r="C23" s="204" t="s">
        <v>220</v>
      </c>
      <c r="D23" s="70" t="s">
        <v>221</v>
      </c>
      <c r="E23" s="70" t="s">
        <v>149</v>
      </c>
      <c r="F23" s="70" t="s">
        <v>218</v>
      </c>
      <c r="G23" s="205">
        <v>680</v>
      </c>
      <c r="H23" s="206">
        <v>1.34</v>
      </c>
      <c r="I23" s="207">
        <v>0.06</v>
      </c>
      <c r="J23" s="208">
        <f>H23+I23</f>
      </c>
      <c r="K23" s="209">
        <v>50000</v>
      </c>
      <c r="L23" s="58">
        <f>K23*I23</f>
      </c>
      <c r="M23" s="58">
        <f>K23*J23</f>
      </c>
      <c r="N23" s="16"/>
      <c r="O23" s="210">
        <v>36</v>
      </c>
      <c r="P23" s="211">
        <f>IF(ISBLANK(N23),O23/4.3,N23/20)</f>
      </c>
      <c r="Q23" s="209">
        <v>5000</v>
      </c>
      <c r="R23" s="212" t="s">
        <v>133</v>
      </c>
      <c r="S23" s="3"/>
      <c r="T23" s="213">
        <f>IF(ISBLANK(R23),0,X23)</f>
      </c>
      <c r="U23" s="213">
        <f>IF(ISBLANK(S23),0,X23)</f>
      </c>
      <c r="V23" s="214">
        <f>IFERROR(Q23/K23,0)</f>
      </c>
      <c r="W23" s="58">
        <f>IFERROR(L23*V23,0)</f>
      </c>
      <c r="X23" s="213">
        <f>IFERROR(Q23+W23,0)</f>
      </c>
      <c r="Y23" s="213">
        <f>IFERROR(M23*V23,0)</f>
      </c>
      <c r="Z23" s="213">
        <f>Y23-(Y23*$B$1)</f>
      </c>
      <c r="AA23" s="67">
        <f>IFERROR(Z23/X23,"")</f>
      </c>
      <c r="AB23" s="215">
        <f>IFERROR(IF(ISBLANK(N23),Y23/O23,Y23/N23),0)</f>
      </c>
      <c r="AC23" s="215">
        <f>IFERROR(-1*(AB23*B$1),0)</f>
      </c>
      <c r="AD23" s="215">
        <f>IFERROR(SUM(AB23:AC23),0)</f>
      </c>
      <c r="AE23" s="215">
        <f>IF(ISBLANK(N23),AD23,AD23*5)</f>
      </c>
      <c r="AF23" s="216">
        <f>SUM(AG23:BC23)</f>
      </c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>
        <v>186.72</v>
      </c>
      <c r="AR23" s="207">
        <v>186.72</v>
      </c>
      <c r="AS23" s="207">
        <v>186.73</v>
      </c>
      <c r="AT23" s="207">
        <v>186.72</v>
      </c>
      <c r="AU23" s="207">
        <v>186.73</v>
      </c>
      <c r="AV23" s="207">
        <v>186.72</v>
      </c>
      <c r="AW23" s="207">
        <v>186.73</v>
      </c>
      <c r="AX23" s="207">
        <v>186.72</v>
      </c>
      <c r="AY23" s="207">
        <v>186.73</v>
      </c>
      <c r="AZ23" s="207">
        <v>186.72</v>
      </c>
      <c r="BA23" s="207">
        <v>186.73</v>
      </c>
      <c r="BB23" s="207">
        <v>186.72</v>
      </c>
      <c r="BC23" s="188">
        <v>186.73</v>
      </c>
      <c r="BD23" s="215">
        <f>Z23-AF23</f>
      </c>
      <c r="BE23" s="238">
        <f>IFERROR(AF23/Y23,0)</f>
      </c>
      <c r="BF23" s="214">
        <f>IFERROR(AF23/X23,0)</f>
      </c>
      <c r="BG23" s="214">
        <f>X23/SUM(X$18:X$33)</f>
      </c>
      <c r="BH23" s="214">
        <f>BC23/SUM(BC$3:BC220)</f>
      </c>
      <c r="BI23" s="217">
        <f>BC23/'R&amp;H Portfolio'!Q$10</f>
      </c>
      <c r="BJ23" s="215">
        <f>BF23*P23</f>
      </c>
      <c r="BK23" s="73"/>
      <c r="BL23" s="220">
        <f>IF(BJ23="YES", BC23, "")</f>
      </c>
      <c r="BM23" s="3"/>
    </row>
    <row x14ac:dyDescent="0.25" r="24" customHeight="1" ht="19.5">
      <c r="A24" s="202">
        <v>25568.79196759259</v>
      </c>
      <c r="B24" s="203" t="s">
        <v>222</v>
      </c>
      <c r="C24" s="204" t="s">
        <v>223</v>
      </c>
      <c r="D24" s="70" t="s">
        <v>224</v>
      </c>
      <c r="E24" s="70" t="s">
        <v>225</v>
      </c>
      <c r="F24" s="70" t="s">
        <v>226</v>
      </c>
      <c r="G24" s="205">
        <v>737</v>
      </c>
      <c r="H24" s="206">
        <v>1.28</v>
      </c>
      <c r="I24" s="207">
        <v>0.1</v>
      </c>
      <c r="J24" s="208">
        <f>H24+I24</f>
      </c>
      <c r="K24" s="209">
        <v>200000</v>
      </c>
      <c r="L24" s="58">
        <f>K24*I24</f>
      </c>
      <c r="M24" s="58">
        <f>K24*J24</f>
      </c>
      <c r="N24" s="16"/>
      <c r="O24" s="210">
        <v>36</v>
      </c>
      <c r="P24" s="211">
        <f>IF(ISBLANK(N24),O24/4.3,N24/20)</f>
      </c>
      <c r="Q24" s="209">
        <v>10000</v>
      </c>
      <c r="R24" s="212" t="s">
        <v>133</v>
      </c>
      <c r="S24" s="3"/>
      <c r="T24" s="213">
        <f>IF(ISBLANK(R24),0,X24)</f>
      </c>
      <c r="U24" s="213">
        <f>IF(ISBLANK(S24),0,X24)</f>
      </c>
      <c r="V24" s="214">
        <f>IFERROR(Q24/K24,0)</f>
      </c>
      <c r="W24" s="58">
        <f>IFERROR(L24*V24,0)</f>
      </c>
      <c r="X24" s="213">
        <f>IFERROR(Q24+W24,0)</f>
      </c>
      <c r="Y24" s="213">
        <f>IFERROR(M24*V24,0)</f>
      </c>
      <c r="Z24" s="213">
        <f>Y24-(Y24*$B$1)</f>
      </c>
      <c r="AA24" s="67">
        <f>IFERROR(Z24/X24,"")</f>
      </c>
      <c r="AB24" s="215">
        <f>IFERROR(IF(ISBLANK(N24),Y24/O24,Y24/N24),0)</f>
      </c>
      <c r="AC24" s="215">
        <f>IFERROR(-1*(AB24*B$1),0)</f>
      </c>
      <c r="AD24" s="215">
        <f>IFERROR(SUM(AB24:AC24),0)</f>
      </c>
      <c r="AE24" s="215">
        <f>IF(ISBLANK(N24),AD24,AD24*5)</f>
      </c>
      <c r="AF24" s="216">
        <f>SUM(AG24:BC24)</f>
      </c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>
        <v>371.83</v>
      </c>
      <c r="AR24" s="207">
        <v>371.83</v>
      </c>
      <c r="AS24" s="207">
        <v>371.84</v>
      </c>
      <c r="AT24" s="207">
        <v>371.83</v>
      </c>
      <c r="AU24" s="207">
        <v>371.83</v>
      </c>
      <c r="AV24" s="207">
        <v>371.84</v>
      </c>
      <c r="AW24" s="207">
        <v>371.83</v>
      </c>
      <c r="AX24" s="207">
        <v>371.83</v>
      </c>
      <c r="AY24" s="207">
        <v>371.84</v>
      </c>
      <c r="AZ24" s="207">
        <v>371.83</v>
      </c>
      <c r="BA24" s="207">
        <v>371.83</v>
      </c>
      <c r="BB24" s="207">
        <v>371.84</v>
      </c>
      <c r="BC24" s="188"/>
      <c r="BD24" s="215">
        <f>Z24-AF24</f>
      </c>
      <c r="BE24" s="238">
        <f>IFERROR(AF24/Y24,0)</f>
      </c>
      <c r="BF24" s="214">
        <f>IFERROR(AF24/X24,0)</f>
      </c>
      <c r="BG24" s="214">
        <f>X24/SUM(X$18:X$33)</f>
      </c>
      <c r="BH24" s="214">
        <f>BC24/SUM(BC$3:BC221)</f>
      </c>
      <c r="BI24" s="217">
        <f>BC24/'R&amp;H Portfolio'!Q$10</f>
      </c>
      <c r="BJ24" s="215">
        <f>BF24*P24</f>
      </c>
      <c r="BK24" s="73"/>
      <c r="BL24" s="220">
        <f>IF(BJ24="YES", BC24, "")</f>
      </c>
      <c r="BM24" s="3"/>
    </row>
    <row x14ac:dyDescent="0.25" r="25" customHeight="1" ht="19.5">
      <c r="A25" s="202">
        <v>25568.79196759259</v>
      </c>
      <c r="B25" s="203" t="s">
        <v>227</v>
      </c>
      <c r="C25" s="204" t="s">
        <v>228</v>
      </c>
      <c r="D25" s="70" t="s">
        <v>229</v>
      </c>
      <c r="E25" s="70" t="s">
        <v>230</v>
      </c>
      <c r="F25" s="70" t="s">
        <v>155</v>
      </c>
      <c r="G25" s="205">
        <v>726</v>
      </c>
      <c r="H25" s="206">
        <v>1.34</v>
      </c>
      <c r="I25" s="207">
        <v>0.09</v>
      </c>
      <c r="J25" s="208">
        <f>H25+I25</f>
      </c>
      <c r="K25" s="209">
        <v>20000</v>
      </c>
      <c r="L25" s="58">
        <f>K25*I25</f>
      </c>
      <c r="M25" s="58">
        <f>K25*J25</f>
      </c>
      <c r="N25" s="210">
        <v>120</v>
      </c>
      <c r="O25" s="16"/>
      <c r="P25" s="211">
        <f>IF(ISBLANK(N25),O25/4.3,N25/20)</f>
      </c>
      <c r="Q25" s="209">
        <v>3000</v>
      </c>
      <c r="R25" s="3"/>
      <c r="S25" s="212" t="s">
        <v>82</v>
      </c>
      <c r="T25" s="213">
        <f>IF(ISBLANK(R25),0,X25)</f>
      </c>
      <c r="U25" s="213">
        <f>IF(ISBLANK(S25),0,X25)</f>
      </c>
      <c r="V25" s="214">
        <f>IFERROR(Q25/K25,0)</f>
      </c>
      <c r="W25" s="58">
        <f>IFERROR(L25*V25,0)</f>
      </c>
      <c r="X25" s="213">
        <f>IFERROR(Q25+W25,0)</f>
      </c>
      <c r="Y25" s="213">
        <f>IFERROR(M25*V25,0)</f>
      </c>
      <c r="Z25" s="213">
        <f>Y25-(Y25*$B$1)</f>
      </c>
      <c r="AA25" s="67">
        <f>IFERROR(Z25/X25,"")</f>
      </c>
      <c r="AB25" s="215">
        <f>IFERROR(IF(ISBLANK(N25),Y25/O25,Y25/N25),0)</f>
      </c>
      <c r="AC25" s="215">
        <f>IFERROR(-1*(AB25*B$1),0)</f>
      </c>
      <c r="AD25" s="215">
        <f>IFERROR(SUM(AB25:AC25),0)</f>
      </c>
      <c r="AE25" s="215">
        <f>IF(ISBLANK(N25),AD25,AD25*5)</f>
      </c>
      <c r="AF25" s="216">
        <f>SUM(AG25:BC25)</f>
      </c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>
        <v>138.7</v>
      </c>
      <c r="AR25" s="207">
        <v>173.39</v>
      </c>
      <c r="AS25" s="207">
        <v>173.38</v>
      </c>
      <c r="AT25" s="207">
        <v>173.39</v>
      </c>
      <c r="AU25" s="207">
        <v>138.71</v>
      </c>
      <c r="AV25" s="207">
        <v>173.38</v>
      </c>
      <c r="AW25" s="207">
        <v>173.39</v>
      </c>
      <c r="AX25" s="207">
        <v>173.38</v>
      </c>
      <c r="AY25" s="207">
        <v>121.37</v>
      </c>
      <c r="AZ25" s="207">
        <v>69.36</v>
      </c>
      <c r="BA25" s="207">
        <v>69.36</v>
      </c>
      <c r="BB25" s="207">
        <v>121.37</v>
      </c>
      <c r="BC25" s="188"/>
      <c r="BD25" s="215">
        <f>Z25-AF25</f>
      </c>
      <c r="BE25" s="238">
        <f>IFERROR(AF25/Y25,0)</f>
      </c>
      <c r="BF25" s="214">
        <f>IFERROR(AF25/X25,0)</f>
      </c>
      <c r="BG25" s="214">
        <f>X25/SUM(X$18:X$33)</f>
      </c>
      <c r="BH25" s="214">
        <f>BC25/SUM(BC$3:BC222)</f>
      </c>
      <c r="BI25" s="217">
        <f>BC25/'R&amp;H Portfolio'!Q$10</f>
      </c>
      <c r="BJ25" s="215">
        <f>BF25*P25</f>
      </c>
      <c r="BK25" s="73"/>
      <c r="BL25" s="220">
        <f>IF(BJ25="YES", BC25, "")</f>
      </c>
      <c r="BM25" s="3"/>
    </row>
    <row x14ac:dyDescent="0.25" r="26" customHeight="1" ht="19.5">
      <c r="A26" s="202">
        <v>25568.79196759259</v>
      </c>
      <c r="B26" s="203" t="s">
        <v>231</v>
      </c>
      <c r="C26" s="204" t="s">
        <v>232</v>
      </c>
      <c r="D26" s="70" t="s">
        <v>233</v>
      </c>
      <c r="E26" s="70" t="s">
        <v>234</v>
      </c>
      <c r="F26" s="70" t="s">
        <v>235</v>
      </c>
      <c r="G26" s="205">
        <v>621</v>
      </c>
      <c r="H26" s="206">
        <v>1.319</v>
      </c>
      <c r="I26" s="207">
        <v>0.1</v>
      </c>
      <c r="J26" s="208">
        <f>H26+I26</f>
      </c>
      <c r="K26" s="209">
        <v>156000</v>
      </c>
      <c r="L26" s="58">
        <f>K26*I26</f>
      </c>
      <c r="M26" s="58">
        <f>K26*J26</f>
      </c>
      <c r="N26" s="16"/>
      <c r="O26" s="210">
        <v>46</v>
      </c>
      <c r="P26" s="211">
        <f>IF(ISBLANK(N26),O26/4.3,N26/20)</f>
      </c>
      <c r="Q26" s="209">
        <v>6000</v>
      </c>
      <c r="R26" s="212" t="s">
        <v>133</v>
      </c>
      <c r="S26" s="3"/>
      <c r="T26" s="213">
        <f>IF(ISBLANK(R26),0,X26)</f>
      </c>
      <c r="U26" s="213">
        <f>IF(ISBLANK(S26),0,X26)</f>
      </c>
      <c r="V26" s="214">
        <f>IFERROR(Q26/K26,0)</f>
      </c>
      <c r="W26" s="58">
        <f>IFERROR(L26*V26,0)</f>
      </c>
      <c r="X26" s="213">
        <f>IFERROR(Q26+W26,0)</f>
      </c>
      <c r="Y26" s="213">
        <f>IFERROR(M26*V26,0)</f>
      </c>
      <c r="Z26" s="213">
        <f>Y26-(Y26*$B$1)</f>
      </c>
      <c r="AA26" s="67">
        <f>IFERROR(Z26/X26,"")</f>
      </c>
      <c r="AB26" s="215">
        <f>IFERROR(IF(ISBLANK(N26),Y26/O26,Y26/N26),0)</f>
      </c>
      <c r="AC26" s="215">
        <f>IFERROR(-1*(AB26*B$1),0)</f>
      </c>
      <c r="AD26" s="215">
        <f>IFERROR(SUM(AB26:AC26),0)</f>
      </c>
      <c r="AE26" s="215">
        <f>IF(ISBLANK(N26),AD26,AD26*5)</f>
      </c>
      <c r="AF26" s="216">
        <f>SUM(AG26:BC26)</f>
      </c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>
        <v>177.73</v>
      </c>
      <c r="AT26" s="207"/>
      <c r="AU26" s="207">
        <v>177.07</v>
      </c>
      <c r="AV26" s="207">
        <v>177.07</v>
      </c>
      <c r="AW26" s="207">
        <v>177.74</v>
      </c>
      <c r="AX26" s="207">
        <v>177.74</v>
      </c>
      <c r="AY26" s="207"/>
      <c r="AZ26" s="207">
        <v>177.73</v>
      </c>
      <c r="BA26" s="207">
        <v>355.48</v>
      </c>
      <c r="BB26" s="207">
        <v>177.74</v>
      </c>
      <c r="BC26" s="188"/>
      <c r="BD26" s="215">
        <f>Z26-AF26</f>
      </c>
      <c r="BE26" s="238">
        <f>IFERROR(AF26/Y26,0)</f>
      </c>
      <c r="BF26" s="214">
        <f>IFERROR(AF26/X26,0)</f>
      </c>
      <c r="BG26" s="214">
        <f>X26/SUM(X$18:X$33)</f>
      </c>
      <c r="BH26" s="214">
        <f>BC26/SUM(BC$3:BC223)</f>
      </c>
      <c r="BI26" s="217">
        <f>BC26/'R&amp;H Portfolio'!Q$10</f>
      </c>
      <c r="BJ26" s="215">
        <f>BF26*P26</f>
      </c>
      <c r="BK26" s="73"/>
      <c r="BL26" s="220">
        <f>IF(BJ26="YES", BC26, "")</f>
      </c>
      <c r="BM26" s="3"/>
    </row>
    <row x14ac:dyDescent="0.25" r="27" customHeight="1" ht="19.5">
      <c r="A27" s="202">
        <v>25568.79196759259</v>
      </c>
      <c r="B27" s="203" t="s">
        <v>236</v>
      </c>
      <c r="C27" s="204" t="s">
        <v>237</v>
      </c>
      <c r="D27" s="70" t="s">
        <v>238</v>
      </c>
      <c r="E27" s="70" t="s">
        <v>149</v>
      </c>
      <c r="F27" s="70" t="s">
        <v>226</v>
      </c>
      <c r="G27" s="205">
        <v>616</v>
      </c>
      <c r="H27" s="206">
        <v>1.34</v>
      </c>
      <c r="I27" s="207">
        <v>0.06</v>
      </c>
      <c r="J27" s="208">
        <f>H27+I27</f>
      </c>
      <c r="K27" s="209">
        <v>20000</v>
      </c>
      <c r="L27" s="58">
        <f>K27*I27</f>
      </c>
      <c r="M27" s="58">
        <f>K27*J27</f>
      </c>
      <c r="N27" s="210">
        <v>152</v>
      </c>
      <c r="O27" s="16"/>
      <c r="P27" s="211">
        <f>IF(ISBLANK(N27),O27/4.3,N27/20)</f>
      </c>
      <c r="Q27" s="209">
        <v>3000</v>
      </c>
      <c r="R27" s="212" t="s">
        <v>133</v>
      </c>
      <c r="S27" s="3"/>
      <c r="T27" s="213">
        <f>IF(ISBLANK(R27),0,X27)</f>
      </c>
      <c r="U27" s="213">
        <f>IF(ISBLANK(S27),0,X27)</f>
      </c>
      <c r="V27" s="214">
        <f>IFERROR(Q27/K27,0)</f>
      </c>
      <c r="W27" s="58">
        <f>IFERROR(L27*V27,0)</f>
      </c>
      <c r="X27" s="213">
        <f>IFERROR(Q27+W27,0)</f>
      </c>
      <c r="Y27" s="213">
        <f>IFERROR(M27*V27,0)</f>
      </c>
      <c r="Z27" s="213">
        <f>Y27-(Y27*$B$1)</f>
      </c>
      <c r="AA27" s="67">
        <f>IFERROR(Z27/X27,"")</f>
      </c>
      <c r="AB27" s="215">
        <f>IFERROR(IF(ISBLANK(N27),Y27/O27,Y27/N27),0)</f>
      </c>
      <c r="AC27" s="215">
        <f>IFERROR(-1*(AB27*B$1),0)</f>
      </c>
      <c r="AD27" s="215">
        <f>IFERROR(SUM(AB27:AC27),0)</f>
      </c>
      <c r="AE27" s="215">
        <f>IF(ISBLANK(N27),AD27,AD27*5)</f>
      </c>
      <c r="AF27" s="216">
        <f>SUM(AG27:BC27)</f>
      </c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>
        <v>53.6</v>
      </c>
      <c r="AS27" s="207">
        <v>134.01</v>
      </c>
      <c r="AT27" s="207">
        <v>134.02</v>
      </c>
      <c r="AU27" s="207">
        <v>107.21</v>
      </c>
      <c r="AV27" s="207">
        <v>134.01</v>
      </c>
      <c r="AW27" s="207">
        <v>134.01</v>
      </c>
      <c r="AX27" s="207">
        <v>134.01</v>
      </c>
      <c r="AY27" s="207">
        <v>134.02</v>
      </c>
      <c r="AZ27" s="207">
        <v>107.21</v>
      </c>
      <c r="BA27" s="207">
        <v>107.21</v>
      </c>
      <c r="BB27" s="207">
        <v>134.01</v>
      </c>
      <c r="BC27" s="188">
        <v>134.02</v>
      </c>
      <c r="BD27" s="215">
        <f>Z27-AF27</f>
      </c>
      <c r="BE27" s="238">
        <f>IFERROR(AF27/Y27,0)</f>
      </c>
      <c r="BF27" s="214">
        <f>IFERROR(AF27/X27,0)</f>
      </c>
      <c r="BG27" s="214">
        <f>X27/SUM(X$18:X$33)</f>
      </c>
      <c r="BH27" s="214">
        <f>BC27/SUM(BC$3:BC224)</f>
      </c>
      <c r="BI27" s="217">
        <f>BC27/'R&amp;H Portfolio'!Q$10</f>
      </c>
      <c r="BJ27" s="215">
        <f>BF27*P27</f>
      </c>
      <c r="BK27" s="73"/>
      <c r="BL27" s="220">
        <f>IF(BJ27="YES", BC27, "")</f>
      </c>
      <c r="BM27" s="3"/>
    </row>
    <row x14ac:dyDescent="0.25" r="28" customHeight="1" ht="19.5">
      <c r="A28" s="202">
        <v>25568.79196759259</v>
      </c>
      <c r="B28" s="203" t="s">
        <v>239</v>
      </c>
      <c r="C28" s="204" t="s">
        <v>240</v>
      </c>
      <c r="D28" s="70" t="s">
        <v>241</v>
      </c>
      <c r="E28" s="70" t="s">
        <v>242</v>
      </c>
      <c r="F28" s="70" t="s">
        <v>160</v>
      </c>
      <c r="G28" s="205">
        <v>620</v>
      </c>
      <c r="H28" s="206">
        <v>1.3</v>
      </c>
      <c r="I28" s="207">
        <v>0.04</v>
      </c>
      <c r="J28" s="208">
        <f>H28+I28</f>
      </c>
      <c r="K28" s="209">
        <v>60000</v>
      </c>
      <c r="L28" s="58">
        <f>K28*I28</f>
      </c>
      <c r="M28" s="58">
        <f>K28*J28</f>
      </c>
      <c r="N28" s="16"/>
      <c r="O28" s="210">
        <v>34</v>
      </c>
      <c r="P28" s="211">
        <f>IF(ISBLANK(N28),O28/4.3,N28/20)</f>
      </c>
      <c r="Q28" s="209">
        <v>5000</v>
      </c>
      <c r="R28" s="3"/>
      <c r="S28" s="212" t="s">
        <v>82</v>
      </c>
      <c r="T28" s="213">
        <f>IF(ISBLANK(R28),0,X28)</f>
      </c>
      <c r="U28" s="213">
        <f>IF(ISBLANK(S28),0,X28)</f>
      </c>
      <c r="V28" s="214">
        <f>IFERROR(Q28/K28,0)</f>
      </c>
      <c r="W28" s="58">
        <f>IFERROR(L28*V28,0)</f>
      </c>
      <c r="X28" s="213">
        <f>IFERROR(Q28+W28,0)</f>
      </c>
      <c r="Y28" s="213">
        <f>IFERROR(M28*V28,0)</f>
      </c>
      <c r="Z28" s="213">
        <f>Y28-(Y28*$B$1)</f>
      </c>
      <c r="AA28" s="67">
        <f>IFERROR(Z28/X28,"")</f>
      </c>
      <c r="AB28" s="215">
        <f>IFERROR(IF(ISBLANK(N28),Y28/O28,Y28/N28),0)</f>
      </c>
      <c r="AC28" s="215">
        <f>IFERROR(-1*(AB28*B$1),0)</f>
      </c>
      <c r="AD28" s="215">
        <f>IFERROR(SUM(AB28:AC28),0)</f>
      </c>
      <c r="AE28" s="215">
        <f>IF(ISBLANK(N28),AD28,AD28*5)</f>
      </c>
      <c r="AF28" s="216">
        <f>SUM(AG28:BC28)</f>
      </c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>
        <v>191.14</v>
      </c>
      <c r="AS28" s="207">
        <v>191.15</v>
      </c>
      <c r="AT28" s="207">
        <v>191.15</v>
      </c>
      <c r="AU28" s="207"/>
      <c r="AV28" s="207">
        <v>191.14</v>
      </c>
      <c r="AW28" s="207">
        <v>382.3</v>
      </c>
      <c r="AX28" s="207">
        <v>191.15</v>
      </c>
      <c r="AY28" s="207">
        <v>191.14</v>
      </c>
      <c r="AZ28" s="207"/>
      <c r="BA28" s="207">
        <v>191.15</v>
      </c>
      <c r="BB28" s="207">
        <v>382.3</v>
      </c>
      <c r="BC28" s="188">
        <v>191.15</v>
      </c>
      <c r="BD28" s="215">
        <f>Z28-AF28</f>
      </c>
      <c r="BE28" s="238">
        <f>IFERROR(AF28/Y28,0)</f>
      </c>
      <c r="BF28" s="214">
        <f>IFERROR(AF28/X28,0)</f>
      </c>
      <c r="BG28" s="214">
        <f>X28/SUM(X$18:X$33)</f>
      </c>
      <c r="BH28" s="214">
        <f>BC28/SUM(BC$3:BC225)</f>
      </c>
      <c r="BI28" s="217">
        <f>BC28/'R&amp;H Portfolio'!Q$10</f>
      </c>
      <c r="BJ28" s="215">
        <f>BF28*P28</f>
      </c>
      <c r="BK28" s="73"/>
      <c r="BL28" s="220">
        <f>IF(BJ28="YES", BC28, "")</f>
      </c>
      <c r="BM28" s="3"/>
    </row>
    <row x14ac:dyDescent="0.25" r="29" customHeight="1" ht="19.5">
      <c r="A29" s="202">
        <v>25568.79196759259</v>
      </c>
      <c r="B29" s="203" t="s">
        <v>243</v>
      </c>
      <c r="C29" s="204" t="s">
        <v>244</v>
      </c>
      <c r="D29" s="70" t="s">
        <v>245</v>
      </c>
      <c r="E29" s="70" t="s">
        <v>149</v>
      </c>
      <c r="F29" s="70" t="s">
        <v>165</v>
      </c>
      <c r="G29" s="205">
        <v>688</v>
      </c>
      <c r="H29" s="206">
        <v>1.32</v>
      </c>
      <c r="I29" s="207">
        <v>0.12</v>
      </c>
      <c r="J29" s="208">
        <f>H29+I29</f>
      </c>
      <c r="K29" s="209">
        <v>65000</v>
      </c>
      <c r="L29" s="58">
        <f>K29*I29</f>
      </c>
      <c r="M29" s="58">
        <f>K29*J29</f>
      </c>
      <c r="N29" s="16"/>
      <c r="O29" s="210">
        <v>36</v>
      </c>
      <c r="P29" s="211">
        <f>IF(ISBLANK(N29),O29/4.3,N29/20)</f>
      </c>
      <c r="Q29" s="209">
        <v>6500</v>
      </c>
      <c r="R29" s="3"/>
      <c r="S29" s="212" t="s">
        <v>82</v>
      </c>
      <c r="T29" s="213">
        <f>IF(ISBLANK(R29),0,X29)</f>
      </c>
      <c r="U29" s="213">
        <f>IF(ISBLANK(S29),0,X29)</f>
      </c>
      <c r="V29" s="214">
        <f>IFERROR(Q29/K29,0)</f>
      </c>
      <c r="W29" s="58">
        <f>IFERROR(L29*V29,0)</f>
      </c>
      <c r="X29" s="213">
        <f>IFERROR(Q29+W29,0)</f>
      </c>
      <c r="Y29" s="213">
        <f>IFERROR(M29*V29,0)</f>
      </c>
      <c r="Z29" s="213">
        <f>Y29-(Y29*$B$1)</f>
      </c>
      <c r="AA29" s="67">
        <f>IFERROR(Z29/X29,"")</f>
      </c>
      <c r="AB29" s="215">
        <f>IFERROR(IF(ISBLANK(N29),Y29/O29,Y29/N29),0)</f>
      </c>
      <c r="AC29" s="215">
        <f>IFERROR(-1*(AB29*B$1),0)</f>
      </c>
      <c r="AD29" s="215">
        <f>IFERROR(SUM(AB29:AC29),0)</f>
      </c>
      <c r="AE29" s="215">
        <f>IF(ISBLANK(N29),AD29,AD29*5)</f>
      </c>
      <c r="AF29" s="216">
        <f>SUM(AG29:BC29)</f>
      </c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>
        <v>252.2</v>
      </c>
      <c r="AT29" s="207">
        <v>252.2</v>
      </c>
      <c r="AU29" s="207"/>
      <c r="AV29" s="207">
        <v>252.2</v>
      </c>
      <c r="AW29" s="207">
        <v>504.4</v>
      </c>
      <c r="AX29" s="207">
        <v>252.2</v>
      </c>
      <c r="AY29" s="207">
        <v>252.2</v>
      </c>
      <c r="AZ29" s="207"/>
      <c r="BA29" s="207">
        <v>252.2</v>
      </c>
      <c r="BB29" s="207">
        <v>504.4</v>
      </c>
      <c r="BC29" s="188">
        <v>63.05</v>
      </c>
      <c r="BD29" s="215">
        <f>Z29-AF29</f>
      </c>
      <c r="BE29" s="238">
        <f>IFERROR(AF29/Y29,0)</f>
      </c>
      <c r="BF29" s="214">
        <f>IFERROR(AF29/X29,0)</f>
      </c>
      <c r="BG29" s="214">
        <f>X29/SUM(X$18:X$33)</f>
      </c>
      <c r="BH29" s="214">
        <f>BC29/SUM(BC$3:BC226)</f>
      </c>
      <c r="BI29" s="217">
        <f>BC29/'R&amp;H Portfolio'!Q$10</f>
      </c>
      <c r="BJ29" s="215">
        <f>BF29*P29</f>
      </c>
      <c r="BK29" s="73"/>
      <c r="BL29" s="220">
        <f>IF(BJ29="YES", BC29, "")</f>
      </c>
      <c r="BM29" s="3"/>
    </row>
    <row x14ac:dyDescent="0.25" r="30" customHeight="1" ht="19.5">
      <c r="A30" s="202">
        <v>25568.79196759259</v>
      </c>
      <c r="B30" s="203" t="s">
        <v>246</v>
      </c>
      <c r="C30" s="204" t="s">
        <v>247</v>
      </c>
      <c r="D30" s="70" t="s">
        <v>248</v>
      </c>
      <c r="E30" s="70" t="s">
        <v>149</v>
      </c>
      <c r="F30" s="70" t="s">
        <v>160</v>
      </c>
      <c r="G30" s="205">
        <v>601</v>
      </c>
      <c r="H30" s="206">
        <v>1.32</v>
      </c>
      <c r="I30" s="207">
        <v>0.1</v>
      </c>
      <c r="J30" s="208">
        <f>H30+I30</f>
      </c>
      <c r="K30" s="209">
        <v>20000</v>
      </c>
      <c r="L30" s="58">
        <f>K30*I30</f>
      </c>
      <c r="M30" s="58">
        <f>K30*J30</f>
      </c>
      <c r="N30" s="210">
        <v>168</v>
      </c>
      <c r="O30" s="16"/>
      <c r="P30" s="211">
        <f>IF(ISBLANK(N30),O30/4.3,N30/20)</f>
      </c>
      <c r="Q30" s="209">
        <v>3000</v>
      </c>
      <c r="R30" s="3"/>
      <c r="S30" s="212" t="s">
        <v>82</v>
      </c>
      <c r="T30" s="213">
        <f>IF(ISBLANK(R30),0,X30)</f>
      </c>
      <c r="U30" s="213">
        <f>IF(ISBLANK(S30),0,X30)</f>
      </c>
      <c r="V30" s="214">
        <f>IFERROR(Q30/K30,0)</f>
      </c>
      <c r="W30" s="58">
        <f>IFERROR(L30*V30,0)</f>
      </c>
      <c r="X30" s="213">
        <f>IFERROR(Q30+W30,0)</f>
      </c>
      <c r="Y30" s="213">
        <f>IFERROR(M30*V30,0)</f>
      </c>
      <c r="Z30" s="213">
        <f>Y30-(Y30*$B$1)</f>
      </c>
      <c r="AA30" s="67">
        <f>IFERROR(Z30/X30,"")</f>
      </c>
      <c r="AB30" s="215">
        <f>IFERROR(IF(ISBLANK(N30),Y30/O30,Y30/N30),0)</f>
      </c>
      <c r="AC30" s="215">
        <f>IFERROR(-1*(AB30*B$1),0)</f>
      </c>
      <c r="AD30" s="215">
        <f>IFERROR(SUM(AB30:AC30),0)</f>
      </c>
      <c r="AE30" s="215">
        <f>IF(ISBLANK(N30),AD30,AD30*5)</f>
      </c>
      <c r="AF30" s="216">
        <f>SUM(AG30:BC30)</f>
      </c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>
        <v>122.98</v>
      </c>
      <c r="AT30" s="207">
        <v>122.98</v>
      </c>
      <c r="AU30" s="207">
        <v>98.39000000000001</v>
      </c>
      <c r="AV30" s="207">
        <v>122.98</v>
      </c>
      <c r="AW30" s="207">
        <v>122.99</v>
      </c>
      <c r="AX30" s="207">
        <v>122.98</v>
      </c>
      <c r="AY30" s="207">
        <v>122.99</v>
      </c>
      <c r="AZ30" s="207">
        <v>98.38</v>
      </c>
      <c r="BA30" s="207">
        <v>98.39000000000001</v>
      </c>
      <c r="BB30" s="207">
        <v>122.98</v>
      </c>
      <c r="BC30" s="188">
        <v>122.98</v>
      </c>
      <c r="BD30" s="215">
        <f>Z30-AF30</f>
      </c>
      <c r="BE30" s="238">
        <f>IFERROR(AF30/Y30,0)</f>
      </c>
      <c r="BF30" s="214">
        <f>IFERROR(AF30/X30,0)</f>
      </c>
      <c r="BG30" s="214">
        <f>X30/SUM(X$18:X$33)</f>
      </c>
      <c r="BH30" s="214">
        <f>BC30/SUM(BC$3:BC227)</f>
      </c>
      <c r="BI30" s="217">
        <f>BC30/'R&amp;H Portfolio'!Q$10</f>
      </c>
      <c r="BJ30" s="215">
        <f>BF30*P30</f>
      </c>
      <c r="BK30" s="73"/>
      <c r="BL30" s="220">
        <f>IF(BJ30="YES", BC30, "")</f>
      </c>
      <c r="BM30" s="3"/>
    </row>
    <row x14ac:dyDescent="0.25" r="31" customHeight="1" ht="19.5">
      <c r="A31" s="202">
        <v>25568.79196759259</v>
      </c>
      <c r="B31" s="247" t="s">
        <v>249</v>
      </c>
      <c r="C31" s="204" t="s">
        <v>250</v>
      </c>
      <c r="D31" s="70" t="s">
        <v>251</v>
      </c>
      <c r="E31" s="70" t="s">
        <v>252</v>
      </c>
      <c r="F31" s="70" t="s">
        <v>226</v>
      </c>
      <c r="G31" s="205">
        <v>746</v>
      </c>
      <c r="H31" s="206">
        <v>1.37</v>
      </c>
      <c r="I31" s="207">
        <v>0.1</v>
      </c>
      <c r="J31" s="208">
        <f>H31+I31</f>
      </c>
      <c r="K31" s="209">
        <v>557200</v>
      </c>
      <c r="L31" s="58">
        <f>K31*I31</f>
      </c>
      <c r="M31" s="58">
        <f>K31*J31</f>
      </c>
      <c r="N31" s="16"/>
      <c r="O31" s="210">
        <v>51</v>
      </c>
      <c r="P31" s="211">
        <f>IF(ISBLANK(N31),O31/4.3,N31/20)</f>
      </c>
      <c r="Q31" s="209">
        <v>15000</v>
      </c>
      <c r="R31" s="212" t="s">
        <v>133</v>
      </c>
      <c r="S31" s="3"/>
      <c r="T31" s="213">
        <f>IF(ISBLANK(R31),0,X31)</f>
      </c>
      <c r="U31" s="213">
        <f>IF(ISBLANK(S31),0,X31)</f>
      </c>
      <c r="V31" s="214">
        <f>IFERROR(Q31/K31,0)</f>
      </c>
      <c r="W31" s="58">
        <f>IFERROR(L31*V31,0)</f>
      </c>
      <c r="X31" s="213">
        <f>IFERROR(Q31+W31,0)</f>
      </c>
      <c r="Y31" s="213">
        <f>IFERROR(M31*V31,0)</f>
      </c>
      <c r="Z31" s="213">
        <f>Y31-(Y31*$B$1)</f>
      </c>
      <c r="AA31" s="67">
        <f>IFERROR(Z31/X31,"")</f>
      </c>
      <c r="AB31" s="215">
        <f>IFERROR(IF(ISBLANK(N31),Y31/O31,Y31/N31),0)</f>
      </c>
      <c r="AC31" s="215">
        <f>IFERROR(-1*(AB31*B$1),0)</f>
      </c>
      <c r="AD31" s="215">
        <f>IFERROR(SUM(AB31:AC31),0)</f>
      </c>
      <c r="AE31" s="215">
        <f>IF(ISBLANK(N31),AD31,AD31*5)</f>
      </c>
      <c r="AF31" s="216">
        <f>SUM(AG31:BC31)</f>
      </c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>
        <v>415.18</v>
      </c>
      <c r="AT31" s="207"/>
      <c r="AU31" s="207">
        <v>415.19</v>
      </c>
      <c r="AV31" s="207">
        <v>415.19</v>
      </c>
      <c r="AW31" s="207">
        <v>271.35</v>
      </c>
      <c r="AX31" s="207">
        <v>559.03</v>
      </c>
      <c r="AY31" s="207"/>
      <c r="AZ31" s="207">
        <v>415.18</v>
      </c>
      <c r="BA31" s="207">
        <v>261.2</v>
      </c>
      <c r="BB31" s="207">
        <v>271.35</v>
      </c>
      <c r="BC31" s="188"/>
      <c r="BD31" s="215">
        <f>Z31-AF31</f>
      </c>
      <c r="BE31" s="238">
        <f>IFERROR(AF31/Y31,0)</f>
      </c>
      <c r="BF31" s="214">
        <f>IFERROR(AF31/X31,0)</f>
      </c>
      <c r="BG31" s="214">
        <f>X31/SUM(X$18:X$33)</f>
      </c>
      <c r="BH31" s="214">
        <f>BC31/SUM(BC$3:BC228)</f>
      </c>
      <c r="BI31" s="217">
        <f>BC31/'R&amp;H Portfolio'!Q$10</f>
      </c>
      <c r="BJ31" s="215">
        <f>BF31*P31</f>
      </c>
      <c r="BK31" s="3"/>
      <c r="BL31" s="3"/>
      <c r="BM31" s="3"/>
    </row>
    <row x14ac:dyDescent="0.25" r="32" customHeight="1" ht="19.5">
      <c r="A32" s="202">
        <v>25568.79196759259</v>
      </c>
      <c r="B32" s="203" t="s">
        <v>253</v>
      </c>
      <c r="C32" s="3"/>
      <c r="D32" s="70" t="s">
        <v>254</v>
      </c>
      <c r="E32" s="70" t="s">
        <v>149</v>
      </c>
      <c r="F32" s="70" t="s">
        <v>226</v>
      </c>
      <c r="G32" s="205">
        <v>614</v>
      </c>
      <c r="H32" s="206">
        <v>1.34</v>
      </c>
      <c r="I32" s="207">
        <v>0.12</v>
      </c>
      <c r="J32" s="208">
        <f>H32+I32</f>
      </c>
      <c r="K32" s="209">
        <v>35000</v>
      </c>
      <c r="L32" s="58">
        <f>K32*I32</f>
      </c>
      <c r="M32" s="58">
        <f>K32*J32</f>
      </c>
      <c r="N32" s="16"/>
      <c r="O32" s="210">
        <v>28</v>
      </c>
      <c r="P32" s="211">
        <f>IF(ISBLANK(N32),O32/4.3,N32/20)</f>
      </c>
      <c r="Q32" s="209">
        <v>4000</v>
      </c>
      <c r="R32" s="212" t="s">
        <v>133</v>
      </c>
      <c r="S32" s="3"/>
      <c r="T32" s="213">
        <f>IF(ISBLANK(R32),0,X32)</f>
      </c>
      <c r="U32" s="213">
        <f>IF(ISBLANK(S32),0,X32)</f>
      </c>
      <c r="V32" s="214">
        <f>IFERROR(Q32/K32,0)</f>
      </c>
      <c r="W32" s="58">
        <f>IFERROR(L32*V32,0)</f>
      </c>
      <c r="X32" s="213">
        <f>IFERROR(Q32+W32,0)</f>
      </c>
      <c r="Y32" s="213">
        <f>IFERROR(M32*V32,0)</f>
      </c>
      <c r="Z32" s="213">
        <f>Y32-(Y32*$B$1)</f>
      </c>
      <c r="AA32" s="67">
        <f>IFERROR(Z32/X32,"")</f>
      </c>
      <c r="AB32" s="215">
        <f>IFERROR(IF(ISBLANK(N32),Y32/O32,Y32/N32),0)</f>
      </c>
      <c r="AC32" s="215">
        <f>IFERROR(-1*(AB32*B$1),0)</f>
      </c>
      <c r="AD32" s="215">
        <f>IFERROR(SUM(AB32:AC32),0)</f>
      </c>
      <c r="AE32" s="215">
        <f>IF(ISBLANK(N32),AD32,AD32*5)</f>
      </c>
      <c r="AF32" s="216">
        <f>SUM(AG32:BC32)</f>
      </c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>
        <v>202.31</v>
      </c>
      <c r="AT32" s="207">
        <v>202.31</v>
      </c>
      <c r="AU32" s="207"/>
      <c r="AV32" s="207">
        <v>202.32</v>
      </c>
      <c r="AW32" s="207">
        <v>404.63</v>
      </c>
      <c r="AX32" s="207">
        <v>202.31</v>
      </c>
      <c r="AY32" s="207">
        <v>202.32</v>
      </c>
      <c r="AZ32" s="207"/>
      <c r="BA32" s="207">
        <v>202.31</v>
      </c>
      <c r="BB32" s="207">
        <v>404.63</v>
      </c>
      <c r="BC32" s="188"/>
      <c r="BD32" s="215">
        <f>Z32-AF32</f>
      </c>
      <c r="BE32" s="238">
        <f>IFERROR(AF32/Y32,0)</f>
      </c>
      <c r="BF32" s="214">
        <f>IFERROR(AF32/X32,0)</f>
      </c>
      <c r="BG32" s="214">
        <f>X32/SUM(X$18:X$33)</f>
      </c>
      <c r="BH32" s="214">
        <f>BC32/SUM(BC$3:BC229)</f>
      </c>
      <c r="BI32" s="217">
        <f>BC32/'R&amp;H Portfolio'!Q$10</f>
      </c>
      <c r="BJ32" s="215">
        <f>BF32*P32</f>
      </c>
      <c r="BK32" s="3"/>
      <c r="BL32" s="3"/>
      <c r="BM32" s="3"/>
    </row>
    <row x14ac:dyDescent="0.25" r="33" customHeight="1" ht="19.5">
      <c r="A33" s="223">
        <v>25568.79196759259</v>
      </c>
      <c r="B33" s="224" t="s">
        <v>255</v>
      </c>
      <c r="C33" s="225" t="s">
        <v>256</v>
      </c>
      <c r="D33" s="226" t="s">
        <v>257</v>
      </c>
      <c r="E33" s="226" t="s">
        <v>164</v>
      </c>
      <c r="F33" s="226" t="s">
        <v>258</v>
      </c>
      <c r="G33" s="245">
        <v>744</v>
      </c>
      <c r="H33" s="228">
        <v>1.32</v>
      </c>
      <c r="I33" s="229">
        <v>0.1</v>
      </c>
      <c r="J33" s="230">
        <f>H33+I33</f>
      </c>
      <c r="K33" s="231">
        <v>25000</v>
      </c>
      <c r="L33" s="232">
        <f>K33*I33</f>
      </c>
      <c r="M33" s="232">
        <f>K33*J33</f>
      </c>
      <c r="N33" s="233">
        <v>189</v>
      </c>
      <c r="O33" s="233"/>
      <c r="P33" s="234">
        <f>IF(ISBLANK(N33),O33/4.3,N33/20)</f>
      </c>
      <c r="Q33" s="231">
        <v>3000</v>
      </c>
      <c r="R33" s="246" t="s">
        <v>133</v>
      </c>
      <c r="S33" s="246"/>
      <c r="T33" s="239">
        <f>IF(ISBLANK(R33),0,X33)</f>
      </c>
      <c r="U33" s="239">
        <f>IF(ISBLANK(S33),0,X33)</f>
      </c>
      <c r="V33" s="238">
        <f>IFERROR(Q33/K33,0)</f>
      </c>
      <c r="W33" s="232">
        <f>IFERROR(L33*V33,0)</f>
      </c>
      <c r="X33" s="239">
        <f>IFERROR(Q33+W33,0)</f>
      </c>
      <c r="Y33" s="239">
        <f>IFERROR(M33*V33,0)</f>
      </c>
      <c r="Z33" s="239">
        <f>Y33-(Y33*$B$1)</f>
      </c>
      <c r="AA33" s="240">
        <f>IFERROR(Z33/X33,"")</f>
      </c>
      <c r="AB33" s="241">
        <f>IFERROR(IF(ISBLANK(N33),Y33/O33,Y33/N33),0)</f>
      </c>
      <c r="AC33" s="241">
        <f>IFERROR(-1*(AB33*B$1),0)</f>
      </c>
      <c r="AD33" s="241">
        <f>IFERROR(SUM(AB33:AC33),0)</f>
      </c>
      <c r="AE33" s="241">
        <f>IF(ISBLANK(N33),AD33,AD33*5)</f>
      </c>
      <c r="AF33" s="242">
        <f>SUM(AG33:BC33)</f>
      </c>
      <c r="AG33" s="229"/>
      <c r="AH33" s="229"/>
      <c r="AI33" s="229"/>
      <c r="AJ33" s="229"/>
      <c r="AK33" s="229"/>
      <c r="AL33" s="229"/>
      <c r="AM33" s="229"/>
      <c r="AN33" s="229"/>
      <c r="AO33" s="229"/>
      <c r="AP33" s="229"/>
      <c r="AQ33" s="229"/>
      <c r="AR33" s="229"/>
      <c r="AS33" s="229">
        <v>65.59</v>
      </c>
      <c r="AT33" s="229">
        <v>109.31</v>
      </c>
      <c r="AU33" s="229">
        <v>87.46000000000001</v>
      </c>
      <c r="AV33" s="229">
        <v>109.31</v>
      </c>
      <c r="AW33" s="229">
        <v>109.32</v>
      </c>
      <c r="AX33" s="229">
        <v>109.32</v>
      </c>
      <c r="AY33" s="229">
        <v>109.31</v>
      </c>
      <c r="AZ33" s="229">
        <v>87.46000000000001</v>
      </c>
      <c r="BA33" s="229">
        <v>87.45</v>
      </c>
      <c r="BB33" s="229">
        <v>3257.67</v>
      </c>
      <c r="BC33" s="188"/>
      <c r="BD33" s="241">
        <f>Z33-AF33</f>
      </c>
      <c r="BE33" s="238">
        <f>IFERROR(AF33/Y33,0)</f>
      </c>
      <c r="BF33" s="214">
        <f>IFERROR(AF33/X33,0)</f>
      </c>
      <c r="BG33" s="214">
        <f>X33/SUM(X$18:X$33)</f>
      </c>
      <c r="BH33" s="238">
        <f>BC33/SUM(BC$3:BC230)</f>
      </c>
      <c r="BI33" s="217">
        <f>BC33/'R&amp;H Portfolio'!Q$10</f>
      </c>
      <c r="BJ33" s="241">
        <f>BF33*P33</f>
      </c>
      <c r="BK33" s="3"/>
      <c r="BL33" s="3"/>
      <c r="BM33" s="3"/>
    </row>
    <row x14ac:dyDescent="0.25" r="34" customHeight="1" ht="19.5">
      <c r="A34" s="202">
        <v>25568.79196759259</v>
      </c>
      <c r="B34" s="203" t="s">
        <v>259</v>
      </c>
      <c r="C34" s="3"/>
      <c r="D34" s="70" t="s">
        <v>260</v>
      </c>
      <c r="E34" s="70" t="s">
        <v>261</v>
      </c>
      <c r="F34" s="70" t="s">
        <v>262</v>
      </c>
      <c r="G34" s="205">
        <v>623</v>
      </c>
      <c r="H34" s="206">
        <v>1.36</v>
      </c>
      <c r="I34" s="207">
        <v>0.05</v>
      </c>
      <c r="J34" s="208">
        <f>H34+I34</f>
      </c>
      <c r="K34" s="209">
        <v>30000</v>
      </c>
      <c r="L34" s="58">
        <f>K34*I34</f>
      </c>
      <c r="M34" s="58">
        <f>K34*J34</f>
      </c>
      <c r="N34" s="16"/>
      <c r="O34" s="210">
        <v>22</v>
      </c>
      <c r="P34" s="211">
        <f>IF(ISBLANK(N34),O34/4.3,N34/20)</f>
      </c>
      <c r="Q34" s="209">
        <v>5000</v>
      </c>
      <c r="R34" s="212" t="s">
        <v>133</v>
      </c>
      <c r="S34" s="3"/>
      <c r="T34" s="213">
        <f>IF(ISBLANK(R34),0,X34)</f>
      </c>
      <c r="U34" s="213">
        <f>IF(ISBLANK(S34),0,X34)</f>
      </c>
      <c r="V34" s="214">
        <f>IFERROR(Q34/K34,0)</f>
      </c>
      <c r="W34" s="58">
        <f>IFERROR(L34*V34,0)</f>
      </c>
      <c r="X34" s="213">
        <f>IFERROR(Q34+W34,0)</f>
      </c>
      <c r="Y34" s="213">
        <f>IFERROR(M34*V34,0)</f>
      </c>
      <c r="Z34" s="213">
        <f>Y34-(Y34*$B$1)</f>
      </c>
      <c r="AA34" s="67">
        <f>IFERROR(Z34/X34,"")</f>
      </c>
      <c r="AB34" s="215">
        <f>IFERROR(IF(ISBLANK(N34),Y34/O34,Y34/N34),0)</f>
      </c>
      <c r="AC34" s="215">
        <f>IFERROR(-1*(AB34*B$1),0)</f>
      </c>
      <c r="AD34" s="215">
        <f>IFERROR(SUM(AB34:AC34),0)</f>
      </c>
      <c r="AE34" s="215">
        <f>IF(ISBLANK(N34),AD34,AD34*5)</f>
      </c>
      <c r="AF34" s="216">
        <f>SUM(AG34:BC34)</f>
      </c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>
        <v>310.84</v>
      </c>
      <c r="AU34" s="207"/>
      <c r="AV34" s="207">
        <v>310.84</v>
      </c>
      <c r="AW34" s="207">
        <v>621.68</v>
      </c>
      <c r="AX34" s="207">
        <v>310.84</v>
      </c>
      <c r="AY34" s="207">
        <v>310.84</v>
      </c>
      <c r="AZ34" s="207"/>
      <c r="BA34" s="207">
        <v>310.84</v>
      </c>
      <c r="BB34" s="207">
        <v>621.69</v>
      </c>
      <c r="BC34" s="188"/>
      <c r="BD34" s="215">
        <f>Z34-AF34</f>
      </c>
      <c r="BE34" s="238">
        <f>IFERROR(AF34/Y34,0)</f>
      </c>
      <c r="BF34" s="214">
        <f>IFERROR(AF34/X34,0)</f>
      </c>
      <c r="BG34" s="214">
        <f>IFERROR((X34/SUM(X$34:X$46)),0)</f>
      </c>
      <c r="BH34" s="214">
        <f>BC34/SUM(BC$3:BC231)</f>
      </c>
      <c r="BI34" s="217">
        <f>BC34/'R&amp;H Portfolio'!Q$10</f>
      </c>
      <c r="BJ34" s="215">
        <f>BF34*P34</f>
      </c>
      <c r="BK34" s="3"/>
      <c r="BL34" s="3"/>
      <c r="BM34" s="3"/>
    </row>
    <row x14ac:dyDescent="0.25" r="35" customHeight="1" ht="19.5">
      <c r="A35" s="202">
        <v>25568.79196759259</v>
      </c>
      <c r="B35" s="203" t="s">
        <v>263</v>
      </c>
      <c r="C35" s="204" t="s">
        <v>264</v>
      </c>
      <c r="D35" s="70" t="s">
        <v>265</v>
      </c>
      <c r="E35" s="70" t="s">
        <v>266</v>
      </c>
      <c r="F35" s="70" t="s">
        <v>267</v>
      </c>
      <c r="G35" s="205">
        <v>685</v>
      </c>
      <c r="H35" s="206">
        <v>1.32</v>
      </c>
      <c r="I35" s="207">
        <v>0.03</v>
      </c>
      <c r="J35" s="208">
        <f>H35+I35</f>
      </c>
      <c r="K35" s="209">
        <v>75000</v>
      </c>
      <c r="L35" s="58">
        <f>K35*I35</f>
      </c>
      <c r="M35" s="58">
        <f>K35*J35</f>
      </c>
      <c r="N35" s="16"/>
      <c r="O35" s="210">
        <v>36</v>
      </c>
      <c r="P35" s="211">
        <f>IF(ISBLANK(N35),O35/4.3,N35/20)</f>
      </c>
      <c r="Q35" s="209">
        <v>6000</v>
      </c>
      <c r="R35" s="3"/>
      <c r="S35" s="212" t="s">
        <v>82</v>
      </c>
      <c r="T35" s="213">
        <f>IF(ISBLANK(R35),0,X35)</f>
      </c>
      <c r="U35" s="213">
        <f>IF(ISBLANK(S35),0,X35)</f>
      </c>
      <c r="V35" s="214">
        <f>IFERROR(Q35/K35,0)</f>
      </c>
      <c r="W35" s="58">
        <f>IFERROR(L35*V35,0)</f>
      </c>
      <c r="X35" s="213">
        <f>IFERROR(Q35+W35,0)</f>
      </c>
      <c r="Y35" s="213">
        <f>IFERROR(M35*V35,0)</f>
      </c>
      <c r="Z35" s="213">
        <f>Y35-(Y35*$B$1)</f>
      </c>
      <c r="AA35" s="67">
        <f>IFERROR(Z35/X35,"")</f>
      </c>
      <c r="AB35" s="215">
        <f>IFERROR(IF(ISBLANK(N35),Y35/O35,Y35/N35),0)</f>
      </c>
      <c r="AC35" s="215">
        <f>IFERROR(-1*(AB35*B$1),0)</f>
      </c>
      <c r="AD35" s="215">
        <f>IFERROR(SUM(AB35:AC35),0)</f>
      </c>
      <c r="AE35" s="215">
        <f>IF(ISBLANK(N35),AD35,AD35*5)</f>
      </c>
      <c r="AF35" s="216">
        <f>SUM(AG35:BC35)</f>
      </c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>
        <v>218.25</v>
      </c>
      <c r="AW35" s="207">
        <v>436.5</v>
      </c>
      <c r="AX35" s="207">
        <v>218.25</v>
      </c>
      <c r="AY35" s="207">
        <v>218.25</v>
      </c>
      <c r="AZ35" s="207"/>
      <c r="BA35" s="207">
        <v>218.25</v>
      </c>
      <c r="BB35" s="207">
        <v>436.5</v>
      </c>
      <c r="BC35" s="188">
        <v>62.08</v>
      </c>
      <c r="BD35" s="215">
        <f>Z35-AF35</f>
      </c>
      <c r="BE35" s="238">
        <f>IFERROR(AF35/Y35,0)</f>
      </c>
      <c r="BF35" s="214">
        <f>IFERROR(AF35/X35,0)</f>
      </c>
      <c r="BG35" s="214">
        <f>IFERROR((X35/SUM(X$34:X$46)),0)</f>
      </c>
      <c r="BH35" s="214">
        <f>BC35/SUM(BC$3:BC232)</f>
      </c>
      <c r="BI35" s="217">
        <f>BC35/'R&amp;H Portfolio'!Q$10</f>
      </c>
      <c r="BJ35" s="215">
        <f>BF35*P35</f>
      </c>
      <c r="BK35" s="3"/>
      <c r="BL35" s="3"/>
      <c r="BM35" s="3"/>
    </row>
    <row x14ac:dyDescent="0.25" r="36" customHeight="1" ht="15">
      <c r="A36" s="202">
        <v>25568.79196759259</v>
      </c>
      <c r="B36" s="203" t="s">
        <v>268</v>
      </c>
      <c r="C36" s="204" t="s">
        <v>269</v>
      </c>
      <c r="D36" s="70" t="s">
        <v>270</v>
      </c>
      <c r="E36" s="70" t="s">
        <v>266</v>
      </c>
      <c r="F36" s="70" t="s">
        <v>150</v>
      </c>
      <c r="G36" s="205">
        <v>666</v>
      </c>
      <c r="H36" s="206">
        <v>1.3</v>
      </c>
      <c r="I36" s="207">
        <v>0.12</v>
      </c>
      <c r="J36" s="208">
        <f>H36+I36</f>
      </c>
      <c r="K36" s="209">
        <v>35000</v>
      </c>
      <c r="L36" s="58">
        <f>K36*I36</f>
      </c>
      <c r="M36" s="58">
        <f>K36*J36</f>
      </c>
      <c r="N36" s="16"/>
      <c r="O36" s="210">
        <v>32</v>
      </c>
      <c r="P36" s="211">
        <f>IF(ISBLANK(N36),O36/4.3,N36/20)</f>
      </c>
      <c r="Q36" s="209">
        <v>3000</v>
      </c>
      <c r="R36" s="3"/>
      <c r="S36" s="212" t="s">
        <v>82</v>
      </c>
      <c r="T36" s="213">
        <f>IF(ISBLANK(R36),0,X36)</f>
      </c>
      <c r="U36" s="213">
        <f>IF(ISBLANK(S36),0,X36)</f>
      </c>
      <c r="V36" s="214">
        <f>IFERROR(Q36/K36,0)</f>
      </c>
      <c r="W36" s="58">
        <f>IFERROR(L36*V36,0)</f>
      </c>
      <c r="X36" s="213">
        <f>IFERROR(Q36+W36,0)</f>
      </c>
      <c r="Y36" s="213">
        <f>IFERROR(M36*V36,0)</f>
      </c>
      <c r="Z36" s="213">
        <f>Y36-(Y36*$B$1)</f>
      </c>
      <c r="AA36" s="67">
        <f>IFERROR(Z36/X36,"")</f>
      </c>
      <c r="AB36" s="215">
        <f>IFERROR(IF(ISBLANK(N36),Y36/O36,Y36/N36),0)</f>
      </c>
      <c r="AC36" s="215">
        <f>IFERROR(-1*(AB36*B$1),0)</f>
      </c>
      <c r="AD36" s="215">
        <f>IFERROR(SUM(AB36:AC36),0)</f>
      </c>
      <c r="AE36" s="215">
        <f>IF(ISBLANK(N36),AD36,AD36*5)</f>
      </c>
      <c r="AF36" s="216">
        <f>SUM(AG36:BC36)</f>
      </c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>
        <v>129.13</v>
      </c>
      <c r="AU36" s="207"/>
      <c r="AV36" s="207">
        <v>129.13</v>
      </c>
      <c r="AW36" s="207">
        <v>258.26</v>
      </c>
      <c r="AX36" s="207">
        <v>129.13</v>
      </c>
      <c r="AY36" s="207">
        <v>129.13</v>
      </c>
      <c r="AZ36" s="207"/>
      <c r="BA36" s="207">
        <v>129.14</v>
      </c>
      <c r="BB36" s="207">
        <v>258.26</v>
      </c>
      <c r="BC36" s="188">
        <v>129.13</v>
      </c>
      <c r="BD36" s="215">
        <f>Z36-AF36</f>
      </c>
      <c r="BE36" s="238">
        <f>IFERROR(AF36/Y36,0)</f>
      </c>
      <c r="BF36" s="214">
        <f>IFERROR(AF36/X36,0)</f>
      </c>
      <c r="BG36" s="214">
        <f>IFERROR((X36/SUM(X$34:X$46)),0)</f>
      </c>
      <c r="BH36" s="214">
        <f>BC36/SUM(BC$3:BC233)</f>
      </c>
      <c r="BI36" s="217">
        <f>BC36/'R&amp;H Portfolio'!Q$10</f>
      </c>
      <c r="BJ36" s="215">
        <f>BF36*P36</f>
      </c>
      <c r="BK36" s="3"/>
      <c r="BL36" s="3"/>
      <c r="BM36" s="3"/>
    </row>
    <row x14ac:dyDescent="0.25" r="37" customHeight="1" ht="15">
      <c r="A37" s="202">
        <v>25568.79196759259</v>
      </c>
      <c r="B37" s="203" t="s">
        <v>271</v>
      </c>
      <c r="C37" s="204" t="s">
        <v>272</v>
      </c>
      <c r="D37" s="70" t="s">
        <v>273</v>
      </c>
      <c r="E37" s="70" t="s">
        <v>164</v>
      </c>
      <c r="F37" s="70" t="s">
        <v>274</v>
      </c>
      <c r="G37" s="205">
        <v>706</v>
      </c>
      <c r="H37" s="206">
        <v>1.28</v>
      </c>
      <c r="I37" s="207">
        <v>0.02</v>
      </c>
      <c r="J37" s="208">
        <f>H37+I37</f>
      </c>
      <c r="K37" s="209">
        <v>50000</v>
      </c>
      <c r="L37" s="58">
        <f>K37*I37</f>
      </c>
      <c r="M37" s="58">
        <f>K37*J37</f>
      </c>
      <c r="N37" s="210">
        <v>170</v>
      </c>
      <c r="O37" s="16"/>
      <c r="P37" s="211">
        <f>IF(ISBLANK(N37),O37/4.3,N37/20)</f>
      </c>
      <c r="Q37" s="209">
        <v>5000</v>
      </c>
      <c r="R37" s="212" t="s">
        <v>133</v>
      </c>
      <c r="S37" s="3"/>
      <c r="T37" s="213">
        <f>IF(ISBLANK(R37),0,X37)</f>
      </c>
      <c r="U37" s="213">
        <f>IF(ISBLANK(S37),0,X37)</f>
      </c>
      <c r="V37" s="214">
        <f>IFERROR(Q37/K37,0)</f>
      </c>
      <c r="W37" s="58">
        <f>IFERROR(L37*V37,0)</f>
      </c>
      <c r="X37" s="213">
        <f>IFERROR(Q37+W37,0)</f>
      </c>
      <c r="Y37" s="213">
        <f>IFERROR(M37*V37,0)</f>
      </c>
      <c r="Z37" s="213">
        <f>Y37-(Y37*$B$1)</f>
      </c>
      <c r="AA37" s="67">
        <f>IFERROR(Z37/X37,"")</f>
      </c>
      <c r="AB37" s="215">
        <f>IFERROR(IF(ISBLANK(N37),Y37/O37,Y37/N37),0)</f>
      </c>
      <c r="AC37" s="215">
        <f>IFERROR(-1*(AB37*B$1),0)</f>
      </c>
      <c r="AD37" s="215">
        <f>IFERROR(SUM(AB37:AC37),0)</f>
      </c>
      <c r="AE37" s="215">
        <f>IF(ISBLANK(N37),AD37,AD37*5)</f>
      </c>
      <c r="AF37" s="216">
        <f>SUM(AG37:BC37)</f>
      </c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>
        <v>74.17</v>
      </c>
      <c r="AU37" s="207">
        <v>148.35</v>
      </c>
      <c r="AV37" s="207">
        <v>185.44</v>
      </c>
      <c r="AW37" s="207">
        <v>185.44</v>
      </c>
      <c r="AX37" s="207">
        <v>185.44</v>
      </c>
      <c r="AY37" s="207">
        <v>185.44</v>
      </c>
      <c r="AZ37" s="207">
        <v>148.35</v>
      </c>
      <c r="BA37" s="207">
        <v>148.36</v>
      </c>
      <c r="BB37" s="207">
        <v>185.44</v>
      </c>
      <c r="BC37" s="188">
        <v>185.44</v>
      </c>
      <c r="BD37" s="215">
        <f>Z37-AF37</f>
      </c>
      <c r="BE37" s="238">
        <f>IFERROR(AF37/Y37,0)</f>
      </c>
      <c r="BF37" s="214">
        <f>IFERROR(AF37/X37,0)</f>
      </c>
      <c r="BG37" s="214">
        <f>IFERROR((X37/SUM(X$34:X$46)),0)</f>
      </c>
      <c r="BH37" s="214">
        <f>BC37/SUM(BC$3:BC234)</f>
      </c>
      <c r="BI37" s="217">
        <f>BC37/'R&amp;H Portfolio'!Q$10</f>
      </c>
      <c r="BJ37" s="215">
        <f>BF37*P37</f>
      </c>
      <c r="BK37" s="3"/>
      <c r="BL37" s="3"/>
      <c r="BM37" s="3"/>
    </row>
    <row x14ac:dyDescent="0.25" r="38" customHeight="1" ht="15">
      <c r="A38" s="202">
        <v>25568.79196759259</v>
      </c>
      <c r="B38" s="203" t="s">
        <v>275</v>
      </c>
      <c r="C38" s="204" t="s">
        <v>276</v>
      </c>
      <c r="D38" s="70" t="s">
        <v>277</v>
      </c>
      <c r="E38" s="70" t="s">
        <v>278</v>
      </c>
      <c r="F38" s="70" t="s">
        <v>226</v>
      </c>
      <c r="G38" s="205">
        <v>572</v>
      </c>
      <c r="H38" s="206">
        <v>1.31</v>
      </c>
      <c r="I38" s="207">
        <v>0.07</v>
      </c>
      <c r="J38" s="208">
        <f>H38+I38</f>
      </c>
      <c r="K38" s="209">
        <v>35000</v>
      </c>
      <c r="L38" s="58">
        <f>K38*I38</f>
      </c>
      <c r="M38" s="58">
        <f>K38*J38</f>
      </c>
      <c r="N38" s="16"/>
      <c r="O38" s="210">
        <v>42</v>
      </c>
      <c r="P38" s="211">
        <f>IF(ISBLANK(N38),O38/4.3,N38/20)</f>
      </c>
      <c r="Q38" s="209">
        <v>3000</v>
      </c>
      <c r="R38" s="212" t="s">
        <v>133</v>
      </c>
      <c r="S38" s="3"/>
      <c r="T38" s="213">
        <f>IF(ISBLANK(R38),0,X38)</f>
      </c>
      <c r="U38" s="213">
        <f>IF(ISBLANK(S38),0,X38)</f>
      </c>
      <c r="V38" s="214">
        <f>IFERROR(Q38/K38,0)</f>
      </c>
      <c r="W38" s="58">
        <f>IFERROR(L38*V38,0)</f>
      </c>
      <c r="X38" s="213">
        <f>IFERROR(Q38+W38,0)</f>
      </c>
      <c r="Y38" s="213">
        <f>IFERROR(M38*V38,0)</f>
      </c>
      <c r="Z38" s="213">
        <f>Y38-(Y38*$B$1)</f>
      </c>
      <c r="AA38" s="67">
        <f>IFERROR(Z38/X38,"")</f>
      </c>
      <c r="AB38" s="215">
        <f>IFERROR(IF(ISBLANK(N38),Y38/O38,Y38/N38),0)</f>
      </c>
      <c r="AC38" s="215">
        <f>IFERROR(-1*(AB38*B$1),0)</f>
      </c>
      <c r="AD38" s="215">
        <f>IFERROR(SUM(AB38:AC38),0)</f>
      </c>
      <c r="AE38" s="215">
        <f>IF(ISBLANK(N38),AD38,AD38*5)</f>
      </c>
      <c r="AF38" s="216">
        <f>SUM(AG38:BC38)</f>
      </c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>
        <v>95.61</v>
      </c>
      <c r="AW38" s="207">
        <v>95.61</v>
      </c>
      <c r="AX38" s="207">
        <v>95.62</v>
      </c>
      <c r="AY38" s="207">
        <v>95.61</v>
      </c>
      <c r="AZ38" s="207">
        <v>95.62</v>
      </c>
      <c r="BA38" s="207">
        <v>95.61</v>
      </c>
      <c r="BB38" s="207">
        <v>95.62</v>
      </c>
      <c r="BC38" s="188"/>
      <c r="BD38" s="215">
        <f>Z38-AF38</f>
      </c>
      <c r="BE38" s="238">
        <f>IFERROR(AF38/Y38,0)</f>
      </c>
      <c r="BF38" s="214">
        <f>IFERROR(AF38/X38,0)</f>
      </c>
      <c r="BG38" s="214">
        <f>IFERROR((X38/SUM(X$34:X$46)),0)</f>
      </c>
      <c r="BH38" s="214">
        <f>BC38/SUM(BC$3:BC235)</f>
      </c>
      <c r="BI38" s="217">
        <f>BC38/'R&amp;H Portfolio'!Q$10</f>
      </c>
      <c r="BJ38" s="215">
        <f>BF38*P38</f>
      </c>
      <c r="BK38" s="3"/>
      <c r="BL38" s="3"/>
      <c r="BM38" s="3"/>
    </row>
    <row x14ac:dyDescent="0.25" r="39" customHeight="1" ht="15">
      <c r="A39" s="202">
        <v>25568.79196759259</v>
      </c>
      <c r="B39" s="203" t="s">
        <v>279</v>
      </c>
      <c r="C39" s="204" t="s">
        <v>280</v>
      </c>
      <c r="D39" s="70" t="s">
        <v>281</v>
      </c>
      <c r="E39" s="70" t="s">
        <v>164</v>
      </c>
      <c r="F39" s="70" t="s">
        <v>165</v>
      </c>
      <c r="G39" s="205">
        <v>654</v>
      </c>
      <c r="H39" s="206">
        <v>1.3</v>
      </c>
      <c r="I39" s="207">
        <v>0.1</v>
      </c>
      <c r="J39" s="208">
        <f>H39+I39</f>
      </c>
      <c r="K39" s="209">
        <v>40000</v>
      </c>
      <c r="L39" s="58">
        <f>K39*I39</f>
      </c>
      <c r="M39" s="58">
        <f>K39*J39</f>
      </c>
      <c r="N39" s="16"/>
      <c r="O39" s="210">
        <v>40</v>
      </c>
      <c r="P39" s="211">
        <f>IF(ISBLANK(N39),O39/4.3,N39/20)</f>
      </c>
      <c r="Q39" s="209">
        <v>4000</v>
      </c>
      <c r="R39" s="212" t="s">
        <v>133</v>
      </c>
      <c r="S39" s="3"/>
      <c r="T39" s="213">
        <f>IF(ISBLANK(R39),0,X39)</f>
      </c>
      <c r="U39" s="213">
        <f>IF(ISBLANK(S39),0,X39)</f>
      </c>
      <c r="V39" s="214">
        <f>IFERROR(Q39/K39,0)</f>
      </c>
      <c r="W39" s="58">
        <f>IFERROR(L39*V39,0)</f>
      </c>
      <c r="X39" s="213">
        <f>IFERROR(Q39+W39,0)</f>
      </c>
      <c r="Y39" s="213">
        <f>IFERROR(M39*V39,0)</f>
      </c>
      <c r="Z39" s="213">
        <f>Y39-(Y39*$B$1)</f>
      </c>
      <c r="AA39" s="67">
        <f>IFERROR(Z39/X39,"")</f>
      </c>
      <c r="AB39" s="215">
        <f>IFERROR(IF(ISBLANK(N39),Y39/O39,Y39/N39),0)</f>
      </c>
      <c r="AC39" s="215">
        <f>IFERROR(-1*(AB39*B$1),0)</f>
      </c>
      <c r="AD39" s="215">
        <f>IFERROR(SUM(AB39:AC39),0)</f>
      </c>
      <c r="AE39" s="215">
        <f>IF(ISBLANK(N39),AD39,AD39*5)</f>
      </c>
      <c r="AF39" s="216">
        <f>SUM(AG39:BC39)</f>
      </c>
      <c r="AG39" s="207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>
        <v>269.66</v>
      </c>
      <c r="AX39" s="207">
        <v>134.83</v>
      </c>
      <c r="AY39" s="207">
        <v>134.83</v>
      </c>
      <c r="AZ39" s="207"/>
      <c r="BA39" s="207">
        <v>134.83</v>
      </c>
      <c r="BB39" s="207">
        <v>269.66</v>
      </c>
      <c r="BC39" s="188"/>
      <c r="BD39" s="215">
        <f>Z39-AF39</f>
      </c>
      <c r="BE39" s="238">
        <f>IFERROR(AF39/Y39,0)</f>
      </c>
      <c r="BF39" s="214">
        <f>IFERROR(AF39/X39,0)</f>
      </c>
      <c r="BG39" s="214">
        <f>IFERROR((X39/SUM(X$34:X$46)),0)</f>
      </c>
      <c r="BH39" s="214">
        <f>BC39/SUM(BC$3:BC236)</f>
      </c>
      <c r="BI39" s="217">
        <f>BC39/'R&amp;H Portfolio'!Q$10</f>
      </c>
      <c r="BJ39" s="215">
        <f>BF39*P39</f>
      </c>
      <c r="BK39" s="3"/>
      <c r="BL39" s="3"/>
      <c r="BM39" s="3"/>
    </row>
    <row x14ac:dyDescent="0.25" r="40" customHeight="1" ht="15">
      <c r="A40" s="202">
        <v>25568.79196759259</v>
      </c>
      <c r="B40" s="203" t="s">
        <v>282</v>
      </c>
      <c r="C40" s="204" t="s">
        <v>283</v>
      </c>
      <c r="D40" s="70" t="s">
        <v>284</v>
      </c>
      <c r="E40" s="70" t="s">
        <v>149</v>
      </c>
      <c r="F40" s="70" t="s">
        <v>226</v>
      </c>
      <c r="G40" s="205">
        <v>665</v>
      </c>
      <c r="H40" s="206">
        <v>1.29</v>
      </c>
      <c r="I40" s="207">
        <v>0.05</v>
      </c>
      <c r="J40" s="208">
        <f>H40+I40</f>
      </c>
      <c r="K40" s="209">
        <v>100000</v>
      </c>
      <c r="L40" s="58">
        <f>K40*I40</f>
      </c>
      <c r="M40" s="58">
        <f>K40*J40</f>
      </c>
      <c r="N40" s="16"/>
      <c r="O40" s="210">
        <v>34</v>
      </c>
      <c r="P40" s="211">
        <f>IF(ISBLANK(N40),O40/4.3,N40/20)</f>
      </c>
      <c r="Q40" s="209">
        <v>7000</v>
      </c>
      <c r="R40" s="3"/>
      <c r="S40" s="212" t="s">
        <v>82</v>
      </c>
      <c r="T40" s="213">
        <f>IF(ISBLANK(R40),0,X40)</f>
      </c>
      <c r="U40" s="213">
        <f>IF(ISBLANK(S40),0,X40)</f>
      </c>
      <c r="V40" s="214">
        <f>IFERROR(Q40/K40,0)</f>
      </c>
      <c r="W40" s="58">
        <f>IFERROR(L40*V40,0)</f>
      </c>
      <c r="X40" s="213">
        <f>IFERROR(Q40+W40,0)</f>
      </c>
      <c r="Y40" s="213">
        <f>IFERROR(M40*V40,0)</f>
      </c>
      <c r="Z40" s="213">
        <f>Y40-(Y40*$B$1)</f>
      </c>
      <c r="AA40" s="67">
        <f>IFERROR(Z40/X40,"")</f>
      </c>
      <c r="AB40" s="215">
        <f>IFERROR(IF(ISBLANK(N40),Y40/O40,Y40/N40),0)</f>
      </c>
      <c r="AC40" s="215">
        <f>IFERROR(-1*(AB40*B$1),0)</f>
      </c>
      <c r="AD40" s="215">
        <f>IFERROR(SUM(AB40:AC40),0)</f>
      </c>
      <c r="AE40" s="215">
        <f>IF(ISBLANK(N40),AD40,AD40*5)</f>
      </c>
      <c r="AF40" s="216">
        <f>SUM(AG40:BC40)</f>
      </c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>
        <v>267.6</v>
      </c>
      <c r="AX40" s="207">
        <v>267.61</v>
      </c>
      <c r="AY40" s="207">
        <v>267.6</v>
      </c>
      <c r="AZ40" s="207">
        <v>267.61</v>
      </c>
      <c r="BA40" s="207">
        <v>267.61</v>
      </c>
      <c r="BB40" s="207">
        <v>267.6</v>
      </c>
      <c r="BC40" s="188"/>
      <c r="BD40" s="215">
        <f>Z40-AF40</f>
      </c>
      <c r="BE40" s="238">
        <f>IFERROR(AF40/Y40,0)</f>
      </c>
      <c r="BF40" s="214">
        <f>IFERROR(AF40/X40,0)</f>
      </c>
      <c r="BG40" s="214">
        <f>IFERROR((X40/SUM(X$34:X$46)),0)</f>
      </c>
      <c r="BH40" s="214">
        <f>BC40/SUM(BC$3:BC237)</f>
      </c>
      <c r="BI40" s="217">
        <f>BC40/'R&amp;H Portfolio'!Q$10</f>
      </c>
      <c r="BJ40" s="215">
        <f>BF40*P40</f>
      </c>
      <c r="BK40" s="3"/>
      <c r="BL40" s="3"/>
      <c r="BM40" s="3"/>
    </row>
    <row x14ac:dyDescent="0.25" r="41" customHeight="1" ht="15">
      <c r="A41" s="202">
        <v>25568.79196759259</v>
      </c>
      <c r="B41" s="203" t="s">
        <v>285</v>
      </c>
      <c r="C41" s="204" t="s">
        <v>286</v>
      </c>
      <c r="D41" s="70" t="s">
        <v>287</v>
      </c>
      <c r="E41" s="70" t="s">
        <v>242</v>
      </c>
      <c r="F41" s="70" t="s">
        <v>160</v>
      </c>
      <c r="G41" s="205">
        <v>637</v>
      </c>
      <c r="H41" s="206">
        <v>1.35</v>
      </c>
      <c r="I41" s="207">
        <v>0.1</v>
      </c>
      <c r="J41" s="208">
        <f>H41+I41</f>
      </c>
      <c r="K41" s="209">
        <v>100000</v>
      </c>
      <c r="L41" s="58">
        <f>K41*I41</f>
      </c>
      <c r="M41" s="58">
        <f>K41*J41</f>
      </c>
      <c r="N41" s="16"/>
      <c r="O41" s="210">
        <v>20</v>
      </c>
      <c r="P41" s="211">
        <f>IF(ISBLANK(N41),O41/4.3,N41/20)</f>
      </c>
      <c r="Q41" s="209">
        <v>7000</v>
      </c>
      <c r="R41" s="212" t="s">
        <v>133</v>
      </c>
      <c r="S41" s="3"/>
      <c r="T41" s="213">
        <f>IF(ISBLANK(R41),0,X41)</f>
      </c>
      <c r="U41" s="213">
        <f>IF(ISBLANK(S41),0,X41)</f>
      </c>
      <c r="V41" s="214">
        <f>IFERROR(Q41/K41,0)</f>
      </c>
      <c r="W41" s="58">
        <f>IFERROR(L41*V41,0)</f>
      </c>
      <c r="X41" s="213">
        <f>IFERROR(Q41+W41,0)</f>
      </c>
      <c r="Y41" s="213">
        <f>IFERROR(M41*V41,0)</f>
      </c>
      <c r="Z41" s="213">
        <f>Y41-(Y41*$B$1)</f>
      </c>
      <c r="AA41" s="67">
        <f>IFERROR(Z41/X41,"")</f>
      </c>
      <c r="AB41" s="215">
        <f>IFERROR(IF(ISBLANK(N41),Y41/O41,Y41/N41),0)</f>
      </c>
      <c r="AC41" s="215">
        <f>IFERROR(-1*(AB41*B$1),0)</f>
      </c>
      <c r="AD41" s="215">
        <f>IFERROR(SUM(AB41:AC41),0)</f>
      </c>
      <c r="AE41" s="215">
        <f>IF(ISBLANK(N41),AD41,AD41*5)</f>
      </c>
      <c r="AF41" s="216">
        <f>SUM(AG41:BC41)</f>
      </c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>
        <v>492.27</v>
      </c>
      <c r="AY41" s="207">
        <v>492.28</v>
      </c>
      <c r="AZ41" s="207">
        <v>492.27</v>
      </c>
      <c r="BA41" s="207">
        <v>492.28</v>
      </c>
      <c r="BB41" s="207">
        <v>492.27</v>
      </c>
      <c r="BC41" s="188"/>
      <c r="BD41" s="215">
        <f>Z41-AF41</f>
      </c>
      <c r="BE41" s="238">
        <f>IFERROR(AF41/Y41,0)</f>
      </c>
      <c r="BF41" s="214">
        <f>IFERROR(AF41/X41,0)</f>
      </c>
      <c r="BG41" s="214">
        <f>IFERROR((X41/SUM(X$34:X$46)),0)</f>
      </c>
      <c r="BH41" s="214">
        <f>BC41/SUM(BC$3:BC238)</f>
      </c>
      <c r="BI41" s="217">
        <f>BC41/'R&amp;H Portfolio'!Q$10</f>
      </c>
      <c r="BJ41" s="215">
        <f>BF41*P41</f>
      </c>
      <c r="BK41" s="3"/>
      <c r="BL41" s="3"/>
      <c r="BM41" s="3"/>
    </row>
    <row x14ac:dyDescent="0.25" r="42" customHeight="1" ht="15">
      <c r="A42" s="202">
        <v>25568.79196759259</v>
      </c>
      <c r="B42" s="203" t="s">
        <v>288</v>
      </c>
      <c r="C42" s="3"/>
      <c r="D42" s="70" t="s">
        <v>289</v>
      </c>
      <c r="E42" s="70" t="s">
        <v>242</v>
      </c>
      <c r="F42" s="70" t="s">
        <v>170</v>
      </c>
      <c r="G42" s="205">
        <v>572</v>
      </c>
      <c r="H42" s="206">
        <v>1.34</v>
      </c>
      <c r="I42" s="207">
        <v>0.12</v>
      </c>
      <c r="J42" s="208">
        <f>H42+I42</f>
      </c>
      <c r="K42" s="209">
        <v>75000</v>
      </c>
      <c r="L42" s="58">
        <f>K42*I42</f>
      </c>
      <c r="M42" s="58">
        <f>K42*J42</f>
      </c>
      <c r="N42" s="210">
        <v>168</v>
      </c>
      <c r="O42" s="16"/>
      <c r="P42" s="211">
        <f>IF(ISBLANK(N42),O42/4.3,N42/20)</f>
      </c>
      <c r="Q42" s="209">
        <v>4000</v>
      </c>
      <c r="R42" s="3"/>
      <c r="S42" s="212" t="s">
        <v>82</v>
      </c>
      <c r="T42" s="213">
        <f>IF(ISBLANK(R42),0,X42)</f>
      </c>
      <c r="U42" s="213">
        <f>IF(ISBLANK(S42),0,X42)</f>
      </c>
      <c r="V42" s="214">
        <f>IFERROR(Q42/K42,0)</f>
      </c>
      <c r="W42" s="58">
        <f>IFERROR(L42*V42,0)</f>
      </c>
      <c r="X42" s="213">
        <f>IFERROR(Q42+W42,0)</f>
      </c>
      <c r="Y42" s="213">
        <f>IFERROR(M42*V42,0)</f>
      </c>
      <c r="Z42" s="213">
        <f>Y42-(Y42*$B$1)</f>
      </c>
      <c r="AA42" s="67">
        <f>IFERROR(Z42/X42,"")</f>
      </c>
      <c r="AB42" s="215">
        <f>IFERROR(IF(ISBLANK(N42),Y42/O42,Y42/N42),0)</f>
      </c>
      <c r="AC42" s="215">
        <f>IFERROR(-1*(AB42*B$1),0)</f>
      </c>
      <c r="AD42" s="215">
        <f>IFERROR(SUM(AB42:AC42),0)</f>
      </c>
      <c r="AE42" s="215">
        <f>IF(ISBLANK(N42),AD42,AD42*5)</f>
      </c>
      <c r="AF42" s="216">
        <f>SUM(AG42:BC42)</f>
      </c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>
        <v>168.59</v>
      </c>
      <c r="AX42" s="18"/>
      <c r="AY42" s="207"/>
      <c r="AZ42" s="207"/>
      <c r="BA42" s="207"/>
      <c r="BB42" s="207"/>
      <c r="BC42" s="188"/>
      <c r="BD42" s="215">
        <f>Z42-AF42</f>
      </c>
      <c r="BE42" s="238">
        <f>IFERROR(AF42/Y42,0)</f>
      </c>
      <c r="BF42" s="214">
        <f>IFERROR(AF42/X42,0)</f>
      </c>
      <c r="BG42" s="214">
        <f>IFERROR((X42/SUM(X$34:X$46)),0)</f>
      </c>
      <c r="BH42" s="214">
        <f>BC42/SUM(BC$3:BC239)</f>
      </c>
      <c r="BI42" s="217">
        <f>BC42/'R&amp;H Portfolio'!Q$10</f>
      </c>
      <c r="BJ42" s="215">
        <f>BF42*P42</f>
      </c>
      <c r="BK42" s="3"/>
      <c r="BL42" s="3"/>
      <c r="BM42" s="3"/>
    </row>
    <row x14ac:dyDescent="0.25" r="43" customHeight="1" ht="15">
      <c r="A43" s="202">
        <v>25568.79196759259</v>
      </c>
      <c r="B43" s="247" t="s">
        <v>202</v>
      </c>
      <c r="C43" s="204" t="s">
        <v>203</v>
      </c>
      <c r="D43" s="70" t="s">
        <v>290</v>
      </c>
      <c r="E43" s="70" t="s">
        <v>205</v>
      </c>
      <c r="F43" s="70" t="s">
        <v>206</v>
      </c>
      <c r="G43" s="205">
        <v>620</v>
      </c>
      <c r="H43" s="206">
        <v>1.31</v>
      </c>
      <c r="I43" s="207">
        <v>0.09</v>
      </c>
      <c r="J43" s="208">
        <f>H43+I43</f>
      </c>
      <c r="K43" s="209">
        <v>125000</v>
      </c>
      <c r="L43" s="58">
        <f>K43*I43</f>
      </c>
      <c r="M43" s="58">
        <f>K43*J43</f>
      </c>
      <c r="N43" s="16"/>
      <c r="O43" s="210">
        <v>30</v>
      </c>
      <c r="P43" s="211">
        <f>IF(ISBLANK(N43),O43/4.3,N43/20)</f>
      </c>
      <c r="Q43" s="209">
        <v>6000</v>
      </c>
      <c r="R43" s="212" t="s">
        <v>133</v>
      </c>
      <c r="S43" s="3"/>
      <c r="T43" s="213">
        <f>IF(ISBLANK(R43),0,X43)</f>
      </c>
      <c r="U43" s="213">
        <f>IF(ISBLANK(S43),0,X43)</f>
      </c>
      <c r="V43" s="214">
        <f>IFERROR(Q43/K43,0)</f>
      </c>
      <c r="W43" s="58">
        <f>IFERROR(L43*V43,0)</f>
      </c>
      <c r="X43" s="213">
        <f>IFERROR(Q43+W43,0)</f>
      </c>
      <c r="Y43" s="213">
        <f>IFERROR(M43*V43,0)</f>
      </c>
      <c r="Z43" s="213">
        <f>Y43-(Y43*$B$1)</f>
      </c>
      <c r="AA43" s="67">
        <f>IFERROR(Z43/X43,"")</f>
      </c>
      <c r="AB43" s="215">
        <f>IFERROR(IF(ISBLANK(N43),Y43/O43,Y43/N43),0)</f>
      </c>
      <c r="AC43" s="215">
        <f>IFERROR(-1*(AB43*B$1),0)</f>
      </c>
      <c r="AD43" s="215">
        <f>IFERROR(SUM(AB43:AC43),0)</f>
      </c>
      <c r="AE43" s="215">
        <f>IF(ISBLANK(N43),AD43,AD43*5)</f>
      </c>
      <c r="AF43" s="216">
        <f>SUM(AG43:BC43)</f>
      </c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>
        <v>271.6</v>
      </c>
      <c r="AY43" s="207">
        <v>271.6</v>
      </c>
      <c r="AZ43" s="207">
        <v>271.59</v>
      </c>
      <c r="BA43" s="207"/>
      <c r="BB43" s="207">
        <v>271.6</v>
      </c>
      <c r="BC43" s="188"/>
      <c r="BD43" s="215">
        <f>Z43-AF43</f>
      </c>
      <c r="BE43" s="238">
        <f>IFERROR(AF43/Y43,0)</f>
      </c>
      <c r="BF43" s="214">
        <f>IFERROR(AF43/X43,0)</f>
      </c>
      <c r="BG43" s="214">
        <f>IFERROR((X43/SUM(X$34:X$46)),0)</f>
      </c>
      <c r="BH43" s="214">
        <f>BC43/SUM(BC$3:BC240)</f>
      </c>
      <c r="BI43" s="217">
        <f>BC43/'R&amp;H Portfolio'!Q$10</f>
      </c>
      <c r="BJ43" s="215">
        <f>BF43*P43</f>
      </c>
      <c r="BK43" s="3"/>
      <c r="BL43" s="3"/>
      <c r="BM43" s="3"/>
    </row>
    <row x14ac:dyDescent="0.25" r="44" customHeight="1" ht="15">
      <c r="A44" s="202">
        <v>25568.79196759259</v>
      </c>
      <c r="B44" s="203" t="s">
        <v>291</v>
      </c>
      <c r="C44" s="3"/>
      <c r="D44" s="70" t="s">
        <v>292</v>
      </c>
      <c r="E44" s="70" t="s">
        <v>293</v>
      </c>
      <c r="F44" s="70" t="s">
        <v>160</v>
      </c>
      <c r="G44" s="205">
        <v>598</v>
      </c>
      <c r="H44" s="206">
        <v>1.32</v>
      </c>
      <c r="I44" s="207">
        <v>0.1</v>
      </c>
      <c r="J44" s="208">
        <f>H44+I44</f>
      </c>
      <c r="K44" s="209">
        <v>80000</v>
      </c>
      <c r="L44" s="58">
        <f>K44*I44</f>
      </c>
      <c r="M44" s="58">
        <f>K44*J44</f>
      </c>
      <c r="N44" s="210">
        <v>189</v>
      </c>
      <c r="O44" s="16"/>
      <c r="P44" s="211">
        <f>IF(ISBLANK(N44),O44/4.3,N44/20)</f>
      </c>
      <c r="Q44" s="209">
        <v>8000</v>
      </c>
      <c r="R44" s="212" t="s">
        <v>133</v>
      </c>
      <c r="S44" s="3"/>
      <c r="T44" s="213">
        <f>IF(ISBLANK(R44),0,X44)</f>
      </c>
      <c r="U44" s="213">
        <f>IF(ISBLANK(S44),0,X44)</f>
      </c>
      <c r="V44" s="214">
        <f>IFERROR(Q44/K44,0)</f>
      </c>
      <c r="W44" s="58">
        <f>IFERROR(L44*V44,0)</f>
      </c>
      <c r="X44" s="213">
        <f>IFERROR(Q44+W44,0)</f>
      </c>
      <c r="Y44" s="213">
        <f>IFERROR(M44*V44,0)</f>
      </c>
      <c r="Z44" s="213">
        <f>Y44-(Y44*$B$1)</f>
      </c>
      <c r="AA44" s="67">
        <f>IFERROR(Z44/X44,"")</f>
      </c>
      <c r="AB44" s="215">
        <f>IFERROR(IF(ISBLANK(N44),Y44/O44,Y44/N44),0)</f>
      </c>
      <c r="AC44" s="215">
        <f>IFERROR(-1*(AB44*B$1),0)</f>
      </c>
      <c r="AD44" s="215">
        <f>IFERROR(SUM(AB44:AC44),0)</f>
      </c>
      <c r="AE44" s="215">
        <f>IF(ISBLANK(N44),AD44,AD44*5)</f>
      </c>
      <c r="AF44" s="216">
        <f>SUM(AG44:BC44)</f>
      </c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>
        <v>116.6</v>
      </c>
      <c r="AX44" s="207">
        <v>116.61</v>
      </c>
      <c r="AY44" s="207"/>
      <c r="AZ44" s="207"/>
      <c r="BA44" s="207"/>
      <c r="BB44" s="207"/>
      <c r="BC44" s="188"/>
      <c r="BD44" s="215">
        <f>Z44-AF44</f>
      </c>
      <c r="BE44" s="238">
        <f>IFERROR(AF44/Y44,0)</f>
      </c>
      <c r="BF44" s="214">
        <f>IFERROR(AF44/X44,0)</f>
      </c>
      <c r="BG44" s="214">
        <f>IFERROR((X44/SUM(X$34:X$46)),0)</f>
      </c>
      <c r="BH44" s="214">
        <f>BC44/SUM(BC$3:BC241)</f>
      </c>
      <c r="BI44" s="217">
        <f>BC44/'R&amp;H Portfolio'!Q$10</f>
      </c>
      <c r="BJ44" s="215">
        <f>BF44*P44</f>
      </c>
      <c r="BK44" s="3"/>
      <c r="BL44" s="3"/>
      <c r="BM44" s="3"/>
    </row>
    <row x14ac:dyDescent="0.25" r="45" customHeight="1" ht="15">
      <c r="A45" s="202">
        <v>25568.79196759259</v>
      </c>
      <c r="B45" s="203" t="s">
        <v>294</v>
      </c>
      <c r="C45" s="204" t="s">
        <v>295</v>
      </c>
      <c r="D45" s="70" t="s">
        <v>296</v>
      </c>
      <c r="E45" s="70" t="s">
        <v>164</v>
      </c>
      <c r="F45" s="70" t="s">
        <v>226</v>
      </c>
      <c r="G45" s="205">
        <v>701</v>
      </c>
      <c r="H45" s="206">
        <v>1.26</v>
      </c>
      <c r="I45" s="207">
        <v>0.04</v>
      </c>
      <c r="J45" s="208">
        <f>H45+I45</f>
      </c>
      <c r="K45" s="209">
        <v>20000</v>
      </c>
      <c r="L45" s="58">
        <f>K45*I45</f>
      </c>
      <c r="M45" s="58">
        <f>K45*J45</f>
      </c>
      <c r="N45" s="16"/>
      <c r="O45" s="210">
        <v>40</v>
      </c>
      <c r="P45" s="211">
        <f>IF(ISBLANK(N45),O45/4.3,N45/20)</f>
      </c>
      <c r="Q45" s="209">
        <v>3000</v>
      </c>
      <c r="R45" s="212" t="s">
        <v>133</v>
      </c>
      <c r="S45" s="3"/>
      <c r="T45" s="213">
        <f>IF(ISBLANK(R45),0,X45)</f>
      </c>
      <c r="U45" s="213">
        <f>IF(ISBLANK(S45),0,X45)</f>
      </c>
      <c r="V45" s="214">
        <f>IFERROR(Q45/K45,0)</f>
      </c>
      <c r="W45" s="58">
        <f>IFERROR(L45*V45,0)</f>
      </c>
      <c r="X45" s="213">
        <f>IFERROR(Q45+W45,0)</f>
      </c>
      <c r="Y45" s="213">
        <f>IFERROR(M45*V45,0)</f>
      </c>
      <c r="Z45" s="213">
        <f>Y45-(Y45*$B$1)</f>
      </c>
      <c r="AA45" s="67">
        <f>IFERROR(Z45/X45,"")</f>
      </c>
      <c r="AB45" s="215">
        <f>IFERROR(IF(ISBLANK(N45),Y45/O45,Y45/N45),0)</f>
      </c>
      <c r="AC45" s="215">
        <f>IFERROR(-1*(AB45*B$1),0)</f>
      </c>
      <c r="AD45" s="215">
        <f>IFERROR(SUM(AB45:AC45),0)</f>
      </c>
      <c r="AE45" s="215">
        <f>IF(ISBLANK(N45),AD45,AD45*5)</f>
      </c>
      <c r="AF45" s="216">
        <f>SUM(AG45:BC45)</f>
      </c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>
        <v>94.57</v>
      </c>
      <c r="AY45" s="207">
        <v>94.58</v>
      </c>
      <c r="AZ45" s="207">
        <v>94.57</v>
      </c>
      <c r="BA45" s="207">
        <v>94.58</v>
      </c>
      <c r="BB45" s="207">
        <v>94.57</v>
      </c>
      <c r="BC45" s="188"/>
      <c r="BD45" s="215">
        <f>Z45-AF45</f>
      </c>
      <c r="BE45" s="238">
        <f>IFERROR(AF45/Y45,0)</f>
      </c>
      <c r="BF45" s="214">
        <f>IFERROR(AF45/X45,0)</f>
      </c>
      <c r="BG45" s="214">
        <f>IFERROR((X45/SUM(X$34:X$46)),0)</f>
      </c>
      <c r="BH45" s="214">
        <f>BC45/SUM(BC$3:BC242)</f>
      </c>
      <c r="BI45" s="217">
        <f>BC45/'R&amp;H Portfolio'!Q$10</f>
      </c>
      <c r="BJ45" s="215">
        <f>BF45*P45</f>
      </c>
      <c r="BK45" s="3"/>
      <c r="BL45" s="3"/>
      <c r="BM45" s="3"/>
    </row>
    <row x14ac:dyDescent="0.25" r="46" customHeight="1" ht="15">
      <c r="A46" s="223">
        <v>25568.79196759259</v>
      </c>
      <c r="B46" s="224" t="s">
        <v>297</v>
      </c>
      <c r="C46" s="225" t="s">
        <v>298</v>
      </c>
      <c r="D46" s="226" t="s">
        <v>299</v>
      </c>
      <c r="E46" s="226" t="s">
        <v>300</v>
      </c>
      <c r="F46" s="226" t="s">
        <v>192</v>
      </c>
      <c r="G46" s="245">
        <v>754</v>
      </c>
      <c r="H46" s="228">
        <v>1.3</v>
      </c>
      <c r="I46" s="229">
        <v>0.12</v>
      </c>
      <c r="J46" s="230">
        <f>H46+I46</f>
      </c>
      <c r="K46" s="231">
        <v>75000</v>
      </c>
      <c r="L46" s="232">
        <f>K46*I46</f>
      </c>
      <c r="M46" s="232">
        <f>K46*J46</f>
      </c>
      <c r="N46" s="233"/>
      <c r="O46" s="233">
        <v>42</v>
      </c>
      <c r="P46" s="234">
        <f>IF(ISBLANK(N46),O46/4.3,N46/20)</f>
      </c>
      <c r="Q46" s="231">
        <v>7500</v>
      </c>
      <c r="R46" s="246" t="s">
        <v>301</v>
      </c>
      <c r="S46" s="246"/>
      <c r="T46" s="239">
        <f>IF(ISBLANK(R46),0,X46)</f>
      </c>
      <c r="U46" s="239">
        <f>IF(ISBLANK(S46),0,X46)</f>
      </c>
      <c r="V46" s="238">
        <f>IFERROR(Q46/K46,0)</f>
      </c>
      <c r="W46" s="232">
        <f>IFERROR(L46*V46,0)</f>
      </c>
      <c r="X46" s="239">
        <f>IFERROR(Q46+W46,0)</f>
      </c>
      <c r="Y46" s="239">
        <f>IFERROR(M46*V46,0)</f>
      </c>
      <c r="Z46" s="239">
        <f>Y46-(Y46*$B$1)</f>
      </c>
      <c r="AA46" s="240">
        <f>IFERROR(Z46/X46,"")</f>
      </c>
      <c r="AB46" s="241">
        <f>IFERROR(IF(ISBLANK(N46),Y46/O46,Y46/N46),0)</f>
      </c>
      <c r="AC46" s="241">
        <f>IFERROR(-1*(AB46*B$1),0)</f>
      </c>
      <c r="AD46" s="241">
        <f>IFERROR(SUM(AB46:AC46),0)</f>
      </c>
      <c r="AE46" s="241">
        <f>IF(ISBLANK(N46),AD46,AD46*5)</f>
      </c>
      <c r="AF46" s="242">
        <f>SUM(AG46:BC46)</f>
      </c>
      <c r="AG46" s="229"/>
      <c r="AH46" s="229"/>
      <c r="AI46" s="229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29"/>
      <c r="AU46" s="229"/>
      <c r="AV46" s="229"/>
      <c r="AW46" s="229"/>
      <c r="AX46" s="229">
        <v>245.96</v>
      </c>
      <c r="AY46" s="229">
        <v>245.96</v>
      </c>
      <c r="AZ46" s="229"/>
      <c r="BA46" s="229">
        <v>245.97</v>
      </c>
      <c r="BB46" s="229">
        <v>491.92</v>
      </c>
      <c r="BC46" s="188">
        <v>245.97</v>
      </c>
      <c r="BD46" s="241">
        <f>Z46-AF46</f>
      </c>
      <c r="BE46" s="238">
        <f>IFERROR(AF46/Y46,0)</f>
      </c>
      <c r="BF46" s="238">
        <f>IFERROR(AF46/X46,0)</f>
      </c>
      <c r="BG46" s="214">
        <f>IFERROR((X46/SUM(X$34:X$46)),0)</f>
      </c>
      <c r="BH46" s="238">
        <f>BC46/SUM(BC$3:BC243)</f>
      </c>
      <c r="BI46" s="217">
        <f>BC46/'R&amp;H Portfolio'!Q$10</f>
      </c>
      <c r="BJ46" s="241">
        <f>BF46*P46</f>
      </c>
      <c r="BK46" s="3"/>
      <c r="BL46" s="3"/>
      <c r="BM46" s="3"/>
    </row>
    <row x14ac:dyDescent="0.25" r="47" customHeight="1" ht="15">
      <c r="A47" s="202">
        <v>25568.79196759259</v>
      </c>
      <c r="B47" s="203" t="s">
        <v>302</v>
      </c>
      <c r="C47" s="204" t="s">
        <v>303</v>
      </c>
      <c r="D47" s="70" t="s">
        <v>304</v>
      </c>
      <c r="E47" s="70" t="s">
        <v>305</v>
      </c>
      <c r="F47" s="70" t="s">
        <v>306</v>
      </c>
      <c r="G47" s="205">
        <v>756</v>
      </c>
      <c r="H47" s="206">
        <v>1.3</v>
      </c>
      <c r="I47" s="207">
        <v>0.07</v>
      </c>
      <c r="J47" s="208">
        <f>H47+I47</f>
      </c>
      <c r="K47" s="209">
        <v>32000</v>
      </c>
      <c r="L47" s="58">
        <f>K47*I47</f>
      </c>
      <c r="M47" s="58">
        <f>K47*J47</f>
      </c>
      <c r="N47" s="16"/>
      <c r="O47" s="210">
        <v>32</v>
      </c>
      <c r="P47" s="211">
        <f>IF(ISBLANK(N47),O47/4.3,N47/20)</f>
      </c>
      <c r="Q47" s="209">
        <v>3500</v>
      </c>
      <c r="R47" s="212" t="s">
        <v>133</v>
      </c>
      <c r="S47" s="3"/>
      <c r="T47" s="213">
        <f>IF(ISBLANK(R47),0,X47)</f>
      </c>
      <c r="U47" s="213">
        <f>IF(ISBLANK(S47),0,X47)</f>
      </c>
      <c r="V47" s="214">
        <f>IFERROR(Q47/K47,0)</f>
      </c>
      <c r="W47" s="58">
        <f>IFERROR(L47*V47,0)</f>
      </c>
      <c r="X47" s="213">
        <f>IFERROR(Q47+W47,0)</f>
      </c>
      <c r="Y47" s="213">
        <f>IFERROR(M47*V47,0)</f>
      </c>
      <c r="Z47" s="213">
        <f>Y47-(Y47*$B$1)</f>
      </c>
      <c r="AA47" s="67">
        <f>IFERROR(Z47/X47,"")</f>
      </c>
      <c r="AB47" s="215">
        <f>IFERROR(IF(ISBLANK(N47),Y47/O47,Y47/N47),0)</f>
      </c>
      <c r="AC47" s="215">
        <f>IFERROR(-1*(AB47*B$1),0)</f>
      </c>
      <c r="AD47" s="215">
        <f>IFERROR(SUM(AB47:AC47),0)</f>
      </c>
      <c r="AE47" s="215">
        <f>IF(ISBLANK(N47),AD47,AD47*5)</f>
      </c>
      <c r="AF47" s="216">
        <f>SUM(AG47:BC47)</f>
      </c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>
        <v>145.34</v>
      </c>
      <c r="AY47" s="207">
        <v>145.35</v>
      </c>
      <c r="AZ47" s="207">
        <v>145.35</v>
      </c>
      <c r="BA47" s="207">
        <v>145.35</v>
      </c>
      <c r="BB47" s="207">
        <v>145.35</v>
      </c>
      <c r="BC47" s="188"/>
      <c r="BD47" s="215">
        <f>Z47-AF47</f>
      </c>
      <c r="BE47" s="238">
        <f>IFERROR(AF47/Y47,0)</f>
      </c>
      <c r="BF47" s="214">
        <f>IFERROR(AF47/X47,0)</f>
      </c>
      <c r="BG47" s="214">
        <f>IFERROR((X47/SUM(X$47:X$57)),0)</f>
      </c>
      <c r="BH47" s="214">
        <f>BC47/SUM(BC$3:BC244)</f>
      </c>
      <c r="BI47" s="217">
        <f>BC47/'R&amp;H Portfolio'!Q$10</f>
      </c>
      <c r="BJ47" s="215">
        <f>BF47*P47</f>
      </c>
      <c r="BK47" s="3"/>
      <c r="BL47" s="3"/>
      <c r="BM47" s="3"/>
    </row>
    <row x14ac:dyDescent="0.25" r="48" customHeight="1" ht="15">
      <c r="A48" s="202">
        <v>25568.79196759259</v>
      </c>
      <c r="B48" s="203" t="s">
        <v>307</v>
      </c>
      <c r="C48" s="204" t="s">
        <v>308</v>
      </c>
      <c r="D48" s="70" t="s">
        <v>309</v>
      </c>
      <c r="E48" s="70" t="s">
        <v>242</v>
      </c>
      <c r="F48" s="70" t="s">
        <v>258</v>
      </c>
      <c r="G48" s="205">
        <v>643</v>
      </c>
      <c r="H48" s="206">
        <v>1.33</v>
      </c>
      <c r="I48" s="207">
        <v>0.09</v>
      </c>
      <c r="J48" s="208">
        <f>H48+I48</f>
      </c>
      <c r="K48" s="209">
        <v>30000</v>
      </c>
      <c r="L48" s="58">
        <f>K48*I48</f>
      </c>
      <c r="M48" s="58">
        <f>K48*J48</f>
      </c>
      <c r="N48" s="210">
        <v>147</v>
      </c>
      <c r="O48" s="16"/>
      <c r="P48" s="211">
        <f>IF(ISBLANK(N48),O48/4.3,N48/20)</f>
      </c>
      <c r="Q48" s="209">
        <v>3000</v>
      </c>
      <c r="R48" s="212" t="s">
        <v>133</v>
      </c>
      <c r="S48" s="3"/>
      <c r="T48" s="213">
        <f>IF(ISBLANK(R48),0,X48)</f>
      </c>
      <c r="U48" s="213">
        <f>IF(ISBLANK(S48),0,X48)</f>
      </c>
      <c r="V48" s="214">
        <f>IFERROR(Q48/K48,0)</f>
      </c>
      <c r="W48" s="58">
        <f>IFERROR(L48*V48,0)</f>
      </c>
      <c r="X48" s="213">
        <f>IFERROR(Q48+W48,0)</f>
      </c>
      <c r="Y48" s="213">
        <f>IFERROR(M48*V48,0)</f>
      </c>
      <c r="Z48" s="213">
        <f>Y48-(Y48*$B$1)</f>
      </c>
      <c r="AA48" s="67">
        <f>IFERROR(Z48/X48,"")</f>
      </c>
      <c r="AB48" s="215">
        <f>IFERROR(IF(ISBLANK(N48),Y48/O48,Y48/N48),0)</f>
      </c>
      <c r="AC48" s="215">
        <f>IFERROR(-1*(AB48*B$1),0)</f>
      </c>
      <c r="AD48" s="215">
        <f>IFERROR(SUM(AB48:AC48),0)</f>
      </c>
      <c r="AE48" s="215">
        <f>IF(ISBLANK(N48),AD48,AD48*5)</f>
      </c>
      <c r="AF48" s="216">
        <f>SUM(AG48:BC48)</f>
      </c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>
        <v>28.11</v>
      </c>
      <c r="BA48" s="207">
        <v>112.44</v>
      </c>
      <c r="BB48" s="207">
        <v>140.55</v>
      </c>
      <c r="BC48" s="188">
        <v>140.55</v>
      </c>
      <c r="BD48" s="215">
        <f>Z48-AF48</f>
      </c>
      <c r="BE48" s="238">
        <f>IFERROR(AF48/Y48,0)</f>
      </c>
      <c r="BF48" s="214">
        <f>IFERROR(AF48/X48,0)</f>
      </c>
      <c r="BG48" s="214">
        <f>IFERROR((X48/SUM(X$47:X$57)),0)</f>
      </c>
      <c r="BH48" s="214">
        <f>BC48/SUM(BC$3:BC245)</f>
      </c>
      <c r="BI48" s="217">
        <f>BC48/'R&amp;H Portfolio'!Q$10</f>
      </c>
      <c r="BJ48" s="215">
        <f>BF48*P48</f>
      </c>
      <c r="BK48" s="3"/>
      <c r="BL48" s="3"/>
      <c r="BM48" s="3"/>
    </row>
    <row x14ac:dyDescent="0.25" r="49" customHeight="1" ht="15">
      <c r="A49" s="202">
        <v>25568.79196759259</v>
      </c>
      <c r="B49" s="203" t="s">
        <v>310</v>
      </c>
      <c r="C49" s="204" t="s">
        <v>311</v>
      </c>
      <c r="D49" s="70" t="s">
        <v>312</v>
      </c>
      <c r="E49" s="70" t="s">
        <v>164</v>
      </c>
      <c r="F49" s="70" t="s">
        <v>206</v>
      </c>
      <c r="G49" s="205">
        <v>661</v>
      </c>
      <c r="H49" s="206">
        <v>1.32</v>
      </c>
      <c r="I49" s="207">
        <v>0.12</v>
      </c>
      <c r="J49" s="208">
        <f>H49+I49</f>
      </c>
      <c r="K49" s="209">
        <v>42000</v>
      </c>
      <c r="L49" s="58">
        <f>K49*I49</f>
      </c>
      <c r="M49" s="58">
        <f>K49*J49</f>
      </c>
      <c r="N49" s="16"/>
      <c r="O49" s="210">
        <v>32</v>
      </c>
      <c r="P49" s="211">
        <f>IF(ISBLANK(N49),O49/4.3,N49/20)</f>
      </c>
      <c r="Q49" s="209">
        <v>4000</v>
      </c>
      <c r="R49" s="212" t="s">
        <v>133</v>
      </c>
      <c r="S49" s="3"/>
      <c r="T49" s="213">
        <f>IF(ISBLANK(R49),0,X49)</f>
      </c>
      <c r="U49" s="213">
        <f>IF(ISBLANK(S49),0,X49)</f>
      </c>
      <c r="V49" s="214">
        <f>IFERROR(Q49/K49,0)</f>
      </c>
      <c r="W49" s="58">
        <f>IFERROR(L49*V49,0)</f>
      </c>
      <c r="X49" s="213">
        <f>IFERROR(Q49+W49,0)</f>
      </c>
      <c r="Y49" s="213">
        <f>IFERROR(M49*V49,0)</f>
      </c>
      <c r="Z49" s="213">
        <f>Y49-(Y49*$B$1)</f>
      </c>
      <c r="AA49" s="67">
        <f>IFERROR(Z49/X49,"")</f>
      </c>
      <c r="AB49" s="215">
        <f>IFERROR(IF(ISBLANK(N49),Y49/O49,Y49/N49),0)</f>
      </c>
      <c r="AC49" s="215">
        <f>IFERROR(-1*(AB49*B$1),0)</f>
      </c>
      <c r="AD49" s="215">
        <f>IFERROR(SUM(AB49:AC49),0)</f>
      </c>
      <c r="AE49" s="215">
        <f>IF(ISBLANK(N49),AD49,AD49*5)</f>
      </c>
      <c r="AF49" s="216">
        <f>SUM(AG49:BC49)</f>
      </c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>
        <v>174.6</v>
      </c>
      <c r="AZ49" s="207">
        <v>174.6</v>
      </c>
      <c r="BA49" s="207"/>
      <c r="BB49" s="207"/>
      <c r="BC49" s="188"/>
      <c r="BD49" s="215">
        <f>Z49-AF49</f>
      </c>
      <c r="BE49" s="238">
        <f>IFERROR(AF49/Y49,0)</f>
      </c>
      <c r="BF49" s="214">
        <f>IFERROR(AF49/X49,0)</f>
      </c>
      <c r="BG49" s="214">
        <f>IFERROR((X49/SUM(X$47:X$57)),0)</f>
      </c>
      <c r="BH49" s="214">
        <f>BC49/SUM(BC$3:BC246)</f>
      </c>
      <c r="BI49" s="217">
        <f>BC49/'R&amp;H Portfolio'!Q$10</f>
      </c>
      <c r="BJ49" s="215">
        <f>BF49*P49</f>
      </c>
      <c r="BK49" s="3"/>
      <c r="BL49" s="3"/>
      <c r="BM49" s="3"/>
    </row>
    <row x14ac:dyDescent="0.25" r="50" customHeight="1" ht="15">
      <c r="A50" s="202">
        <v>25568.79196759259</v>
      </c>
      <c r="B50" s="203" t="s">
        <v>313</v>
      </c>
      <c r="C50" s="204" t="s">
        <v>314</v>
      </c>
      <c r="D50" s="70" t="s">
        <v>315</v>
      </c>
      <c r="E50" s="70" t="s">
        <v>316</v>
      </c>
      <c r="F50" s="70" t="s">
        <v>206</v>
      </c>
      <c r="G50" s="205">
        <v>717</v>
      </c>
      <c r="H50" s="206">
        <v>1.3</v>
      </c>
      <c r="I50" s="207">
        <v>0.1</v>
      </c>
      <c r="J50" s="208">
        <f>H50+I50</f>
      </c>
      <c r="K50" s="209">
        <v>50000</v>
      </c>
      <c r="L50" s="58">
        <f>K50*I50</f>
      </c>
      <c r="M50" s="58">
        <f>K50*J50</f>
      </c>
      <c r="N50" s="16"/>
      <c r="O50" s="210">
        <v>32</v>
      </c>
      <c r="P50" s="211">
        <f>IF(ISBLANK(N50),O50/4.3,N50/20)</f>
      </c>
      <c r="Q50" s="209">
        <v>7000</v>
      </c>
      <c r="R50" s="3"/>
      <c r="S50" s="212" t="s">
        <v>82</v>
      </c>
      <c r="T50" s="213">
        <f>IF(ISBLANK(R50),0,X50)</f>
      </c>
      <c r="U50" s="213">
        <f>IF(ISBLANK(S50),0,X50)</f>
      </c>
      <c r="V50" s="214">
        <f>IFERROR(Q50/K50,0)</f>
      </c>
      <c r="W50" s="58">
        <f>IFERROR(L50*V50,0)</f>
      </c>
      <c r="X50" s="213">
        <f>IFERROR(Q50+W50,0)</f>
      </c>
      <c r="Y50" s="213">
        <f>IFERROR(M50*V50,0)</f>
      </c>
      <c r="Z50" s="213">
        <f>Y50-(Y50*$B$1)</f>
      </c>
      <c r="AA50" s="67">
        <f>IFERROR(Z50/X50,"")</f>
      </c>
      <c r="AB50" s="215">
        <f>IFERROR(IF(ISBLANK(N50),Y50/O50,Y50/N50),0)</f>
      </c>
      <c r="AC50" s="215">
        <f>IFERROR(-1*(AB50*B$1),0)</f>
      </c>
      <c r="AD50" s="215">
        <f>IFERROR(SUM(AB50:AC50),0)</f>
      </c>
      <c r="AE50" s="215">
        <f>IF(ISBLANK(N50),AD50,AD50*5)</f>
      </c>
      <c r="AF50" s="216">
        <f>SUM(AG50:BC50)</f>
      </c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7">
        <v>297.06</v>
      </c>
      <c r="AZ50" s="207">
        <v>297.06</v>
      </c>
      <c r="BA50" s="207">
        <v>297.06</v>
      </c>
      <c r="BB50" s="207">
        <v>297.07</v>
      </c>
      <c r="BC50" s="188">
        <v>297.07</v>
      </c>
      <c r="BD50" s="215">
        <f>Z50-AF50</f>
      </c>
      <c r="BE50" s="238">
        <f>IFERROR(AF50/Y50,0)</f>
      </c>
      <c r="BF50" s="214">
        <f>IFERROR(AF50/X50,0)</f>
      </c>
      <c r="BG50" s="214">
        <f>IFERROR((X50/SUM(X$47:X$57)),0)</f>
      </c>
      <c r="BH50" s="214">
        <f>BC50/SUM(BC$3:BC247)</f>
      </c>
      <c r="BI50" s="217">
        <f>BC50/'R&amp;H Portfolio'!Q$10</f>
      </c>
      <c r="BJ50" s="215">
        <f>BF50*P50</f>
      </c>
      <c r="BK50" s="3"/>
      <c r="BL50" s="3"/>
      <c r="BM50" s="3"/>
    </row>
    <row x14ac:dyDescent="0.25" r="51" customHeight="1" ht="15">
      <c r="A51" s="202">
        <v>25568.79196759259</v>
      </c>
      <c r="B51" s="203" t="s">
        <v>317</v>
      </c>
      <c r="C51" s="204" t="s">
        <v>318</v>
      </c>
      <c r="D51" s="70" t="s">
        <v>319</v>
      </c>
      <c r="E51" s="70" t="s">
        <v>201</v>
      </c>
      <c r="F51" s="70" t="s">
        <v>132</v>
      </c>
      <c r="G51" s="205">
        <v>606</v>
      </c>
      <c r="H51" s="206">
        <v>1.34</v>
      </c>
      <c r="I51" s="207">
        <v>0.04</v>
      </c>
      <c r="J51" s="208">
        <f>H51+I51</f>
      </c>
      <c r="K51" s="209">
        <v>30000</v>
      </c>
      <c r="L51" s="58">
        <f>K51*I51</f>
      </c>
      <c r="M51" s="58">
        <f>K51*J51</f>
      </c>
      <c r="N51" s="16"/>
      <c r="O51" s="210">
        <v>32</v>
      </c>
      <c r="P51" s="211">
        <f>IF(ISBLANK(N51),O51/4.3,N51/20)</f>
      </c>
      <c r="Q51" s="209">
        <v>3000</v>
      </c>
      <c r="R51" s="3"/>
      <c r="S51" s="212" t="s">
        <v>82</v>
      </c>
      <c r="T51" s="213">
        <f>IF(ISBLANK(R51),0,X51)</f>
      </c>
      <c r="U51" s="213">
        <f>IF(ISBLANK(S51),0,X51)</f>
      </c>
      <c r="V51" s="214">
        <f>IFERROR(Q51/K51,0)</f>
      </c>
      <c r="W51" s="58">
        <f>IFERROR(L51*V51,0)</f>
      </c>
      <c r="X51" s="213">
        <f>IFERROR(Q51+W51,0)</f>
      </c>
      <c r="Y51" s="213">
        <f>IFERROR(M51*V51,0)</f>
      </c>
      <c r="Z51" s="213">
        <f>Y51-(Y51*$B$1)</f>
      </c>
      <c r="AA51" s="67">
        <f>IFERROR(Z51/X51,"")</f>
      </c>
      <c r="AB51" s="215">
        <f>IFERROR(IF(ISBLANK(N51),Y51/O51,Y51/N51),0)</f>
      </c>
      <c r="AC51" s="215">
        <f>IFERROR(-1*(AB51*B$1),0)</f>
      </c>
      <c r="AD51" s="215">
        <f>IFERROR(SUM(AB51:AC51),0)</f>
      </c>
      <c r="AE51" s="215">
        <f>IF(ISBLANK(N51),AD51,AD51*5)</f>
      </c>
      <c r="AF51" s="216">
        <f>SUM(AG51:BC51)</f>
      </c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7">
        <v>125.49</v>
      </c>
      <c r="AZ51" s="207">
        <v>125.49</v>
      </c>
      <c r="BA51" s="207">
        <v>125.5</v>
      </c>
      <c r="BB51" s="207">
        <v>125.49</v>
      </c>
      <c r="BC51" s="188">
        <v>125.49</v>
      </c>
      <c r="BD51" s="215">
        <f>Z51-AF51</f>
      </c>
      <c r="BE51" s="238">
        <f>IFERROR(AF51/Y51,0)</f>
      </c>
      <c r="BF51" s="214">
        <f>IFERROR(AF51/X51,0)</f>
      </c>
      <c r="BG51" s="214">
        <f>IFERROR((X51/SUM(X$47:X$57)),0)</f>
      </c>
      <c r="BH51" s="214">
        <f>BC51/SUM(BC$3:BC248)</f>
      </c>
      <c r="BI51" s="217">
        <f>BC51/'R&amp;H Portfolio'!Q$10</f>
      </c>
      <c r="BJ51" s="215">
        <f>BF51*P51</f>
      </c>
      <c r="BK51" s="3"/>
      <c r="BL51" s="3"/>
      <c r="BM51" s="3"/>
    </row>
    <row x14ac:dyDescent="0.25" r="52" customHeight="1" ht="15">
      <c r="A52" s="202">
        <v>25568.79196759259</v>
      </c>
      <c r="B52" s="203" t="s">
        <v>320</v>
      </c>
      <c r="C52" s="204" t="s">
        <v>321</v>
      </c>
      <c r="D52" s="70" t="s">
        <v>322</v>
      </c>
      <c r="E52" s="70" t="s">
        <v>149</v>
      </c>
      <c r="F52" s="70" t="s">
        <v>226</v>
      </c>
      <c r="G52" s="205">
        <v>633</v>
      </c>
      <c r="H52" s="206">
        <v>1.3</v>
      </c>
      <c r="I52" s="207">
        <v>0.09</v>
      </c>
      <c r="J52" s="208">
        <f>H52+I52</f>
      </c>
      <c r="K52" s="209">
        <v>70000</v>
      </c>
      <c r="L52" s="58">
        <f>K52*I52</f>
      </c>
      <c r="M52" s="58">
        <f>K52*J52</f>
      </c>
      <c r="N52" s="16"/>
      <c r="O52" s="210">
        <v>36</v>
      </c>
      <c r="P52" s="211">
        <f>IF(ISBLANK(N52),O52/4.3,N52/20)</f>
      </c>
      <c r="Q52" s="209">
        <v>7000</v>
      </c>
      <c r="R52" s="212" t="s">
        <v>133</v>
      </c>
      <c r="S52" s="3"/>
      <c r="T52" s="213">
        <f>IF(ISBLANK(R52),0,X52)</f>
      </c>
      <c r="U52" s="213">
        <f>IF(ISBLANK(S52),0,X52)</f>
      </c>
      <c r="V52" s="214">
        <f>IFERROR(Q52/K52,0)</f>
      </c>
      <c r="W52" s="58">
        <f>IFERROR(L52*V52,0)</f>
      </c>
      <c r="X52" s="213">
        <f>IFERROR(Q52+W52,0)</f>
      </c>
      <c r="Y52" s="213">
        <f>IFERROR(M52*V52,0)</f>
      </c>
      <c r="Z52" s="213">
        <f>Y52-(Y52*$B$1)</f>
      </c>
      <c r="AA52" s="67">
        <f>IFERROR(Z52/X52,"")</f>
      </c>
      <c r="AB52" s="215">
        <f>IFERROR(IF(ISBLANK(N52),Y52/O52,Y52/N52),0)</f>
      </c>
      <c r="AC52" s="215">
        <f>IFERROR(-1*(AB52*B$1),0)</f>
      </c>
      <c r="AD52" s="215">
        <f>IFERROR(SUM(AB52:AC52),0)</f>
      </c>
      <c r="AE52" s="215">
        <f>IF(ISBLANK(N52),AD52,AD52*5)</f>
      </c>
      <c r="AF52" s="216">
        <f>SUM(AG52:BC52)</f>
      </c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7">
        <v>262.16</v>
      </c>
      <c r="AZ52" s="18"/>
      <c r="BA52" s="18"/>
      <c r="BB52" s="207">
        <v>262.17</v>
      </c>
      <c r="BC52" s="188"/>
      <c r="BD52" s="215">
        <f>Z52-AF52</f>
      </c>
      <c r="BE52" s="238">
        <f>IFERROR(AF52/Y52,0)</f>
      </c>
      <c r="BF52" s="214">
        <f>IFERROR(AF52/X52,0)</f>
      </c>
      <c r="BG52" s="214">
        <f>IFERROR((X52/SUM(X$47:X$57)),0)</f>
      </c>
      <c r="BH52" s="214">
        <f>BC52/SUM(BC$3:BC249)</f>
      </c>
      <c r="BI52" s="217">
        <f>BC52/'R&amp;H Portfolio'!Q$10</f>
      </c>
      <c r="BJ52" s="215">
        <f>BF52*P52</f>
      </c>
      <c r="BK52" s="3"/>
      <c r="BL52" s="3"/>
      <c r="BM52" s="3"/>
    </row>
    <row x14ac:dyDescent="0.25" r="53" customHeight="1" ht="15">
      <c r="A53" s="202">
        <v>25568.79196759259</v>
      </c>
      <c r="B53" s="203" t="s">
        <v>323</v>
      </c>
      <c r="C53" s="204" t="s">
        <v>324</v>
      </c>
      <c r="D53" s="70" t="s">
        <v>325</v>
      </c>
      <c r="E53" s="70" t="s">
        <v>326</v>
      </c>
      <c r="F53" s="70" t="s">
        <v>160</v>
      </c>
      <c r="G53" s="205">
        <v>512</v>
      </c>
      <c r="H53" s="206">
        <v>1.31</v>
      </c>
      <c r="I53" s="207">
        <v>0.09</v>
      </c>
      <c r="J53" s="208">
        <f>H53+I53</f>
      </c>
      <c r="K53" s="209">
        <v>45000</v>
      </c>
      <c r="L53" s="58">
        <f>K53*I53</f>
      </c>
      <c r="M53" s="58">
        <f>K53*J53</f>
      </c>
      <c r="N53" s="16"/>
      <c r="O53" s="210">
        <v>32</v>
      </c>
      <c r="P53" s="211">
        <f>IF(ISBLANK(N53),O53/4.3,N53/20)</f>
      </c>
      <c r="Q53" s="209">
        <v>4500</v>
      </c>
      <c r="R53" s="212" t="s">
        <v>133</v>
      </c>
      <c r="S53" s="3"/>
      <c r="T53" s="213">
        <f>IF(ISBLANK(R53),0,X53)</f>
      </c>
      <c r="U53" s="213">
        <f>IF(ISBLANK(S53),0,X53)</f>
      </c>
      <c r="V53" s="214">
        <f>IFERROR(Q53/K53,0)</f>
      </c>
      <c r="W53" s="58">
        <f>IFERROR(L53*V53,0)</f>
      </c>
      <c r="X53" s="213">
        <f>IFERROR(Q53+W53,0)</f>
      </c>
      <c r="Y53" s="213">
        <f>IFERROR(M53*V53,0)</f>
      </c>
      <c r="Z53" s="213">
        <f>Y53-(Y53*$B$1)</f>
      </c>
      <c r="AA53" s="67">
        <f>IFERROR(Z53/X53,"")</f>
      </c>
      <c r="AB53" s="215">
        <f>IFERROR(IF(ISBLANK(N53),Y53/O53,Y53/N53),0)</f>
      </c>
      <c r="AC53" s="215">
        <f>IFERROR(-1*(AB53*B$1),0)</f>
      </c>
      <c r="AD53" s="215">
        <f>IFERROR(SUM(AB53:AC53),0)</f>
      </c>
      <c r="AE53" s="215">
        <f>IF(ISBLANK(N53),AD53,AD53*5)</f>
      </c>
      <c r="AF53" s="216">
        <f>SUM(AG53:BC53)</f>
      </c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207">
        <v>190.96</v>
      </c>
      <c r="BA53" s="207">
        <v>190.97</v>
      </c>
      <c r="BB53" s="18"/>
      <c r="BC53" s="188"/>
      <c r="BD53" s="215">
        <f>Z53-AF53</f>
      </c>
      <c r="BE53" s="238">
        <f>IFERROR(AF53/Y53,0)</f>
      </c>
      <c r="BF53" s="214">
        <f>IFERROR(AF53/X53,0)</f>
      </c>
      <c r="BG53" s="214">
        <f>IFERROR((X53/SUM(X$47:X$57)),0)</f>
      </c>
      <c r="BH53" s="214">
        <f>BC53/SUM(BC$3:BC250)</f>
      </c>
      <c r="BI53" s="217">
        <f>BC53/'R&amp;H Portfolio'!Q$10</f>
      </c>
      <c r="BJ53" s="215">
        <f>BF53*P53</f>
      </c>
      <c r="BK53" s="3"/>
      <c r="BL53" s="3"/>
      <c r="BM53" s="3"/>
    </row>
    <row x14ac:dyDescent="0.25" r="54" customHeight="1" ht="15">
      <c r="A54" s="202">
        <v>25568.79196759259</v>
      </c>
      <c r="B54" s="247" t="s">
        <v>327</v>
      </c>
      <c r="C54" s="3"/>
      <c r="D54" s="70" t="s">
        <v>328</v>
      </c>
      <c r="E54" s="70" t="s">
        <v>252</v>
      </c>
      <c r="F54" s="70" t="s">
        <v>226</v>
      </c>
      <c r="G54" s="205"/>
      <c r="H54" s="206">
        <v>1.3</v>
      </c>
      <c r="I54" s="207">
        <v>0.06</v>
      </c>
      <c r="J54" s="208">
        <f>H54+I54</f>
      </c>
      <c r="K54" s="209">
        <v>70000</v>
      </c>
      <c r="L54" s="58">
        <f>K54*I54</f>
      </c>
      <c r="M54" s="58">
        <f>K54*J54</f>
      </c>
      <c r="N54" s="210">
        <v>100</v>
      </c>
      <c r="O54" s="16"/>
      <c r="P54" s="211">
        <f>IF(ISBLANK(N54),O54/4.3,N54/20)</f>
      </c>
      <c r="Q54" s="209">
        <v>5000</v>
      </c>
      <c r="R54" s="3"/>
      <c r="S54" s="212" t="s">
        <v>82</v>
      </c>
      <c r="T54" s="213">
        <f>IF(ISBLANK(R54),0,X54)</f>
      </c>
      <c r="U54" s="213">
        <f>IF(ISBLANK(S54),0,X54)</f>
      </c>
      <c r="V54" s="214">
        <f>IFERROR(Q54/K54,0)</f>
      </c>
      <c r="W54" s="58">
        <f>IFERROR(L54*V54,0)</f>
      </c>
      <c r="X54" s="213">
        <f>IFERROR(Q54+W54,0)</f>
      </c>
      <c r="Y54" s="213">
        <f>IFERROR(M54*V54,0)</f>
      </c>
      <c r="Z54" s="213">
        <f>Y54-(Y54*$B$1)</f>
      </c>
      <c r="AA54" s="67">
        <f>IFERROR(Z54/X54,"")</f>
      </c>
      <c r="AB54" s="215">
        <f>IFERROR(IF(ISBLANK(N54),Y54/O54,Y54/N54),0)</f>
      </c>
      <c r="AC54" s="215">
        <f>IFERROR(-1*(AB54*B$1),0)</f>
      </c>
      <c r="AD54" s="215">
        <f>IFERROR(SUM(AB54:AC54),0)</f>
      </c>
      <c r="AE54" s="215">
        <f>IF(ISBLANK(N54),AD54,AD54*5)</f>
      </c>
      <c r="AF54" s="216">
        <f>SUM(AG54:BC54)</f>
      </c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207">
        <v>287.67</v>
      </c>
      <c r="BB54" s="207">
        <v>195.9</v>
      </c>
      <c r="BC54" s="188"/>
      <c r="BD54" s="215">
        <f>Z54-AF54</f>
      </c>
      <c r="BE54" s="238">
        <f>IFERROR(AF54/Y54,0)</f>
      </c>
      <c r="BF54" s="214">
        <f>IFERROR(AF54/X54,0)</f>
      </c>
      <c r="BG54" s="214">
        <f>IFERROR((X54/SUM(X$47:X$57)),0)</f>
      </c>
      <c r="BH54" s="214">
        <f>BC54/SUM(BC$3:BC251)</f>
      </c>
      <c r="BI54" s="217">
        <f>BC54/'R&amp;H Portfolio'!Q$10</f>
      </c>
      <c r="BJ54" s="215">
        <f>BF54*P54</f>
      </c>
      <c r="BK54" s="3"/>
      <c r="BL54" s="3"/>
      <c r="BM54" s="3"/>
    </row>
    <row x14ac:dyDescent="0.25" r="55" customHeight="1" ht="15">
      <c r="A55" s="202">
        <v>25568.79196759259</v>
      </c>
      <c r="B55" s="203" t="s">
        <v>329</v>
      </c>
      <c r="C55" s="70" t="s">
        <v>330</v>
      </c>
      <c r="D55" s="70" t="s">
        <v>331</v>
      </c>
      <c r="E55" s="70" t="s">
        <v>164</v>
      </c>
      <c r="F55" s="70" t="s">
        <v>138</v>
      </c>
      <c r="G55" s="205">
        <v>736</v>
      </c>
      <c r="H55" s="206">
        <v>1.32</v>
      </c>
      <c r="I55" s="207">
        <v>0.06</v>
      </c>
      <c r="J55" s="208">
        <f>H55+I55</f>
      </c>
      <c r="K55" s="209">
        <v>90000</v>
      </c>
      <c r="L55" s="58">
        <f>K55*I55</f>
      </c>
      <c r="M55" s="58">
        <f>K55*J55</f>
      </c>
      <c r="N55" s="16"/>
      <c r="O55" s="210">
        <v>40</v>
      </c>
      <c r="P55" s="211">
        <f>IF(ISBLANK(N55),O55/4.3,N55/20)</f>
      </c>
      <c r="Q55" s="209">
        <v>4000</v>
      </c>
      <c r="R55" s="212" t="s">
        <v>133</v>
      </c>
      <c r="S55" s="3"/>
      <c r="T55" s="213">
        <f>IF(ISBLANK(R55),0,X55)</f>
      </c>
      <c r="U55" s="213">
        <f>IF(ISBLANK(S55),0,X55)</f>
      </c>
      <c r="V55" s="214">
        <f>IFERROR(Q55/K55,0)</f>
      </c>
      <c r="W55" s="58">
        <f>IFERROR(L55*V55,0)</f>
      </c>
      <c r="X55" s="213">
        <f>IFERROR(Q55+W55,0)</f>
      </c>
      <c r="Y55" s="213">
        <f>IFERROR(M55*V55,0)</f>
      </c>
      <c r="Z55" s="213">
        <f>Y55-(Y55*$B$1)</f>
      </c>
      <c r="AA55" s="67">
        <f>IFERROR(Z55/X55,"")</f>
      </c>
      <c r="AB55" s="215">
        <f>IFERROR(IF(ISBLANK(N55),Y55/O55,Y55/N55),0)</f>
      </c>
      <c r="AC55" s="215">
        <f>IFERROR(-1*(AB55*B$1),0)</f>
      </c>
      <c r="AD55" s="215">
        <f>IFERROR(SUM(AB55:AC55),0)</f>
      </c>
      <c r="AE55" s="215">
        <f>IF(ISBLANK(N55),AD55,AD55*5)</f>
      </c>
      <c r="AF55" s="216">
        <f>SUM(AG55:BC55)</f>
      </c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207">
        <v>267.72</v>
      </c>
      <c r="BC55" s="188">
        <v>86.22</v>
      </c>
      <c r="BD55" s="215">
        <f>Z55-AF55</f>
      </c>
      <c r="BE55" s="238">
        <f>IFERROR(AF55/Y55,0)</f>
      </c>
      <c r="BF55" s="214">
        <f>IFERROR(AF55/X55,0)</f>
      </c>
      <c r="BG55" s="214">
        <f>IFERROR((X55/SUM(X$47:X$57)),0)</f>
      </c>
      <c r="BH55" s="214">
        <f>BC55/SUM(BC$3:BC252)</f>
      </c>
      <c r="BI55" s="217">
        <f>BC55/'R&amp;H Portfolio'!Q$10</f>
      </c>
      <c r="BJ55" s="215">
        <f>BF55*P55</f>
      </c>
      <c r="BK55" s="3"/>
      <c r="BL55" s="3"/>
      <c r="BM55" s="3"/>
    </row>
    <row x14ac:dyDescent="0.25" r="56" customHeight="1" ht="15">
      <c r="A56" s="202">
        <v>25568.79196759259</v>
      </c>
      <c r="B56" s="203" t="s">
        <v>332</v>
      </c>
      <c r="C56" s="204" t="s">
        <v>333</v>
      </c>
      <c r="D56" s="70" t="s">
        <v>334</v>
      </c>
      <c r="E56" s="70" t="s">
        <v>149</v>
      </c>
      <c r="F56" s="70" t="s">
        <v>335</v>
      </c>
      <c r="G56" s="205">
        <v>719</v>
      </c>
      <c r="H56" s="206">
        <v>1.29</v>
      </c>
      <c r="I56" s="207">
        <v>0.06</v>
      </c>
      <c r="J56" s="208">
        <f>H56+I56</f>
      </c>
      <c r="K56" s="209">
        <v>50000</v>
      </c>
      <c r="L56" s="58">
        <f>K56*I56</f>
      </c>
      <c r="M56" s="58">
        <f>K56*J56</f>
      </c>
      <c r="N56" s="16"/>
      <c r="O56" s="210">
        <v>48</v>
      </c>
      <c r="P56" s="211">
        <f>IF(ISBLANK(N56),O56/4.3,N56/20)</f>
      </c>
      <c r="Q56" s="209">
        <v>4000</v>
      </c>
      <c r="R56" s="3"/>
      <c r="S56" s="212" t="s">
        <v>82</v>
      </c>
      <c r="T56" s="213">
        <f>IF(ISBLANK(R56),0,X56)</f>
      </c>
      <c r="U56" s="213">
        <f>IF(ISBLANK(S56),0,X56)</f>
      </c>
      <c r="V56" s="214">
        <f>IFERROR(Q56/K56,0)</f>
      </c>
      <c r="W56" s="58">
        <f>IFERROR(L56*V56,0)</f>
      </c>
      <c r="X56" s="213">
        <f>IFERROR(Q56+W56,0)</f>
      </c>
      <c r="Y56" s="213">
        <f>IFERROR(M56*V56,0)</f>
      </c>
      <c r="Z56" s="213">
        <f>Y56-(Y56*$B$1)</f>
      </c>
      <c r="AA56" s="67">
        <f>IFERROR(Z56/X56,"")</f>
      </c>
      <c r="AB56" s="215">
        <f>IFERROR(IF(ISBLANK(N56),Y56/O56,Y56/N56),0)</f>
      </c>
      <c r="AC56" s="215">
        <f>IFERROR(-1*(AB56*B$1),0)</f>
      </c>
      <c r="AD56" s="215">
        <f>IFERROR(SUM(AB56:AC56),0)</f>
      </c>
      <c r="AE56" s="215">
        <f>IF(ISBLANK(N56),AD56,AD56*5)</f>
      </c>
      <c r="AF56" s="216">
        <f>SUM(AG56:BC56)</f>
      </c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207">
        <v>109.12</v>
      </c>
      <c r="BC56" s="188"/>
      <c r="BD56" s="215">
        <f>Z56-AF56</f>
      </c>
      <c r="BE56" s="238">
        <f>IFERROR(AF56/Y56,0)</f>
      </c>
      <c r="BF56" s="214">
        <f>IFERROR(AF56/X56,0)</f>
      </c>
      <c r="BG56" s="214">
        <f>IFERROR((X56/SUM(X$47:X$57)),0)</f>
      </c>
      <c r="BH56" s="214">
        <f>BC56/SUM(BC$3:BC253)</f>
      </c>
      <c r="BI56" s="217">
        <f>BC56/'R&amp;H Portfolio'!Q$10</f>
      </c>
      <c r="BJ56" s="215">
        <f>BF56*P56</f>
      </c>
      <c r="BK56" s="3"/>
      <c r="BL56" s="3"/>
      <c r="BM56" s="3"/>
    </row>
    <row x14ac:dyDescent="0.25" r="57" customHeight="1" ht="15">
      <c r="A57" s="223">
        <v>25568.79196759259</v>
      </c>
      <c r="B57" s="224" t="s">
        <v>336</v>
      </c>
      <c r="C57" s="225" t="s">
        <v>337</v>
      </c>
      <c r="D57" s="226" t="s">
        <v>338</v>
      </c>
      <c r="E57" s="226" t="s">
        <v>339</v>
      </c>
      <c r="F57" s="226" t="s">
        <v>226</v>
      </c>
      <c r="G57" s="245">
        <v>671</v>
      </c>
      <c r="H57" s="228">
        <v>1.33</v>
      </c>
      <c r="I57" s="229">
        <v>0.06</v>
      </c>
      <c r="J57" s="230">
        <f>H57+I57</f>
      </c>
      <c r="K57" s="231">
        <v>30000</v>
      </c>
      <c r="L57" s="232">
        <f>K57*I57</f>
      </c>
      <c r="M57" s="232">
        <f>K57*J57</f>
      </c>
      <c r="N57" s="233"/>
      <c r="O57" s="233">
        <v>28</v>
      </c>
      <c r="P57" s="234">
        <f>IF(ISBLANK(N57),O57/4.3,N57/20)</f>
      </c>
      <c r="Q57" s="231">
        <v>4000</v>
      </c>
      <c r="R57" s="246"/>
      <c r="S57" s="246" t="s">
        <v>82</v>
      </c>
      <c r="T57" s="239">
        <f>IF(ISBLANK(R57),0,X57)</f>
      </c>
      <c r="U57" s="239">
        <f>IF(ISBLANK(S57),0,X57)</f>
      </c>
      <c r="V57" s="238">
        <f>IFERROR(Q57/K57,0)</f>
      </c>
      <c r="W57" s="232">
        <f>IFERROR(L57*V57,0)</f>
      </c>
      <c r="X57" s="239">
        <f>IFERROR(Q57+W57,0)</f>
      </c>
      <c r="Y57" s="239">
        <f>IFERROR(M57*V57,0)</f>
      </c>
      <c r="Z57" s="239">
        <f>Y57-(Y57*$B$1)</f>
      </c>
      <c r="AA57" s="240">
        <f>IFERROR(Z57/X57,"")</f>
      </c>
      <c r="AB57" s="241">
        <f>IFERROR(IF(ISBLANK(N57),Y57/O57,Y57/N57),0)</f>
      </c>
      <c r="AC57" s="241">
        <f>IFERROR(-1*(AB57*B$1),0)</f>
      </c>
      <c r="AD57" s="241">
        <f>IFERROR(SUM(AB57:AC57),0)</f>
      </c>
      <c r="AE57" s="241">
        <f>IF(ISBLANK(N57),AD57,AD57*5)</f>
      </c>
      <c r="AF57" s="242">
        <f>SUM(AG57:BC57)</f>
      </c>
      <c r="AG57" s="229"/>
      <c r="AH57" s="229"/>
      <c r="AI57" s="229"/>
      <c r="AJ57" s="229"/>
      <c r="AK57" s="229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29"/>
      <c r="AX57" s="229"/>
      <c r="AY57" s="229"/>
      <c r="AZ57" s="229"/>
      <c r="BA57" s="229"/>
      <c r="BB57" s="229"/>
      <c r="BC57" s="188"/>
      <c r="BD57" s="241">
        <f>Z57-AF57</f>
      </c>
      <c r="BE57" s="238">
        <f>IFERROR(AF57/Y57,0)</f>
      </c>
      <c r="BF57" s="238">
        <f>IFERROR(AF57/X57,0)</f>
      </c>
      <c r="BG57" s="214">
        <f>IFERROR((X57/SUM(X$47:X$57)),0)</f>
      </c>
      <c r="BH57" s="238">
        <f>BC57/SUM(BC$3:BC254)</f>
      </c>
      <c r="BI57" s="217">
        <f>BC57/'R&amp;H Portfolio'!Q$10</f>
      </c>
      <c r="BJ57" s="241">
        <f>BF57*P57</f>
      </c>
      <c r="BK57" s="3"/>
      <c r="BL57" s="3"/>
      <c r="BM57" s="3"/>
    </row>
    <row x14ac:dyDescent="0.25" r="58" customHeight="1" ht="15">
      <c r="A58" s="202">
        <v>25568.79196759259</v>
      </c>
      <c r="B58" s="203" t="s">
        <v>340</v>
      </c>
      <c r="C58" s="204" t="s">
        <v>341</v>
      </c>
      <c r="D58" s="70" t="s">
        <v>342</v>
      </c>
      <c r="E58" s="70" t="s">
        <v>149</v>
      </c>
      <c r="F58" s="70" t="s">
        <v>343</v>
      </c>
      <c r="G58" s="205">
        <v>613</v>
      </c>
      <c r="H58" s="206">
        <v>1.32</v>
      </c>
      <c r="I58" s="207">
        <v>0.12</v>
      </c>
      <c r="J58" s="208">
        <f>H58+I58</f>
      </c>
      <c r="K58" s="209">
        <v>40000</v>
      </c>
      <c r="L58" s="58">
        <f>K58*I58</f>
      </c>
      <c r="M58" s="58">
        <f>K58*J58</f>
      </c>
      <c r="N58" s="16"/>
      <c r="O58" s="210">
        <v>28</v>
      </c>
      <c r="P58" s="211">
        <f>IF(ISBLANK(N58),O58/4.3,N58/20)</f>
      </c>
      <c r="Q58" s="209">
        <v>4000</v>
      </c>
      <c r="R58" s="3"/>
      <c r="S58" s="212" t="s">
        <v>82</v>
      </c>
      <c r="T58" s="213">
        <f>IF(ISBLANK(R58),0,X58)</f>
      </c>
      <c r="U58" s="213">
        <f>IF(ISBLANK(S58),0,X58)</f>
      </c>
      <c r="V58" s="214">
        <f>IFERROR(Q58/K58,0)</f>
      </c>
      <c r="W58" s="58">
        <f>IFERROR(L58*V58,0)</f>
      </c>
      <c r="X58" s="213">
        <f>IFERROR(Q58+W58,0)</f>
      </c>
      <c r="Y58" s="213">
        <f>IFERROR(M58*V58,0)</f>
      </c>
      <c r="Z58" s="213">
        <f>Y58-(Y58*$B$1)</f>
      </c>
      <c r="AA58" s="67">
        <f>IFERROR(Z58/X58,"")</f>
      </c>
      <c r="AB58" s="215">
        <f>IFERROR(IF(ISBLANK(N58),Y58/O58,Y58/N58),0)</f>
      </c>
      <c r="AC58" s="215">
        <f>IFERROR(-1*(AB58*B$1),0)</f>
      </c>
      <c r="AD58" s="215">
        <f>IFERROR(SUM(AB58:AC58),0)</f>
      </c>
      <c r="AE58" s="215">
        <f>IF(ISBLANK(N58),AD58,AD58*5)</f>
      </c>
      <c r="AF58" s="216">
        <f>SUM(AG58:BC58)</f>
      </c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8"/>
      <c r="BD58" s="215">
        <f>Z58-AF58</f>
      </c>
      <c r="BE58" s="238">
        <f>IFERROR(AF58/Y58,0)</f>
      </c>
      <c r="BF58" s="214">
        <f>IFERROR(AF58/X58,0)</f>
      </c>
      <c r="BG58" s="214">
        <f>IFERROR((X58/SUM(X$58:X$70)),0)</f>
      </c>
      <c r="BH58" s="214">
        <f>BC58/SUM(BC$3:BC255)</f>
      </c>
      <c r="BI58" s="217">
        <f>BC58/'R&amp;H Portfolio'!Q$10</f>
      </c>
      <c r="BJ58" s="215">
        <f>BF58*P58</f>
      </c>
      <c r="BK58" s="3"/>
      <c r="BL58" s="3"/>
      <c r="BM58" s="3"/>
    </row>
    <row x14ac:dyDescent="0.25" r="59" customHeight="1" ht="15">
      <c r="A59" s="202">
        <v>25568.79196759259</v>
      </c>
      <c r="B59" s="203" t="s">
        <v>344</v>
      </c>
      <c r="C59" s="204" t="s">
        <v>345</v>
      </c>
      <c r="D59" s="70" t="s">
        <v>346</v>
      </c>
      <c r="E59" s="70" t="s">
        <v>242</v>
      </c>
      <c r="F59" s="70" t="s">
        <v>206</v>
      </c>
      <c r="G59" s="205">
        <v>768</v>
      </c>
      <c r="H59" s="206">
        <v>1.28</v>
      </c>
      <c r="I59" s="207">
        <v>0.1</v>
      </c>
      <c r="J59" s="208">
        <f>H59+I59</f>
      </c>
      <c r="K59" s="209">
        <v>150000</v>
      </c>
      <c r="L59" s="58">
        <f>K59*I59</f>
      </c>
      <c r="M59" s="58">
        <f>K59*J59</f>
      </c>
      <c r="N59" s="16"/>
      <c r="O59" s="210">
        <v>44</v>
      </c>
      <c r="P59" s="211">
        <f>IF(ISBLANK(N59),O59/4.3,N59/20)</f>
      </c>
      <c r="Q59" s="209">
        <v>7000</v>
      </c>
      <c r="R59" s="3"/>
      <c r="S59" s="212" t="s">
        <v>82</v>
      </c>
      <c r="T59" s="213">
        <f>IF(ISBLANK(R59),0,X59)</f>
      </c>
      <c r="U59" s="213">
        <f>IF(ISBLANK(S59),0,X59)</f>
      </c>
      <c r="V59" s="214">
        <f>IFERROR(Q59/K59,0)</f>
      </c>
      <c r="W59" s="58">
        <f>IFERROR(L59*V59,0)</f>
      </c>
      <c r="X59" s="213">
        <f>IFERROR(Q59+W59,0)</f>
      </c>
      <c r="Y59" s="213">
        <f>IFERROR(M59*V59,0)</f>
      </c>
      <c r="Z59" s="213">
        <f>Y59-(Y59*$B$1)</f>
      </c>
      <c r="AA59" s="67">
        <f>IFERROR(Z59/X59,"")</f>
      </c>
      <c r="AB59" s="215">
        <f>IFERROR(IF(ISBLANK(N59),Y59/O59,Y59/N59),0)</f>
      </c>
      <c r="AC59" s="215">
        <f>IFERROR(-1*(AB59*B$1),0)</f>
      </c>
      <c r="AD59" s="215">
        <f>IFERROR(SUM(AB59:AC59),0)</f>
      </c>
      <c r="AE59" s="215">
        <f>IF(ISBLANK(N59),AD59,AD59*5)</f>
      </c>
      <c r="AF59" s="216">
        <f>SUM(AG59:BC59)</f>
      </c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8"/>
      <c r="BD59" s="215">
        <f>Z59-AF59</f>
      </c>
      <c r="BE59" s="238">
        <f>IFERROR(AF59/Y59,0)</f>
      </c>
      <c r="BF59" s="214">
        <f>IFERROR(AF59/X59,0)</f>
      </c>
      <c r="BG59" s="214">
        <f>IFERROR((X59/SUM(X$58:X$70)),0)</f>
      </c>
      <c r="BH59" s="214">
        <f>BC59/SUM(BC$3:BC256)</f>
      </c>
      <c r="BI59" s="217">
        <f>BC59/'R&amp;H Portfolio'!Q$10</f>
      </c>
      <c r="BJ59" s="215">
        <f>BF59*P59</f>
      </c>
      <c r="BK59" s="3"/>
      <c r="BL59" s="3"/>
      <c r="BM59" s="3"/>
    </row>
    <row x14ac:dyDescent="0.25" r="60" customHeight="1" ht="15">
      <c r="A60" s="202">
        <v>25568.79196759259</v>
      </c>
      <c r="B60" s="203" t="s">
        <v>347</v>
      </c>
      <c r="C60" s="3"/>
      <c r="D60" s="70" t="s">
        <v>348</v>
      </c>
      <c r="E60" s="70" t="s">
        <v>242</v>
      </c>
      <c r="F60" s="70" t="s">
        <v>206</v>
      </c>
      <c r="G60" s="205">
        <v>600</v>
      </c>
      <c r="H60" s="206">
        <v>1.33</v>
      </c>
      <c r="I60" s="207">
        <v>0.12</v>
      </c>
      <c r="J60" s="208">
        <f>H60+I60</f>
      </c>
      <c r="K60" s="209">
        <v>100000</v>
      </c>
      <c r="L60" s="58">
        <f>K60*I60</f>
      </c>
      <c r="M60" s="58">
        <f>K60*J60</f>
      </c>
      <c r="N60" s="210">
        <v>135</v>
      </c>
      <c r="O60" s="16"/>
      <c r="P60" s="211">
        <f>IF(ISBLANK(N60),O60/4.3,N60/20)</f>
      </c>
      <c r="Q60" s="209">
        <v>4000</v>
      </c>
      <c r="R60" s="3"/>
      <c r="S60" s="212" t="s">
        <v>82</v>
      </c>
      <c r="T60" s="213">
        <f>IF(ISBLANK(R60),0,X60)</f>
      </c>
      <c r="U60" s="213">
        <f>IF(ISBLANK(S60),0,X60)</f>
      </c>
      <c r="V60" s="214">
        <f>IFERROR(Q60/K60,0)</f>
      </c>
      <c r="W60" s="58">
        <f>IFERROR(L60*V60,0)</f>
      </c>
      <c r="X60" s="213">
        <f>IFERROR(Q60+W60,0)</f>
      </c>
      <c r="Y60" s="213">
        <f>IFERROR(M60*V60,0)</f>
      </c>
      <c r="Z60" s="213">
        <f>Y60-(Y60*$B$1)</f>
      </c>
      <c r="AA60" s="67">
        <f>IFERROR(Z60/X60,"")</f>
      </c>
      <c r="AB60" s="215">
        <f>IFERROR(IF(ISBLANK(N60),Y60/O60,Y60/N60),0)</f>
      </c>
      <c r="AC60" s="215">
        <f>IFERROR(-1*(AB60*B$1),0)</f>
      </c>
      <c r="AD60" s="215">
        <f>IFERROR(SUM(AB60:AC60),0)</f>
      </c>
      <c r="AE60" s="215">
        <f>IF(ISBLANK(N60),AD60,AD60*5)</f>
      </c>
      <c r="AF60" s="216">
        <f>SUM(AG60:BC60)</f>
      </c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8"/>
      <c r="BD60" s="215">
        <f>Z60-AF60</f>
      </c>
      <c r="BE60" s="238">
        <f>IFERROR(AF60/Y60,0)</f>
      </c>
      <c r="BF60" s="214">
        <f>IFERROR(AF60/X60,0)</f>
      </c>
      <c r="BG60" s="214">
        <f>IFERROR((X60/SUM(X$58:X$70)),0)</f>
      </c>
      <c r="BH60" s="214">
        <f>BC60/SUM(BC$3:BC257)</f>
      </c>
      <c r="BI60" s="217">
        <f>BC60/'R&amp;H Portfolio'!Q$10</f>
      </c>
      <c r="BJ60" s="215">
        <f>BF60*P60</f>
      </c>
      <c r="BK60" s="3"/>
      <c r="BL60" s="3"/>
      <c r="BM60" s="3"/>
    </row>
    <row x14ac:dyDescent="0.25" r="61" customHeight="1" ht="15">
      <c r="A61" s="202">
        <v>25568.79196759259</v>
      </c>
      <c r="B61" s="203" t="s">
        <v>349</v>
      </c>
      <c r="C61" s="3"/>
      <c r="D61" s="70" t="s">
        <v>350</v>
      </c>
      <c r="E61" s="70" t="s">
        <v>351</v>
      </c>
      <c r="F61" s="70" t="s">
        <v>352</v>
      </c>
      <c r="G61" s="205">
        <v>682</v>
      </c>
      <c r="H61" s="206">
        <v>1.33</v>
      </c>
      <c r="I61" s="207">
        <v>0.12</v>
      </c>
      <c r="J61" s="208">
        <f>H61+I61</f>
      </c>
      <c r="K61" s="209">
        <v>60000</v>
      </c>
      <c r="L61" s="58">
        <f>K61*I61</f>
      </c>
      <c r="M61" s="58">
        <f>K61*J61</f>
      </c>
      <c r="N61" s="16"/>
      <c r="O61" s="210">
        <v>41</v>
      </c>
      <c r="P61" s="211">
        <f>IF(ISBLANK(N61),O61/4.3,N61/20)</f>
      </c>
      <c r="Q61" s="209">
        <v>6000</v>
      </c>
      <c r="R61" s="3"/>
      <c r="S61" s="212" t="s">
        <v>82</v>
      </c>
      <c r="T61" s="213">
        <f>IF(ISBLANK(R61),0,X61)</f>
      </c>
      <c r="U61" s="213">
        <f>IF(ISBLANK(S61),0,X61)</f>
      </c>
      <c r="V61" s="214">
        <f>IFERROR(Q61/K61,0)</f>
      </c>
      <c r="W61" s="58">
        <f>IFERROR(L61*V61,0)</f>
      </c>
      <c r="X61" s="213">
        <f>IFERROR(Q61+W61,0)</f>
      </c>
      <c r="Y61" s="213">
        <f>IFERROR(M61*V61,0)</f>
      </c>
      <c r="Z61" s="213">
        <f>Y61-(Y61*$B$1)</f>
      </c>
      <c r="AA61" s="67">
        <f>IFERROR(Z61/X61,"")</f>
      </c>
      <c r="AB61" s="215">
        <f>IFERROR(IF(ISBLANK(N61),Y61/O61,Y61/N61),0)</f>
      </c>
      <c r="AC61" s="215">
        <f>IFERROR(-1*(AB61*B$1),0)</f>
      </c>
      <c r="AD61" s="215">
        <f>IFERROR(SUM(AB61:AC61),0)</f>
      </c>
      <c r="AE61" s="215">
        <f>IF(ISBLANK(N61),AD61,AD61*5)</f>
      </c>
      <c r="AF61" s="216">
        <f>SUM(AG61:BC61)</f>
      </c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8"/>
      <c r="BD61" s="215">
        <f>Z61-AF61</f>
      </c>
      <c r="BE61" s="238">
        <f>IFERROR(AF61/Y61,0)</f>
      </c>
      <c r="BF61" s="214">
        <f>IFERROR(AF61/X61,0)</f>
      </c>
      <c r="BG61" s="214">
        <f>IFERROR((X61/SUM(X$58:X$70)),0)</f>
      </c>
      <c r="BH61" s="214">
        <f>BC61/SUM(BC$3:BC258)</f>
      </c>
      <c r="BI61" s="217">
        <f>BC61/'R&amp;H Portfolio'!Q$10</f>
      </c>
      <c r="BJ61" s="215">
        <f>BF61*P61</f>
      </c>
      <c r="BK61" s="3"/>
      <c r="BL61" s="3"/>
      <c r="BM61" s="3"/>
    </row>
    <row x14ac:dyDescent="0.25" r="62" customHeight="1" ht="15">
      <c r="A62" s="202">
        <v>25568.79196759259</v>
      </c>
      <c r="B62" s="203" t="s">
        <v>353</v>
      </c>
      <c r="C62" s="3"/>
      <c r="D62" s="70" t="s">
        <v>354</v>
      </c>
      <c r="E62" s="70" t="s">
        <v>261</v>
      </c>
      <c r="F62" s="70" t="s">
        <v>335</v>
      </c>
      <c r="G62" s="205">
        <v>708</v>
      </c>
      <c r="H62" s="206">
        <v>1.35</v>
      </c>
      <c r="I62" s="207">
        <v>0.1</v>
      </c>
      <c r="J62" s="208">
        <f>H62+I62</f>
      </c>
      <c r="K62" s="209">
        <v>30000</v>
      </c>
      <c r="L62" s="58">
        <f>K62*I62</f>
      </c>
      <c r="M62" s="58">
        <f>K62*J62</f>
      </c>
      <c r="N62" s="210">
        <v>120</v>
      </c>
      <c r="O62" s="16"/>
      <c r="P62" s="211">
        <f>IF(ISBLANK(N62),O62/4.3,N62/20)</f>
      </c>
      <c r="Q62" s="209">
        <v>3000</v>
      </c>
      <c r="R62" s="3"/>
      <c r="S62" s="212" t="s">
        <v>82</v>
      </c>
      <c r="T62" s="213">
        <f>IF(ISBLANK(R62),0,X62)</f>
      </c>
      <c r="U62" s="213">
        <f>IF(ISBLANK(S62),0,X62)</f>
      </c>
      <c r="V62" s="214">
        <f>IFERROR(Q62/K62,0)</f>
      </c>
      <c r="W62" s="58">
        <f>IFERROR(L62*V62,0)</f>
      </c>
      <c r="X62" s="213">
        <f>IFERROR(Q62+W62,0)</f>
      </c>
      <c r="Y62" s="213">
        <f>IFERROR(M62*V62,0)</f>
      </c>
      <c r="Z62" s="213">
        <f>Y62-(Y62*$B$1)</f>
      </c>
      <c r="AA62" s="67">
        <f>IFERROR(Z62/X62,"")</f>
      </c>
      <c r="AB62" s="215">
        <f>IFERROR(IF(ISBLANK(N62),Y62/O62,Y62/N62),0)</f>
      </c>
      <c r="AC62" s="215">
        <f>IFERROR(-1*(AB62*B$1),0)</f>
      </c>
      <c r="AD62" s="215">
        <f>IFERROR(SUM(AB62:AC62),0)</f>
      </c>
      <c r="AE62" s="215">
        <f>IF(ISBLANK(N62),AD62,AD62*5)</f>
      </c>
      <c r="AF62" s="216">
        <f>SUM(AG62:BC62)</f>
      </c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8">
        <v>175.81</v>
      </c>
      <c r="BD62" s="215">
        <f>Z62-AF62</f>
      </c>
      <c r="BE62" s="238">
        <f>IFERROR(AF62/Y62,0)</f>
      </c>
      <c r="BF62" s="214">
        <f>IFERROR(AF62/X62,0)</f>
      </c>
      <c r="BG62" s="214">
        <f>IFERROR((X62/SUM(X$58:X$70)),0)</f>
      </c>
      <c r="BH62" s="214">
        <f>BC62/SUM(BC$3:BC259)</f>
      </c>
      <c r="BI62" s="217">
        <f>BC62/'R&amp;H Portfolio'!Q$10</f>
      </c>
      <c r="BJ62" s="215">
        <f>BF62*P62</f>
      </c>
      <c r="BK62" s="3"/>
      <c r="BL62" s="3"/>
      <c r="BM62" s="3"/>
    </row>
    <row x14ac:dyDescent="0.25" r="63" customHeight="1" ht="15">
      <c r="A63" s="17"/>
      <c r="B63" s="14"/>
      <c r="C63" s="3"/>
      <c r="D63" s="3"/>
      <c r="E63" s="3"/>
      <c r="F63" s="3"/>
      <c r="G63" s="205"/>
      <c r="H63" s="18"/>
      <c r="I63" s="18"/>
      <c r="J63" s="208">
        <f>H63+I63</f>
      </c>
      <c r="K63" s="209"/>
      <c r="L63" s="58">
        <f>K63*I63</f>
      </c>
      <c r="M63" s="58">
        <f>K63*J63</f>
      </c>
      <c r="N63" s="16"/>
      <c r="O63" s="16"/>
      <c r="P63" s="211">
        <f>IF(ISBLANK(N63),O63/4.3,N63/20)</f>
      </c>
      <c r="Q63" s="209"/>
      <c r="R63" s="3"/>
      <c r="S63" s="3"/>
      <c r="T63" s="213">
        <f>IF(ISBLANK(R63),0,X63)</f>
      </c>
      <c r="U63" s="213">
        <f>IF(ISBLANK(S63),0,X63)</f>
      </c>
      <c r="V63" s="214">
        <f>IFERROR(Q63/K63,0)</f>
      </c>
      <c r="W63" s="58">
        <f>IFERROR(L63*V63,0)</f>
      </c>
      <c r="X63" s="213">
        <f>IFERROR(Q63+W63,0)</f>
      </c>
      <c r="Y63" s="213">
        <f>IFERROR(M63*V63,0)</f>
      </c>
      <c r="Z63" s="213">
        <f>Y63-(Y63*$B$1)</f>
      </c>
      <c r="AA63" s="67">
        <f>IFERROR(Z63/X63,"")</f>
      </c>
      <c r="AB63" s="215">
        <f>IFERROR(IF(ISBLANK(N63),Y63/O63,Y63/N63),0)</f>
      </c>
      <c r="AC63" s="215">
        <f>IFERROR(-1*(AB63*B$1),0)</f>
      </c>
      <c r="AD63" s="215">
        <f>IFERROR(SUM(AB63:AC63),0)</f>
      </c>
      <c r="AE63" s="215">
        <f>IF(ISBLANK(N63),AD63,AD63*5)</f>
      </c>
      <c r="AF63" s="216">
        <f>SUM(AG63:BC63)</f>
      </c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8"/>
      <c r="BD63" s="215">
        <f>Z63-AF63</f>
      </c>
      <c r="BE63" s="238">
        <f>IFERROR(AF63/Y63,0)</f>
      </c>
      <c r="BF63" s="214">
        <f>IFERROR(AF63/X63,0)</f>
      </c>
      <c r="BG63" s="214">
        <f>IFERROR((X63/SUM(X$58:X$70)),0)</f>
      </c>
      <c r="BH63" s="214">
        <f>BC63/SUM(BC$3:BC260)</f>
      </c>
      <c r="BI63" s="217">
        <f>BC63/'R&amp;H Portfolio'!Q$10</f>
      </c>
      <c r="BJ63" s="215">
        <f>BF63*P63</f>
      </c>
      <c r="BK63" s="3"/>
      <c r="BL63" s="3"/>
      <c r="BM63" s="3"/>
    </row>
    <row x14ac:dyDescent="0.25" r="64" customHeight="1" ht="15">
      <c r="A64" s="17"/>
      <c r="B64" s="14"/>
      <c r="C64" s="3"/>
      <c r="D64" s="3"/>
      <c r="E64" s="3"/>
      <c r="F64" s="3"/>
      <c r="G64" s="205"/>
      <c r="H64" s="18"/>
      <c r="I64" s="18"/>
      <c r="J64" s="208">
        <f>H64+I64</f>
      </c>
      <c r="K64" s="209"/>
      <c r="L64" s="58">
        <f>K64*I64</f>
      </c>
      <c r="M64" s="58">
        <f>K64*J64</f>
      </c>
      <c r="N64" s="16"/>
      <c r="O64" s="16"/>
      <c r="P64" s="211">
        <f>IF(ISBLANK(N64),O64/4.3,N64/20)</f>
      </c>
      <c r="Q64" s="209"/>
      <c r="R64" s="3"/>
      <c r="S64" s="3"/>
      <c r="T64" s="213">
        <f>IF(ISBLANK(R64),0,X64)</f>
      </c>
      <c r="U64" s="213">
        <f>IF(ISBLANK(S64),0,X64)</f>
      </c>
      <c r="V64" s="214">
        <f>IFERROR(Q64/K64,0)</f>
      </c>
      <c r="W64" s="58">
        <f>IFERROR(L64*V64,0)</f>
      </c>
      <c r="X64" s="213">
        <f>IFERROR(Q64+W64,0)</f>
      </c>
      <c r="Y64" s="213">
        <f>IFERROR(M64*V64,0)</f>
      </c>
      <c r="Z64" s="213">
        <f>Y64-(Y64*$B$1)</f>
      </c>
      <c r="AA64" s="67">
        <f>IFERROR(Z64/X64,"")</f>
      </c>
      <c r="AB64" s="215">
        <f>IFERROR(IF(ISBLANK(N64),Y64/O64,Y64/N64),0)</f>
      </c>
      <c r="AC64" s="215">
        <f>IFERROR(-1*(AB64*B$1),0)</f>
      </c>
      <c r="AD64" s="215">
        <f>IFERROR(SUM(AB64:AC64),0)</f>
      </c>
      <c r="AE64" s="215">
        <f>IF(ISBLANK(N64),AD64,AD64*5)</f>
      </c>
      <c r="AF64" s="216">
        <f>SUM(AG64:BC64)</f>
      </c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8"/>
      <c r="BD64" s="215">
        <f>Z64-AF64</f>
      </c>
      <c r="BE64" s="238">
        <f>IFERROR(AF64/Y64,0)</f>
      </c>
      <c r="BF64" s="214">
        <f>IFERROR(AF64/X64,0)</f>
      </c>
      <c r="BG64" s="214">
        <f>IFERROR((X64/SUM(X$58:X$70)),0)</f>
      </c>
      <c r="BH64" s="214">
        <f>BC64/SUM(BC$3:BC261)</f>
      </c>
      <c r="BI64" s="217">
        <f>BC64/'R&amp;H Portfolio'!Q$10</f>
      </c>
      <c r="BJ64" s="215">
        <f>BF64*P64</f>
      </c>
      <c r="BK64" s="3"/>
      <c r="BL64" s="3"/>
      <c r="BM64" s="3"/>
    </row>
    <row x14ac:dyDescent="0.25" r="65" customHeight="1" ht="15">
      <c r="A65" s="17"/>
      <c r="B65" s="14"/>
      <c r="C65" s="3"/>
      <c r="D65" s="3"/>
      <c r="E65" s="3"/>
      <c r="F65" s="3"/>
      <c r="G65" s="205"/>
      <c r="H65" s="18"/>
      <c r="I65" s="18"/>
      <c r="J65" s="208">
        <f>H65+I65</f>
      </c>
      <c r="K65" s="209"/>
      <c r="L65" s="58">
        <f>K65*I65</f>
      </c>
      <c r="M65" s="58">
        <f>K65*J65</f>
      </c>
      <c r="N65" s="16"/>
      <c r="O65" s="16"/>
      <c r="P65" s="211">
        <f>IF(ISBLANK(N65),O65/4.3,N65/20)</f>
      </c>
      <c r="Q65" s="209"/>
      <c r="R65" s="3"/>
      <c r="S65" s="3"/>
      <c r="T65" s="213">
        <f>IF(ISBLANK(R65),0,X65)</f>
      </c>
      <c r="U65" s="213">
        <f>IF(ISBLANK(S65),0,X65)</f>
      </c>
      <c r="V65" s="214">
        <f>IFERROR(Q65/K65,0)</f>
      </c>
      <c r="W65" s="58">
        <f>IFERROR(L65*V65,0)</f>
      </c>
      <c r="X65" s="213">
        <f>IFERROR(Q65+W65,0)</f>
      </c>
      <c r="Y65" s="213">
        <f>IFERROR(M65*V65,0)</f>
      </c>
      <c r="Z65" s="213">
        <f>Y65-(Y65*$B$1)</f>
      </c>
      <c r="AA65" s="67">
        <f>IFERROR(Z65/X65,"")</f>
      </c>
      <c r="AB65" s="215">
        <f>IFERROR(IF(ISBLANK(N65),Y65/O65,Y65/N65),0)</f>
      </c>
      <c r="AC65" s="215">
        <f>IFERROR(-1*(AB65*B$1),0)</f>
      </c>
      <c r="AD65" s="215">
        <f>IFERROR(SUM(AB65:AC65),0)</f>
      </c>
      <c r="AE65" s="215">
        <f>IF(ISBLANK(N65),AD65,AD65*5)</f>
      </c>
      <c r="AF65" s="216">
        <f>SUM(AG65:BC65)</f>
      </c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8"/>
      <c r="BD65" s="215">
        <f>Z65-AF65</f>
      </c>
      <c r="BE65" s="238">
        <f>IFERROR(AF65/Y65,0)</f>
      </c>
      <c r="BF65" s="214">
        <f>IFERROR(AF65/X65,0)</f>
      </c>
      <c r="BG65" s="214">
        <f>IFERROR((X65/SUM(X$58:X$70)),0)</f>
      </c>
      <c r="BH65" s="214">
        <f>BC65/SUM(BC$3:BC262)</f>
      </c>
      <c r="BI65" s="217">
        <f>BC65/'R&amp;H Portfolio'!Q$10</f>
      </c>
      <c r="BJ65" s="215">
        <f>BF65*P65</f>
      </c>
      <c r="BK65" s="3"/>
      <c r="BL65" s="3"/>
      <c r="BM65" s="3"/>
    </row>
    <row x14ac:dyDescent="0.25" r="66" customHeight="1" ht="15">
      <c r="A66" s="17"/>
      <c r="B66" s="14"/>
      <c r="C66" s="3"/>
      <c r="D66" s="3"/>
      <c r="E66" s="3"/>
      <c r="F66" s="3"/>
      <c r="G66" s="205"/>
      <c r="H66" s="18"/>
      <c r="I66" s="18"/>
      <c r="J66" s="208">
        <f>H66+I66</f>
      </c>
      <c r="K66" s="209"/>
      <c r="L66" s="58">
        <f>K66*I66</f>
      </c>
      <c r="M66" s="58">
        <f>K66*J66</f>
      </c>
      <c r="N66" s="16"/>
      <c r="O66" s="16"/>
      <c r="P66" s="211">
        <f>IF(ISBLANK(N66),O66/4.3,N66/20)</f>
      </c>
      <c r="Q66" s="209"/>
      <c r="R66" s="3"/>
      <c r="S66" s="3"/>
      <c r="T66" s="213">
        <f>IF(ISBLANK(R66),0,X66)</f>
      </c>
      <c r="U66" s="213">
        <f>IF(ISBLANK(S66),0,X66)</f>
      </c>
      <c r="V66" s="214">
        <f>IFERROR(Q66/K66,0)</f>
      </c>
      <c r="W66" s="58">
        <f>IFERROR(L66*V66,0)</f>
      </c>
      <c r="X66" s="213">
        <f>IFERROR(Q66+W66,0)</f>
      </c>
      <c r="Y66" s="213">
        <f>IFERROR(M66*V66,0)</f>
      </c>
      <c r="Z66" s="213">
        <f>Y66-(Y66*$B$1)</f>
      </c>
      <c r="AA66" s="67">
        <f>IFERROR(Z66/X66,"")</f>
      </c>
      <c r="AB66" s="215">
        <f>IFERROR(IF(ISBLANK(N66),Y66/O66,Y66/N66),0)</f>
      </c>
      <c r="AC66" s="215">
        <f>IFERROR(-1*(AB66*B$1),0)</f>
      </c>
      <c r="AD66" s="215">
        <f>IFERROR(SUM(AB66:AC66),0)</f>
      </c>
      <c r="AE66" s="215">
        <f>IF(ISBLANK(N66),AD66,AD66*5)</f>
      </c>
      <c r="AF66" s="216">
        <f>SUM(AG66:BC66)</f>
      </c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8"/>
      <c r="BD66" s="215">
        <f>Z66-AF66</f>
      </c>
      <c r="BE66" s="238">
        <f>IFERROR(AF66/Y66,0)</f>
      </c>
      <c r="BF66" s="214">
        <f>IFERROR(AF66/X66,0)</f>
      </c>
      <c r="BG66" s="214">
        <f>IFERROR((X66/SUM(X$58:X$70)),0)</f>
      </c>
      <c r="BH66" s="214">
        <f>BC66/SUM(BC$3:BC263)</f>
      </c>
      <c r="BI66" s="217">
        <f>BC66/'R&amp;H Portfolio'!Q$10</f>
      </c>
      <c r="BJ66" s="215">
        <f>BF66*P66</f>
      </c>
      <c r="BK66" s="3"/>
      <c r="BL66" s="3"/>
      <c r="BM66" s="3"/>
    </row>
    <row x14ac:dyDescent="0.25" r="67" customHeight="1" ht="15">
      <c r="A67" s="17"/>
      <c r="B67" s="14"/>
      <c r="C67" s="3"/>
      <c r="D67" s="3"/>
      <c r="E67" s="3"/>
      <c r="F67" s="3"/>
      <c r="G67" s="205"/>
      <c r="H67" s="18"/>
      <c r="I67" s="18"/>
      <c r="J67" s="208">
        <f>H67+I67</f>
      </c>
      <c r="K67" s="209"/>
      <c r="L67" s="58">
        <f>K67*I67</f>
      </c>
      <c r="M67" s="58">
        <f>K67*J67</f>
      </c>
      <c r="N67" s="16"/>
      <c r="O67" s="16"/>
      <c r="P67" s="211">
        <f>IF(ISBLANK(N67),O67/4.3,N67/20)</f>
      </c>
      <c r="Q67" s="209"/>
      <c r="R67" s="3"/>
      <c r="S67" s="3"/>
      <c r="T67" s="213">
        <f>IF(ISBLANK(R67),0,X67)</f>
      </c>
      <c r="U67" s="213">
        <f>IF(ISBLANK(S67),0,X67)</f>
      </c>
      <c r="V67" s="214">
        <f>IFERROR(Q67/K67,0)</f>
      </c>
      <c r="W67" s="58">
        <f>IFERROR(L67*V67,0)</f>
      </c>
      <c r="X67" s="213">
        <f>IFERROR(Q67+W67,0)</f>
      </c>
      <c r="Y67" s="213">
        <f>IFERROR(M67*V67,0)</f>
      </c>
      <c r="Z67" s="213">
        <f>Y67-(Y67*$B$1)</f>
      </c>
      <c r="AA67" s="67">
        <f>IFERROR(Z67/X67,"")</f>
      </c>
      <c r="AB67" s="215">
        <f>IFERROR(IF(ISBLANK(N67),Y67/O67,Y67/N67),0)</f>
      </c>
      <c r="AC67" s="215">
        <f>IFERROR(-1*(AB67*B$1),0)</f>
      </c>
      <c r="AD67" s="215">
        <f>IFERROR(SUM(AB67:AC67),0)</f>
      </c>
      <c r="AE67" s="215">
        <f>IF(ISBLANK(N67),AD67,AD67*5)</f>
      </c>
      <c r="AF67" s="216">
        <f>SUM(AG67:BC67)</f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8"/>
      <c r="BD67" s="215">
        <f>Z67-AF67</f>
      </c>
      <c r="BE67" s="238">
        <f>IFERROR(AF67/Y67,0)</f>
      </c>
      <c r="BF67" s="214">
        <f>IFERROR(AF67/X67,0)</f>
      </c>
      <c r="BG67" s="214">
        <f>IFERROR((X67/SUM(X$58:X$70)),0)</f>
      </c>
      <c r="BH67" s="214">
        <f>BC67/SUM(BC$3:BC264)</f>
      </c>
      <c r="BI67" s="217">
        <f>BC67/'R&amp;H Portfolio'!Q$10</f>
      </c>
      <c r="BJ67" s="215">
        <f>BF67*P67</f>
      </c>
      <c r="BK67" s="3"/>
      <c r="BL67" s="3"/>
      <c r="BM67" s="3"/>
    </row>
    <row x14ac:dyDescent="0.25" r="68" customHeight="1" ht="15">
      <c r="A68" s="17"/>
      <c r="B68" s="14"/>
      <c r="C68" s="3"/>
      <c r="D68" s="3"/>
      <c r="E68" s="3"/>
      <c r="F68" s="3"/>
      <c r="G68" s="205"/>
      <c r="H68" s="18"/>
      <c r="I68" s="18"/>
      <c r="J68" s="208">
        <f>H68+I68</f>
      </c>
      <c r="K68" s="209"/>
      <c r="L68" s="58">
        <f>K68*I68</f>
      </c>
      <c r="M68" s="58">
        <f>K68*J68</f>
      </c>
      <c r="N68" s="16"/>
      <c r="O68" s="16"/>
      <c r="P68" s="211">
        <f>IF(ISBLANK(N68),O68/4.3,N68/20)</f>
      </c>
      <c r="Q68" s="209"/>
      <c r="R68" s="3"/>
      <c r="S68" s="3"/>
      <c r="T68" s="213">
        <f>IF(ISBLANK(R68),0,X68)</f>
      </c>
      <c r="U68" s="213">
        <f>IF(ISBLANK(S68),0,X68)</f>
      </c>
      <c r="V68" s="214">
        <f>IFERROR(Q68/K68,0)</f>
      </c>
      <c r="W68" s="58">
        <f>IFERROR(L68*V68,0)</f>
      </c>
      <c r="X68" s="213">
        <f>IFERROR(Q68+W68,0)</f>
      </c>
      <c r="Y68" s="213">
        <f>IFERROR(M68*V68,0)</f>
      </c>
      <c r="Z68" s="213">
        <f>Y68-(Y68*$B$1)</f>
      </c>
      <c r="AA68" s="67">
        <f>IFERROR(Z68/X68,"")</f>
      </c>
      <c r="AB68" s="215">
        <f>IFERROR(IF(ISBLANK(N68),Y68/O68,Y68/N68),0)</f>
      </c>
      <c r="AC68" s="215">
        <f>IFERROR(-1*(AB68*B$1),0)</f>
      </c>
      <c r="AD68" s="215">
        <f>IFERROR(SUM(AB68:AC68),0)</f>
      </c>
      <c r="AE68" s="215">
        <f>IF(ISBLANK(N68),AD68,AD68*5)</f>
      </c>
      <c r="AF68" s="216">
        <f>SUM(AG68:BC68)</f>
      </c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8"/>
      <c r="BD68" s="215">
        <f>Z68-AF68</f>
      </c>
      <c r="BE68" s="238">
        <f>IFERROR(AF68/Y68,0)</f>
      </c>
      <c r="BF68" s="214">
        <f>IFERROR(AF68/X68,0)</f>
      </c>
      <c r="BG68" s="214">
        <f>IFERROR((X68/SUM(X$58:X$70)),0)</f>
      </c>
      <c r="BH68" s="214">
        <f>BC68/SUM(BC$3:BC265)</f>
      </c>
      <c r="BI68" s="217">
        <f>BC68/'R&amp;H Portfolio'!Q$10</f>
      </c>
      <c r="BJ68" s="215">
        <f>BF68*P68</f>
      </c>
      <c r="BK68" s="3"/>
      <c r="BL68" s="3"/>
      <c r="BM68" s="3"/>
    </row>
    <row x14ac:dyDescent="0.25" r="69" customHeight="1" ht="15">
      <c r="A69" s="17"/>
      <c r="B69" s="14"/>
      <c r="C69" s="3"/>
      <c r="D69" s="3"/>
      <c r="E69" s="3"/>
      <c r="F69" s="3"/>
      <c r="G69" s="205"/>
      <c r="H69" s="18"/>
      <c r="I69" s="18"/>
      <c r="J69" s="208">
        <f>H69+I69</f>
      </c>
      <c r="K69" s="209"/>
      <c r="L69" s="58">
        <f>K69*I69</f>
      </c>
      <c r="M69" s="58">
        <f>K69*J69</f>
      </c>
      <c r="N69" s="16"/>
      <c r="O69" s="16"/>
      <c r="P69" s="211">
        <f>IF(ISBLANK(N69),O69/4.3,N69/20)</f>
      </c>
      <c r="Q69" s="209"/>
      <c r="R69" s="3"/>
      <c r="S69" s="3"/>
      <c r="T69" s="213">
        <f>IF(ISBLANK(R69),0,X69)</f>
      </c>
      <c r="U69" s="213">
        <f>IF(ISBLANK(S69),0,X69)</f>
      </c>
      <c r="V69" s="214">
        <f>IFERROR(Q69/K69,0)</f>
      </c>
      <c r="W69" s="58">
        <f>IFERROR(L69*V69,0)</f>
      </c>
      <c r="X69" s="213">
        <f>IFERROR(Q69+W69,0)</f>
      </c>
      <c r="Y69" s="213">
        <f>IFERROR(M69*V69,0)</f>
      </c>
      <c r="Z69" s="213">
        <f>Y69-(Y69*$B$1)</f>
      </c>
      <c r="AA69" s="67">
        <f>IFERROR(Z69/X69,"")</f>
      </c>
      <c r="AB69" s="215">
        <f>IFERROR(IF(ISBLANK(N69),Y69/O69,Y69/N69),0)</f>
      </c>
      <c r="AC69" s="215">
        <f>IFERROR(-1*(AB69*B$1),0)</f>
      </c>
      <c r="AD69" s="215">
        <f>IFERROR(SUM(AB69:AC69),0)</f>
      </c>
      <c r="AE69" s="215">
        <f>IF(ISBLANK(N69),AD69,AD69*5)</f>
      </c>
      <c r="AF69" s="216">
        <f>SUM(AG69:BC69)</f>
      </c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8"/>
      <c r="BD69" s="215">
        <f>Z69-AF69</f>
      </c>
      <c r="BE69" s="238">
        <f>IFERROR(AF69/Y69,0)</f>
      </c>
      <c r="BF69" s="214">
        <f>IFERROR(AF69/X69,0)</f>
      </c>
      <c r="BG69" s="214">
        <f>IFERROR((X69/SUM(X$58:X$70)),0)</f>
      </c>
      <c r="BH69" s="214">
        <f>BC69/SUM(BC$3:BC266)</f>
      </c>
      <c r="BI69" s="217">
        <f>BC69/'R&amp;H Portfolio'!Q$10</f>
      </c>
      <c r="BJ69" s="215">
        <f>BF69*P69</f>
      </c>
      <c r="BK69" s="3"/>
      <c r="BL69" s="3"/>
      <c r="BM69" s="3"/>
    </row>
    <row x14ac:dyDescent="0.25" r="70" customHeight="1" ht="15">
      <c r="A70" s="17"/>
      <c r="B70" s="14"/>
      <c r="C70" s="3"/>
      <c r="D70" s="3"/>
      <c r="E70" s="3"/>
      <c r="F70" s="3"/>
      <c r="G70" s="205"/>
      <c r="H70" s="18"/>
      <c r="I70" s="18"/>
      <c r="J70" s="208">
        <f>H70+I70</f>
      </c>
      <c r="K70" s="209"/>
      <c r="L70" s="58">
        <f>K70*I70</f>
      </c>
      <c r="M70" s="58">
        <f>K70*J70</f>
      </c>
      <c r="N70" s="16"/>
      <c r="O70" s="16"/>
      <c r="P70" s="211">
        <f>IF(ISBLANK(N70),O70/4.3,N70/20)</f>
      </c>
      <c r="Q70" s="209"/>
      <c r="R70" s="3"/>
      <c r="S70" s="3"/>
      <c r="T70" s="213">
        <f>IF(ISBLANK(R70),0,X70)</f>
      </c>
      <c r="U70" s="213">
        <f>IF(ISBLANK(S70),0,X70)</f>
      </c>
      <c r="V70" s="214">
        <f>IFERROR(Q70/K70,0)</f>
      </c>
      <c r="W70" s="58">
        <f>IFERROR(L70*V70,0)</f>
      </c>
      <c r="X70" s="213">
        <f>IFERROR(Q70+W70,0)</f>
      </c>
      <c r="Y70" s="213">
        <f>IFERROR(M70*V70,0)</f>
      </c>
      <c r="Z70" s="213">
        <f>Y70-(Y70*$B$1)</f>
      </c>
      <c r="AA70" s="67">
        <f>IFERROR(Z70/X70,"")</f>
      </c>
      <c r="AB70" s="215">
        <f>IFERROR(IF(ISBLANK(N70),Y70/O70,Y70/N70),0)</f>
      </c>
      <c r="AC70" s="215">
        <f>IFERROR(-1*(AB70*B$1),0)</f>
      </c>
      <c r="AD70" s="215">
        <f>IFERROR(SUM(AB70:AC70),0)</f>
      </c>
      <c r="AE70" s="215">
        <f>IF(ISBLANK(N70),AD70,AD70*5)</f>
      </c>
      <c r="AF70" s="216">
        <f>SUM(AG70:BC70)</f>
      </c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8"/>
      <c r="BD70" s="215">
        <f>Z70-AF70</f>
      </c>
      <c r="BE70" s="238">
        <f>IFERROR(AF70/Y70,0)</f>
      </c>
      <c r="BF70" s="214">
        <f>IFERROR(AF70/X70,0)</f>
      </c>
      <c r="BG70" s="214">
        <f>IFERROR((X70/SUM(X$58:X$70)),0)</f>
      </c>
      <c r="BH70" s="214">
        <f>BC70/SUM(BC$3:BC267)</f>
      </c>
      <c r="BI70" s="217">
        <f>BC70/'R&amp;H Portfolio'!Q$10</f>
      </c>
      <c r="BJ70" s="215">
        <f>BF70*P70</f>
      </c>
      <c r="BK70" s="3"/>
      <c r="BL70" s="3"/>
      <c r="BM70" s="3"/>
    </row>
    <row x14ac:dyDescent="0.25" r="71" customHeight="1" ht="15">
      <c r="A71" s="17"/>
      <c r="B71" s="14"/>
      <c r="C71" s="3"/>
      <c r="D71" s="3"/>
      <c r="E71" s="3"/>
      <c r="F71" s="3"/>
      <c r="G71" s="205"/>
      <c r="H71" s="18"/>
      <c r="I71" s="18"/>
      <c r="J71" s="208">
        <f>H71+I71</f>
      </c>
      <c r="K71" s="209"/>
      <c r="L71" s="58">
        <f>K71*I71</f>
      </c>
      <c r="M71" s="58">
        <f>K71*J71</f>
      </c>
      <c r="N71" s="16"/>
      <c r="O71" s="16"/>
      <c r="P71" s="211">
        <f>IF(ISBLANK(N71),O71/4.3,N71/20)</f>
      </c>
      <c r="Q71" s="209"/>
      <c r="R71" s="3"/>
      <c r="S71" s="3"/>
      <c r="T71" s="213">
        <f>IF(ISBLANK(R71),0,X71)</f>
      </c>
      <c r="U71" s="213">
        <f>IF(ISBLANK(S71),0,X71)</f>
      </c>
      <c r="V71" s="214">
        <f>IFERROR(Q71/K71,0)</f>
      </c>
      <c r="W71" s="58">
        <f>IFERROR(L71*V71,0)</f>
      </c>
      <c r="X71" s="213">
        <f>IFERROR(Q71+W71,0)</f>
      </c>
      <c r="Y71" s="213">
        <f>IFERROR(M71*V71,0)</f>
      </c>
      <c r="Z71" s="213">
        <f>Y71-(Y71*$B$1)</f>
      </c>
      <c r="AA71" s="67">
        <f>IFERROR(Z71/X71,"")</f>
      </c>
      <c r="AB71" s="215">
        <f>IFERROR(IF(ISBLANK(N71),Y71/O71,Y71/N71),0)</f>
      </c>
      <c r="AC71" s="215">
        <f>IFERROR(-1*(AB71*B$1),0)</f>
      </c>
      <c r="AD71" s="215">
        <f>IFERROR(SUM(AB71:AC71),0)</f>
      </c>
      <c r="AE71" s="215">
        <f>IF(ISBLANK(N71),AD71,AD71*5)</f>
      </c>
      <c r="AF71" s="216">
        <f>SUM(AG71:BC71)</f>
      </c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8"/>
      <c r="BD71" s="215">
        <f>Z71-AF71</f>
      </c>
      <c r="BE71" s="238">
        <f>IFERROR(AF71/Y71,0)</f>
      </c>
      <c r="BF71" s="214">
        <f>IFERROR(AF71/X71,0)</f>
      </c>
      <c r="BG71" s="214">
        <f>IFERROR((X71/SUM(X$58:X$70)),0)</f>
      </c>
      <c r="BH71" s="214">
        <f>BC71/SUM(BC$3:BC268)</f>
      </c>
      <c r="BI71" s="217">
        <f>BC71/'R&amp;H Portfolio'!Q$10</f>
      </c>
      <c r="BJ71" s="215">
        <f>BF71*P71</f>
      </c>
      <c r="BK71" s="3"/>
      <c r="BL71" s="3"/>
      <c r="BM71" s="3"/>
    </row>
    <row x14ac:dyDescent="0.25" r="72" customHeight="1" ht="15">
      <c r="A72" s="17"/>
      <c r="B72" s="14"/>
      <c r="C72" s="3"/>
      <c r="D72" s="3"/>
      <c r="E72" s="3"/>
      <c r="F72" s="3"/>
      <c r="G72" s="205"/>
      <c r="H72" s="18"/>
      <c r="I72" s="18"/>
      <c r="J72" s="208">
        <f>H72+I72</f>
      </c>
      <c r="K72" s="209"/>
      <c r="L72" s="58">
        <f>K72*I72</f>
      </c>
      <c r="M72" s="58">
        <f>K72*J72</f>
      </c>
      <c r="N72" s="16"/>
      <c r="O72" s="16"/>
      <c r="P72" s="211">
        <f>IF(ISBLANK(N72),O72/4.3,N72/20)</f>
      </c>
      <c r="Q72" s="209"/>
      <c r="R72" s="3"/>
      <c r="S72" s="3"/>
      <c r="T72" s="213">
        <f>IF(ISBLANK(R72),0,X72)</f>
      </c>
      <c r="U72" s="213">
        <f>IF(ISBLANK(S72),0,X72)</f>
      </c>
      <c r="V72" s="214">
        <f>IFERROR(Q72/K72,0)</f>
      </c>
      <c r="W72" s="58">
        <f>IFERROR(L72*V72,0)</f>
      </c>
      <c r="X72" s="213">
        <f>IFERROR(Q72+W72,0)</f>
      </c>
      <c r="Y72" s="213">
        <f>IFERROR(M72*V72,0)</f>
      </c>
      <c r="Z72" s="213">
        <f>Y72-(Y72*$B$1)</f>
      </c>
      <c r="AA72" s="67">
        <f>IFERROR(Z72/X72,"")</f>
      </c>
      <c r="AB72" s="215">
        <f>IFERROR(IF(ISBLANK(N72),Y72/O72,Y72/N72),0)</f>
      </c>
      <c r="AC72" s="215">
        <f>IFERROR(-1*(AB72*B$1),0)</f>
      </c>
      <c r="AD72" s="215">
        <f>IFERROR(SUM(AB72:AC72),0)</f>
      </c>
      <c r="AE72" s="215">
        <f>IF(ISBLANK(N72),AD72,AD72*5)</f>
      </c>
      <c r="AF72" s="216">
        <f>SUM(AG72:BC72)</f>
      </c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8"/>
      <c r="BD72" s="215">
        <f>Z72-AF72</f>
      </c>
      <c r="BE72" s="238">
        <f>IFERROR(AF72/Y72,0)</f>
      </c>
      <c r="BF72" s="214">
        <f>IFERROR(AF72/X72,0)</f>
      </c>
      <c r="BG72" s="214">
        <f>IFERROR((X72/SUM(X$58:X$70)),0)</f>
      </c>
      <c r="BH72" s="214">
        <f>BC72/SUM(BC$3:BC269)</f>
      </c>
      <c r="BI72" s="217">
        <f>BC72/'R&amp;H Portfolio'!Q$10</f>
      </c>
      <c r="BJ72" s="215">
        <f>BF72*P72</f>
      </c>
      <c r="BK72" s="3"/>
      <c r="BL72" s="3"/>
      <c r="BM72" s="3"/>
    </row>
    <row x14ac:dyDescent="0.25" r="73" customHeight="1" ht="15">
      <c r="A73" s="17"/>
      <c r="B73" s="14"/>
      <c r="C73" s="3"/>
      <c r="D73" s="3"/>
      <c r="E73" s="3"/>
      <c r="F73" s="3"/>
      <c r="G73" s="205"/>
      <c r="H73" s="18"/>
      <c r="I73" s="18"/>
      <c r="J73" s="208">
        <f>H73+I73</f>
      </c>
      <c r="K73" s="209"/>
      <c r="L73" s="58">
        <f>K73*I73</f>
      </c>
      <c r="M73" s="58">
        <f>K73*J73</f>
      </c>
      <c r="N73" s="16"/>
      <c r="O73" s="16"/>
      <c r="P73" s="211">
        <f>IF(ISBLANK(N73),O73/4.3,N73/20)</f>
      </c>
      <c r="Q73" s="209"/>
      <c r="R73" s="3"/>
      <c r="S73" s="3"/>
      <c r="T73" s="213">
        <f>IF(ISBLANK(R73),0,X73)</f>
      </c>
      <c r="U73" s="213">
        <f>IF(ISBLANK(S73),0,X73)</f>
      </c>
      <c r="V73" s="214">
        <f>IFERROR(Q73/K73,0)</f>
      </c>
      <c r="W73" s="58">
        <f>IFERROR(L73*V73,0)</f>
      </c>
      <c r="X73" s="213">
        <f>IFERROR(Q73+W73,0)</f>
      </c>
      <c r="Y73" s="213">
        <f>IFERROR(M73*V73,0)</f>
      </c>
      <c r="Z73" s="213">
        <f>Y73-(Y73*$B$1)</f>
      </c>
      <c r="AA73" s="67">
        <f>IFERROR(Z73/X73,"")</f>
      </c>
      <c r="AB73" s="215">
        <f>IFERROR(IF(ISBLANK(N73),Y73/O73,Y73/N73),0)</f>
      </c>
      <c r="AC73" s="215">
        <f>IFERROR(-1*(AB73*B$1),0)</f>
      </c>
      <c r="AD73" s="215">
        <f>IFERROR(SUM(AB73:AC73),0)</f>
      </c>
      <c r="AE73" s="215">
        <f>IF(ISBLANK(N73),AD73,AD73*5)</f>
      </c>
      <c r="AF73" s="216">
        <f>SUM(AG73:BC73)</f>
      </c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8"/>
      <c r="BD73" s="215">
        <f>Z73-AF73</f>
      </c>
      <c r="BE73" s="238">
        <f>IFERROR(AF73/Y73,0)</f>
      </c>
      <c r="BF73" s="214">
        <f>IFERROR(AF73/X73,0)</f>
      </c>
      <c r="BG73" s="214">
        <f>IFERROR((X73/SUM(X$58:X$70)),0)</f>
      </c>
      <c r="BH73" s="214">
        <f>BC73/SUM(BC$3:BC270)</f>
      </c>
      <c r="BI73" s="217">
        <f>BC73/'R&amp;H Portfolio'!Q$10</f>
      </c>
      <c r="BJ73" s="215">
        <f>BF73*P73</f>
      </c>
      <c r="BK73" s="3"/>
      <c r="BL73" s="3"/>
      <c r="BM73" s="3"/>
    </row>
    <row x14ac:dyDescent="0.25" r="74" customHeight="1" ht="15">
      <c r="A74" s="17"/>
      <c r="B74" s="14"/>
      <c r="C74" s="3"/>
      <c r="D74" s="3"/>
      <c r="E74" s="3"/>
      <c r="F74" s="3"/>
      <c r="G74" s="205"/>
      <c r="H74" s="18"/>
      <c r="I74" s="18"/>
      <c r="J74" s="208">
        <f>H74+I74</f>
      </c>
      <c r="K74" s="209"/>
      <c r="L74" s="58">
        <f>K74*I74</f>
      </c>
      <c r="M74" s="58">
        <f>K74*J74</f>
      </c>
      <c r="N74" s="16"/>
      <c r="O74" s="16"/>
      <c r="P74" s="211">
        <f>IF(ISBLANK(N74),O74/4.3,N74/20)</f>
      </c>
      <c r="Q74" s="209"/>
      <c r="R74" s="3"/>
      <c r="S74" s="3"/>
      <c r="T74" s="213">
        <f>IF(ISBLANK(R74),0,X74)</f>
      </c>
      <c r="U74" s="213">
        <f>IF(ISBLANK(S74),0,X74)</f>
      </c>
      <c r="V74" s="214">
        <f>IFERROR(Q74/K74,0)</f>
      </c>
      <c r="W74" s="58">
        <f>IFERROR(L74*V74,0)</f>
      </c>
      <c r="X74" s="213">
        <f>IFERROR(Q74+W74,0)</f>
      </c>
      <c r="Y74" s="213">
        <f>IFERROR(M74*V74,0)</f>
      </c>
      <c r="Z74" s="213">
        <f>Y74-(Y74*$B$1)</f>
      </c>
      <c r="AA74" s="67">
        <f>IFERROR(Z74/X74,"")</f>
      </c>
      <c r="AB74" s="215">
        <f>IFERROR(IF(ISBLANK(N74),Y74/O74,Y74/N74),0)</f>
      </c>
      <c r="AC74" s="215">
        <f>IFERROR(-1*(AB74*B$1),0)</f>
      </c>
      <c r="AD74" s="215">
        <f>IFERROR(SUM(AB74:AC74),0)</f>
      </c>
      <c r="AE74" s="215">
        <f>IF(ISBLANK(N74),AD74,AD74*5)</f>
      </c>
      <c r="AF74" s="216">
        <f>SUM(AG74:BC74)</f>
      </c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8"/>
      <c r="BD74" s="215">
        <f>Z74-AF74</f>
      </c>
      <c r="BE74" s="238">
        <f>IFERROR(AF74/Y74,0)</f>
      </c>
      <c r="BF74" s="214">
        <f>IFERROR(AF74/X74,0)</f>
      </c>
      <c r="BG74" s="214">
        <f>IFERROR((X74/SUM(X$58:X$70)),0)</f>
      </c>
      <c r="BH74" s="214">
        <f>BC74/SUM(BC$3:BC271)</f>
      </c>
      <c r="BI74" s="217">
        <f>BC74/'R&amp;H Portfolio'!Q$10</f>
      </c>
      <c r="BJ74" s="215">
        <f>BF74*P74</f>
      </c>
      <c r="BK74" s="3"/>
      <c r="BL74" s="3"/>
      <c r="BM74" s="3"/>
    </row>
    <row x14ac:dyDescent="0.25" r="75" customHeight="1" ht="15">
      <c r="A75" s="17"/>
      <c r="B75" s="14"/>
      <c r="C75" s="3"/>
      <c r="D75" s="3"/>
      <c r="E75" s="3"/>
      <c r="F75" s="3"/>
      <c r="G75" s="205"/>
      <c r="H75" s="18"/>
      <c r="I75" s="18"/>
      <c r="J75" s="208">
        <f>H75+I75</f>
      </c>
      <c r="K75" s="209"/>
      <c r="L75" s="58">
        <f>K75*I75</f>
      </c>
      <c r="M75" s="58">
        <f>K75*J75</f>
      </c>
      <c r="N75" s="16"/>
      <c r="O75" s="16"/>
      <c r="P75" s="211">
        <f>IF(ISBLANK(N75),O75/4.3,N75/20)</f>
      </c>
      <c r="Q75" s="209"/>
      <c r="R75" s="3"/>
      <c r="S75" s="3"/>
      <c r="T75" s="213">
        <f>IF(ISBLANK(R75),0,X75)</f>
      </c>
      <c r="U75" s="213">
        <f>IF(ISBLANK(S75),0,X75)</f>
      </c>
      <c r="V75" s="214">
        <f>IFERROR(Q75/K75,0)</f>
      </c>
      <c r="W75" s="58">
        <f>IFERROR(L75*V75,0)</f>
      </c>
      <c r="X75" s="213">
        <f>IFERROR(Q75+W75,0)</f>
      </c>
      <c r="Y75" s="213">
        <f>IFERROR(M75*V75,0)</f>
      </c>
      <c r="Z75" s="213">
        <f>Y75-(Y75*$B$1)</f>
      </c>
      <c r="AA75" s="67">
        <f>IFERROR(Z75/X75,"")</f>
      </c>
      <c r="AB75" s="215">
        <f>IFERROR(IF(ISBLANK(N75),Y75/O75,Y75/N75),0)</f>
      </c>
      <c r="AC75" s="215">
        <f>IFERROR(-1*(AB75*B$1),0)</f>
      </c>
      <c r="AD75" s="215">
        <f>IFERROR(SUM(AB75:AC75),0)</f>
      </c>
      <c r="AE75" s="215">
        <f>IF(ISBLANK(N75),AD75,AD75*5)</f>
      </c>
      <c r="AF75" s="216">
        <f>SUM(AG75:BC75)</f>
      </c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8"/>
      <c r="BD75" s="215">
        <f>Z75-AF75</f>
      </c>
      <c r="BE75" s="238">
        <f>IFERROR(AF75/Y75,0)</f>
      </c>
      <c r="BF75" s="214">
        <f>IFERROR(AF75/X75,0)</f>
      </c>
      <c r="BG75" s="214">
        <f>IFERROR((X75/SUM(X$58:X$70)),0)</f>
      </c>
      <c r="BH75" s="214">
        <f>BC75/SUM(BC$3:BC272)</f>
      </c>
      <c r="BI75" s="217">
        <f>BC75/'R&amp;H Portfolio'!Q$10</f>
      </c>
      <c r="BJ75" s="215">
        <f>BF75*P75</f>
      </c>
      <c r="BK75" s="3"/>
      <c r="BL75" s="3"/>
      <c r="BM75" s="3"/>
    </row>
    <row x14ac:dyDescent="0.25" r="76" customHeight="1" ht="15">
      <c r="A76" s="17"/>
      <c r="B76" s="14"/>
      <c r="C76" s="3"/>
      <c r="D76" s="3"/>
      <c r="E76" s="3"/>
      <c r="F76" s="3"/>
      <c r="G76" s="205"/>
      <c r="H76" s="18"/>
      <c r="I76" s="18"/>
      <c r="J76" s="208">
        <f>H76+I76</f>
      </c>
      <c r="K76" s="209"/>
      <c r="L76" s="58">
        <f>K76*I76</f>
      </c>
      <c r="M76" s="58">
        <f>K76*J76</f>
      </c>
      <c r="N76" s="16"/>
      <c r="O76" s="16"/>
      <c r="P76" s="211">
        <f>IF(ISBLANK(N76),O76/4.3,N76/20)</f>
      </c>
      <c r="Q76" s="209"/>
      <c r="R76" s="3"/>
      <c r="S76" s="3"/>
      <c r="T76" s="213">
        <f>IF(ISBLANK(R76),0,X76)</f>
      </c>
      <c r="U76" s="213">
        <f>IF(ISBLANK(S76),0,X76)</f>
      </c>
      <c r="V76" s="214">
        <f>IFERROR(Q76/K76,0)</f>
      </c>
      <c r="W76" s="58">
        <f>IFERROR(L76*V76,0)</f>
      </c>
      <c r="X76" s="213">
        <f>IFERROR(Q76+W76,0)</f>
      </c>
      <c r="Y76" s="213">
        <f>IFERROR(M76*V76,0)</f>
      </c>
      <c r="Z76" s="213">
        <f>Y76-(Y76*$B$1)</f>
      </c>
      <c r="AA76" s="67">
        <f>IFERROR(Z76/X76,"")</f>
      </c>
      <c r="AB76" s="215">
        <f>IFERROR(IF(ISBLANK(N76),Y76/O76,Y76/N76),0)</f>
      </c>
      <c r="AC76" s="215">
        <f>IFERROR(-1*(AB76*B$1),0)</f>
      </c>
      <c r="AD76" s="215">
        <f>IFERROR(SUM(AB76:AC76),0)</f>
      </c>
      <c r="AE76" s="215">
        <f>IF(ISBLANK(N76),AD76,AD76*5)</f>
      </c>
      <c r="AF76" s="216">
        <f>SUM(AG76:BC76)</f>
      </c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8"/>
      <c r="BD76" s="215">
        <f>Z76-AF76</f>
      </c>
      <c r="BE76" s="238">
        <f>IFERROR(AF76/Y76,0)</f>
      </c>
      <c r="BF76" s="214">
        <f>IFERROR(AF76/X76,0)</f>
      </c>
      <c r="BG76" s="214">
        <f>IFERROR((X76/SUM(X$58:X$70)),0)</f>
      </c>
      <c r="BH76" s="214">
        <f>BC76/SUM(BC$3:BC273)</f>
      </c>
      <c r="BI76" s="217">
        <f>BC76/'R&amp;H Portfolio'!Q$10</f>
      </c>
      <c r="BJ76" s="215">
        <f>BF76*P76</f>
      </c>
      <c r="BK76" s="3"/>
      <c r="BL76" s="3"/>
      <c r="BM76" s="3"/>
    </row>
    <row x14ac:dyDescent="0.25" r="77" customHeight="1" ht="15">
      <c r="A77" s="17"/>
      <c r="B77" s="14"/>
      <c r="C77" s="3"/>
      <c r="D77" s="3"/>
      <c r="E77" s="3"/>
      <c r="F77" s="3"/>
      <c r="G77" s="16"/>
      <c r="H77" s="18"/>
      <c r="I77" s="18"/>
      <c r="J77" s="208">
        <f>H77+I77</f>
      </c>
      <c r="K77" s="1"/>
      <c r="L77" s="58">
        <f>K77*I77</f>
      </c>
      <c r="M77" s="58">
        <f>K77*J77</f>
      </c>
      <c r="N77" s="16"/>
      <c r="O77" s="16"/>
      <c r="P77" s="211">
        <f>IF(ISBLANK(N77),O77/4.3,N77/20)</f>
      </c>
      <c r="Q77" s="1"/>
      <c r="R77" s="3"/>
      <c r="S77" s="3"/>
      <c r="T77" s="213">
        <f>IF(ISBLANK(R77),0,X77)</f>
      </c>
      <c r="U77" s="213">
        <f>IF(ISBLANK(S77),0,X77)</f>
      </c>
      <c r="V77" s="214">
        <f>IFERROR(Q77/K77,0)</f>
      </c>
      <c r="W77" s="58">
        <f>IFERROR(L77*V77,0)</f>
      </c>
      <c r="X77" s="213">
        <f>IFERROR(Q77+W77,0)</f>
      </c>
      <c r="Y77" s="213">
        <f>IFERROR(M77*V77,0)</f>
      </c>
      <c r="Z77" s="213">
        <f>Y77-(Y77*$B$1)</f>
      </c>
      <c r="AA77" s="67">
        <f>IFERROR(Z77/X77,"")</f>
      </c>
      <c r="AB77" s="215">
        <f>IFERROR(IF(ISBLANK(N77),Y77/O77,Y77/N77),0)</f>
      </c>
      <c r="AC77" s="215">
        <f>IFERROR(-1*(AB77*B$1),0)</f>
      </c>
      <c r="AD77" s="215">
        <f>IFERROR(SUM(AB77:AC77),0)</f>
      </c>
      <c r="AE77" s="215">
        <f>IF(ISBLANK(N77),AD77,AD77*5)</f>
      </c>
      <c r="AF77" s="216">
        <f>SUM(AG77:BC77)</f>
      </c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8"/>
      <c r="BD77" s="215">
        <f>Z77-AF77</f>
      </c>
      <c r="BE77" s="238">
        <f>IFERROR(AF77/Y77,0)</f>
      </c>
      <c r="BF77" s="214">
        <f>IFERROR(AF77/X77,0)</f>
      </c>
      <c r="BG77" s="214">
        <f>IFERROR((X77/SUM(X$58:X$70)),0)</f>
      </c>
      <c r="BH77" s="214">
        <f>BC77/SUM(BC$3:BC274)</f>
      </c>
      <c r="BI77" s="217">
        <f>BC77/'R&amp;H Portfolio'!Q$10</f>
      </c>
      <c r="BJ77" s="215">
        <f>BF77*P77</f>
      </c>
      <c r="BK77" s="3"/>
      <c r="BL77" s="3"/>
      <c r="BM77" s="3"/>
    </row>
    <row x14ac:dyDescent="0.25" r="78" customHeight="1" ht="15">
      <c r="A78" s="17"/>
      <c r="B78" s="14"/>
      <c r="C78" s="3"/>
      <c r="D78" s="3"/>
      <c r="E78" s="3"/>
      <c r="F78" s="3"/>
      <c r="G78" s="16"/>
      <c r="H78" s="18"/>
      <c r="I78" s="18"/>
      <c r="J78" s="208">
        <f>H78+I78</f>
      </c>
      <c r="K78" s="1"/>
      <c r="L78" s="58">
        <f>K78*I78</f>
      </c>
      <c r="M78" s="58">
        <f>K78*J78</f>
      </c>
      <c r="N78" s="16"/>
      <c r="O78" s="16"/>
      <c r="P78" s="211">
        <f>IF(ISBLANK(N78),O78/4.3,N78/20)</f>
      </c>
      <c r="Q78" s="1"/>
      <c r="R78" s="3"/>
      <c r="S78" s="3"/>
      <c r="T78" s="213">
        <f>IF(ISBLANK(R78),0,X78)</f>
      </c>
      <c r="U78" s="213">
        <f>IF(ISBLANK(S78),0,X78)</f>
      </c>
      <c r="V78" s="214">
        <f>IFERROR(Q78/K78,0)</f>
      </c>
      <c r="W78" s="58">
        <f>IFERROR(L78*V78,0)</f>
      </c>
      <c r="X78" s="213">
        <f>IFERROR(Q78+W78,0)</f>
      </c>
      <c r="Y78" s="213">
        <f>IFERROR(M78*V78,0)</f>
      </c>
      <c r="Z78" s="213">
        <f>Y78-(Y78*$B$1)</f>
      </c>
      <c r="AA78" s="67">
        <f>IFERROR(Z78/X78,"")</f>
      </c>
      <c r="AB78" s="215">
        <f>IFERROR(IF(ISBLANK(N78),Y78/O78,Y78/N78),0)</f>
      </c>
      <c r="AC78" s="215">
        <f>IFERROR(-1*(AB78*B$1),0)</f>
      </c>
      <c r="AD78" s="215">
        <f>IFERROR(SUM(AB78:AC78),0)</f>
      </c>
      <c r="AE78" s="215">
        <f>IF(ISBLANK(N78),AD78,AD78*5)</f>
      </c>
      <c r="AF78" s="216">
        <f>SUM(AG78:BC78)</f>
      </c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8"/>
      <c r="BD78" s="215">
        <f>Z78-AF78</f>
      </c>
      <c r="BE78" s="238">
        <f>IFERROR(AF78/Y78,0)</f>
      </c>
      <c r="BF78" s="214">
        <f>IFERROR(AF78/X78,0)</f>
      </c>
      <c r="BG78" s="214">
        <f>IFERROR((X78/SUM(X$58:X$70)),0)</f>
      </c>
      <c r="BH78" s="214">
        <f>BC78/SUM(BC$3:BC275)</f>
      </c>
      <c r="BI78" s="217">
        <f>BC78/'R&amp;H Portfolio'!Q$10</f>
      </c>
      <c r="BJ78" s="215">
        <f>BF78*P78</f>
      </c>
      <c r="BK78" s="3"/>
      <c r="BL78" s="3"/>
      <c r="BM78" s="3"/>
    </row>
    <row x14ac:dyDescent="0.25" r="79" customHeight="1" ht="15">
      <c r="A79" s="17"/>
      <c r="B79" s="14"/>
      <c r="C79" s="3"/>
      <c r="D79" s="3"/>
      <c r="E79" s="3"/>
      <c r="F79" s="3"/>
      <c r="G79" s="16"/>
      <c r="H79" s="18"/>
      <c r="I79" s="18"/>
      <c r="J79" s="208">
        <f>H79+I79</f>
      </c>
      <c r="K79" s="1"/>
      <c r="L79" s="58">
        <f>K79*I79</f>
      </c>
      <c r="M79" s="58">
        <f>K79*J79</f>
      </c>
      <c r="N79" s="16"/>
      <c r="O79" s="16"/>
      <c r="P79" s="211">
        <f>IF(ISBLANK(N79),O79/4.3,N79/20)</f>
      </c>
      <c r="Q79" s="1"/>
      <c r="R79" s="3"/>
      <c r="S79" s="3"/>
      <c r="T79" s="213">
        <f>IF(ISBLANK(R79),0,X79)</f>
      </c>
      <c r="U79" s="213">
        <f>IF(ISBLANK(S79),0,X79)</f>
      </c>
      <c r="V79" s="214">
        <f>IFERROR(Q79/K79,0)</f>
      </c>
      <c r="W79" s="58">
        <f>IFERROR(L79*V79,0)</f>
      </c>
      <c r="X79" s="213">
        <f>IFERROR(Q79+W79,0)</f>
      </c>
      <c r="Y79" s="213">
        <f>IFERROR(M79*V79,0)</f>
      </c>
      <c r="Z79" s="213">
        <f>Y79-(Y79*$B$1)</f>
      </c>
      <c r="AA79" s="67">
        <f>IFERROR(Z79/X79,"")</f>
      </c>
      <c r="AB79" s="215">
        <f>IFERROR(IF(ISBLANK(N79),Y79/O79,Y79/N79),0)</f>
      </c>
      <c r="AC79" s="215">
        <f>IFERROR(-1*(AB79*B$1),0)</f>
      </c>
      <c r="AD79" s="215">
        <f>IFERROR(SUM(AB79:AC79),0)</f>
      </c>
      <c r="AE79" s="215">
        <f>IF(ISBLANK(N79),AD79,AD79*5)</f>
      </c>
      <c r="AF79" s="216">
        <f>SUM(AG79:BC79)</f>
      </c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8"/>
      <c r="BD79" s="215">
        <f>Z79-AF79</f>
      </c>
      <c r="BE79" s="238">
        <f>IFERROR(AF79/Y79,0)</f>
      </c>
      <c r="BF79" s="214">
        <f>IFERROR(AF79/X79,0)</f>
      </c>
      <c r="BG79" s="214">
        <f>IFERROR((X79/SUM(X$58:X$70)),0)</f>
      </c>
      <c r="BH79" s="214">
        <f>BC79/SUM(BC$3:BC276)</f>
      </c>
      <c r="BI79" s="217">
        <f>BC79/'R&amp;H Portfolio'!Q$10</f>
      </c>
      <c r="BJ79" s="215">
        <f>BF79*P79</f>
      </c>
      <c r="BK79" s="3"/>
      <c r="BL79" s="3"/>
      <c r="BM79" s="3"/>
    </row>
    <row x14ac:dyDescent="0.25" r="80" customHeight="1" ht="15">
      <c r="A80" s="17"/>
      <c r="B80" s="14"/>
      <c r="C80" s="3"/>
      <c r="D80" s="3"/>
      <c r="E80" s="3"/>
      <c r="F80" s="3"/>
      <c r="G80" s="16"/>
      <c r="H80" s="18"/>
      <c r="I80" s="18"/>
      <c r="J80" s="208">
        <f>H80+I80</f>
      </c>
      <c r="K80" s="1"/>
      <c r="L80" s="58">
        <f>K80*I80</f>
      </c>
      <c r="M80" s="58">
        <f>K80*J80</f>
      </c>
      <c r="N80" s="16"/>
      <c r="O80" s="16"/>
      <c r="P80" s="211">
        <f>IF(ISBLANK(N80),O80/4.3,N80/20)</f>
      </c>
      <c r="Q80" s="1"/>
      <c r="R80" s="3"/>
      <c r="S80" s="3"/>
      <c r="T80" s="213">
        <f>IF(ISBLANK(R80),0,X80)</f>
      </c>
      <c r="U80" s="213">
        <f>IF(ISBLANK(S80),0,X80)</f>
      </c>
      <c r="V80" s="214">
        <f>IFERROR(Q80/K80,0)</f>
      </c>
      <c r="W80" s="58">
        <f>IFERROR(L80*V80,0)</f>
      </c>
      <c r="X80" s="213">
        <f>IFERROR(Q80+W80,0)</f>
      </c>
      <c r="Y80" s="213">
        <f>IFERROR(M80*V80,0)</f>
      </c>
      <c r="Z80" s="213">
        <f>Y80-(Y80*$B$1)</f>
      </c>
      <c r="AA80" s="67">
        <f>IFERROR(Z80/X80,"")</f>
      </c>
      <c r="AB80" s="215">
        <f>IFERROR(IF(ISBLANK(N80),Y80/O80,Y80/N80),0)</f>
      </c>
      <c r="AC80" s="215">
        <f>IFERROR(-1*(AB80*B$1),0)</f>
      </c>
      <c r="AD80" s="215">
        <f>IFERROR(SUM(AB80:AC80),0)</f>
      </c>
      <c r="AE80" s="215">
        <f>IF(ISBLANK(N80),AD80,AD80*5)</f>
      </c>
      <c r="AF80" s="216">
        <f>SUM(AG80:BC80)</f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8"/>
      <c r="BD80" s="215">
        <f>Z80-AF80</f>
      </c>
      <c r="BE80" s="238">
        <f>IFERROR(AF80/Y80,0)</f>
      </c>
      <c r="BF80" s="214">
        <f>IFERROR(AF80/X80,0)</f>
      </c>
      <c r="BG80" s="214">
        <f>IFERROR((X80/SUM(X$58:X$70)),0)</f>
      </c>
      <c r="BH80" s="214">
        <f>BC80/SUM(BC$3:BC277)</f>
      </c>
      <c r="BI80" s="217">
        <f>BC80/'R&amp;H Portfolio'!Q$10</f>
      </c>
      <c r="BJ80" s="215">
        <f>BF80*P80</f>
      </c>
      <c r="BK80" s="3"/>
      <c r="BL80" s="3"/>
      <c r="BM80" s="3"/>
    </row>
    <row x14ac:dyDescent="0.25" r="81" customHeight="1" ht="15">
      <c r="A81" s="17"/>
      <c r="B81" s="14"/>
      <c r="C81" s="3"/>
      <c r="D81" s="3"/>
      <c r="E81" s="3"/>
      <c r="F81" s="3"/>
      <c r="G81" s="16"/>
      <c r="H81" s="18"/>
      <c r="I81" s="18"/>
      <c r="J81" s="208">
        <f>H81+I81</f>
      </c>
      <c r="K81" s="1"/>
      <c r="L81" s="58">
        <f>K81*I81</f>
      </c>
      <c r="M81" s="58">
        <f>K81*J81</f>
      </c>
      <c r="N81" s="16"/>
      <c r="O81" s="16"/>
      <c r="P81" s="211">
        <f>IF(ISBLANK(N81),O81/4.3,N81/20)</f>
      </c>
      <c r="Q81" s="1"/>
      <c r="R81" s="3"/>
      <c r="S81" s="3"/>
      <c r="T81" s="213">
        <f>IF(ISBLANK(R81),0,X81)</f>
      </c>
      <c r="U81" s="213">
        <f>IF(ISBLANK(S81),0,X81)</f>
      </c>
      <c r="V81" s="214">
        <f>IFERROR(Q81/K81,0)</f>
      </c>
      <c r="W81" s="58">
        <f>IFERROR(L81*V81,0)</f>
      </c>
      <c r="X81" s="213">
        <f>IFERROR(Q81+W81,0)</f>
      </c>
      <c r="Y81" s="213">
        <f>IFERROR(M81*V81,0)</f>
      </c>
      <c r="Z81" s="213">
        <f>Y81-(Y81*$B$1)</f>
      </c>
      <c r="AA81" s="67">
        <f>IFERROR(Z81/X81,"")</f>
      </c>
      <c r="AB81" s="215">
        <f>IFERROR(IF(ISBLANK(N81),Y81/O81,Y81/N81),0)</f>
      </c>
      <c r="AC81" s="215">
        <f>IFERROR(-1*(AB81*B$1),0)</f>
      </c>
      <c r="AD81" s="215">
        <f>IFERROR(SUM(AB81:AC81),0)</f>
      </c>
      <c r="AE81" s="215">
        <f>IF(ISBLANK(N81),AD81,AD81*5)</f>
      </c>
      <c r="AF81" s="216">
        <f>SUM(AG81:BC81)</f>
      </c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8"/>
      <c r="BD81" s="215">
        <f>Z81-AF81</f>
      </c>
      <c r="BE81" s="238">
        <f>IFERROR(AF81/Y81,0)</f>
      </c>
      <c r="BF81" s="214">
        <f>IFERROR(AF81/X81,0)</f>
      </c>
      <c r="BG81" s="214">
        <f>IFERROR((X81/SUM(X$58:X$70)),0)</f>
      </c>
      <c r="BH81" s="214">
        <f>BC81/SUM(BC$3:BC278)</f>
      </c>
      <c r="BI81" s="217">
        <f>BC81/'R&amp;H Portfolio'!Q$10</f>
      </c>
      <c r="BJ81" s="215">
        <f>BF81*P81</f>
      </c>
      <c r="BK81" s="3"/>
      <c r="BL81" s="3"/>
      <c r="BM81" s="3"/>
    </row>
    <row x14ac:dyDescent="0.25" r="82" customHeight="1" ht="15">
      <c r="A82" s="17"/>
      <c r="B82" s="14"/>
      <c r="C82" s="3"/>
      <c r="D82" s="3"/>
      <c r="E82" s="3"/>
      <c r="F82" s="3"/>
      <c r="G82" s="16"/>
      <c r="H82" s="18"/>
      <c r="I82" s="18"/>
      <c r="J82" s="208">
        <f>H82+I82</f>
      </c>
      <c r="K82" s="1"/>
      <c r="L82" s="58">
        <f>K82*I82</f>
      </c>
      <c r="M82" s="58">
        <f>K82*J82</f>
      </c>
      <c r="N82" s="16"/>
      <c r="O82" s="16"/>
      <c r="P82" s="211">
        <f>IF(ISBLANK(N82),O82/4.3,N82/20)</f>
      </c>
      <c r="Q82" s="1"/>
      <c r="R82" s="3"/>
      <c r="S82" s="3"/>
      <c r="T82" s="213">
        <f>IF(ISBLANK(R82),0,X82)</f>
      </c>
      <c r="U82" s="213">
        <f>IF(ISBLANK(S82),0,X82)</f>
      </c>
      <c r="V82" s="214">
        <f>IFERROR(Q82/K82,0)</f>
      </c>
      <c r="W82" s="58">
        <f>IFERROR(L82*V82,0)</f>
      </c>
      <c r="X82" s="213">
        <f>IFERROR(Q82+W82,0)</f>
      </c>
      <c r="Y82" s="213">
        <f>IFERROR(M82*V82,0)</f>
      </c>
      <c r="Z82" s="213">
        <f>Y82-(Y82*$B$1)</f>
      </c>
      <c r="AA82" s="67">
        <f>IFERROR(Z82/X82,"")</f>
      </c>
      <c r="AB82" s="215">
        <f>IFERROR(IF(ISBLANK(N82),Y82/O82,Y82/N82),0)</f>
      </c>
      <c r="AC82" s="215">
        <f>IFERROR(-1*(AB82*B$1),0)</f>
      </c>
      <c r="AD82" s="215">
        <f>IFERROR(SUM(AB82:AC82),0)</f>
      </c>
      <c r="AE82" s="215">
        <f>IF(ISBLANK(N82),AD82,AD82*5)</f>
      </c>
      <c r="AF82" s="216">
        <f>SUM(AG82:BC82)</f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8"/>
      <c r="BD82" s="215">
        <f>Z82-AF82</f>
      </c>
      <c r="BE82" s="238">
        <f>IFERROR(AF82/Y82,0)</f>
      </c>
      <c r="BF82" s="214">
        <f>IFERROR(AF82/X82,0)</f>
      </c>
      <c r="BG82" s="214">
        <f>IFERROR((X82/SUM(X$58:X$70)),0)</f>
      </c>
      <c r="BH82" s="214">
        <f>BC82/SUM(BC$3:BC279)</f>
      </c>
      <c r="BI82" s="217">
        <f>BC82/'R&amp;H Portfolio'!Q$10</f>
      </c>
      <c r="BJ82" s="215">
        <f>BF82*P82</f>
      </c>
      <c r="BK82" s="3"/>
      <c r="BL82" s="3"/>
      <c r="BM82" s="3"/>
    </row>
    <row x14ac:dyDescent="0.25" r="83" customHeight="1" ht="15">
      <c r="A83" s="17"/>
      <c r="B83" s="14"/>
      <c r="C83" s="3"/>
      <c r="D83" s="3"/>
      <c r="E83" s="3"/>
      <c r="F83" s="3"/>
      <c r="G83" s="16"/>
      <c r="H83" s="18"/>
      <c r="I83" s="18"/>
      <c r="J83" s="208">
        <f>H83+I83</f>
      </c>
      <c r="K83" s="1"/>
      <c r="L83" s="58">
        <f>K83*I83</f>
      </c>
      <c r="M83" s="58">
        <f>K83*J83</f>
      </c>
      <c r="N83" s="16"/>
      <c r="O83" s="16"/>
      <c r="P83" s="211">
        <f>IF(ISBLANK(N83),O83/4.3,N83/20)</f>
      </c>
      <c r="Q83" s="1"/>
      <c r="R83" s="3"/>
      <c r="S83" s="3"/>
      <c r="T83" s="213">
        <f>IF(ISBLANK(R83),0,X83)</f>
      </c>
      <c r="U83" s="213">
        <f>IF(ISBLANK(S83),0,X83)</f>
      </c>
      <c r="V83" s="214">
        <f>IFERROR(Q83/K83,0)</f>
      </c>
      <c r="W83" s="58">
        <f>IFERROR(L83*V83,0)</f>
      </c>
      <c r="X83" s="213">
        <f>IFERROR(Q83+W83,0)</f>
      </c>
      <c r="Y83" s="213">
        <f>IFERROR(M83*V83,0)</f>
      </c>
      <c r="Z83" s="213">
        <f>Y83-(Y83*$B$1)</f>
      </c>
      <c r="AA83" s="67">
        <f>IFERROR(Z83/X83,"")</f>
      </c>
      <c r="AB83" s="215">
        <f>IFERROR(IF(ISBLANK(N83),Y83/O83,Y83/N83),0)</f>
      </c>
      <c r="AC83" s="215">
        <f>IFERROR(-1*(AB83*B$1),0)</f>
      </c>
      <c r="AD83" s="215">
        <f>IFERROR(SUM(AB83:AC83),0)</f>
      </c>
      <c r="AE83" s="215">
        <f>IF(ISBLANK(N83),AD83,AD83*5)</f>
      </c>
      <c r="AF83" s="216">
        <f>SUM(AG83:BC83)</f>
      </c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8"/>
      <c r="BD83" s="215">
        <f>Z83-AF83</f>
      </c>
      <c r="BE83" s="238">
        <f>IFERROR(AF83/Y83,0)</f>
      </c>
      <c r="BF83" s="214">
        <f>IFERROR(AF83/X83,0)</f>
      </c>
      <c r="BG83" s="214">
        <f>IFERROR((X83/SUM(X$58:X$70)),0)</f>
      </c>
      <c r="BH83" s="214">
        <f>BC83/SUM(BC$3:BC280)</f>
      </c>
      <c r="BI83" s="217">
        <f>BC83/'R&amp;H Portfolio'!Q$10</f>
      </c>
      <c r="BJ83" s="215">
        <f>BF83*P83</f>
      </c>
      <c r="BK83" s="3"/>
      <c r="BL83" s="3"/>
      <c r="BM83" s="3"/>
    </row>
    <row x14ac:dyDescent="0.25" r="84" customHeight="1" ht="15">
      <c r="A84" s="17"/>
      <c r="B84" s="14"/>
      <c r="C84" s="3"/>
      <c r="D84" s="3"/>
      <c r="E84" s="3"/>
      <c r="F84" s="3"/>
      <c r="G84" s="16"/>
      <c r="H84" s="18"/>
      <c r="I84" s="18"/>
      <c r="J84" s="208">
        <f>H84+I84</f>
      </c>
      <c r="K84" s="1"/>
      <c r="L84" s="58">
        <f>K84*I84</f>
      </c>
      <c r="M84" s="58">
        <f>K84*J84</f>
      </c>
      <c r="N84" s="16"/>
      <c r="O84" s="16"/>
      <c r="P84" s="211">
        <f>IF(ISBLANK(N84),O84/4.3,N84/20)</f>
      </c>
      <c r="Q84" s="1"/>
      <c r="R84" s="3"/>
      <c r="S84" s="3"/>
      <c r="T84" s="213">
        <f>IF(ISBLANK(R84),0,X84)</f>
      </c>
      <c r="U84" s="213">
        <f>IF(ISBLANK(S84),0,X84)</f>
      </c>
      <c r="V84" s="214">
        <f>IFERROR(Q84/K84,0)</f>
      </c>
      <c r="W84" s="58">
        <f>IFERROR(L84*V84,0)</f>
      </c>
      <c r="X84" s="213">
        <f>IFERROR(Q84+W84,0)</f>
      </c>
      <c r="Y84" s="213">
        <f>IFERROR(M84*V84,0)</f>
      </c>
      <c r="Z84" s="213">
        <f>Y84-(Y84*$B$1)</f>
      </c>
      <c r="AA84" s="67">
        <f>IFERROR(Z84/X84,"")</f>
      </c>
      <c r="AB84" s="215">
        <f>IFERROR(IF(ISBLANK(N84),Y84/O84,Y84/N84),0)</f>
      </c>
      <c r="AC84" s="215">
        <f>IFERROR(-1*(AB84*B$1),0)</f>
      </c>
      <c r="AD84" s="215">
        <f>IFERROR(SUM(AB84:AC84),0)</f>
      </c>
      <c r="AE84" s="215">
        <f>IF(ISBLANK(N84),AD84,AD84*5)</f>
      </c>
      <c r="AF84" s="216">
        <f>SUM(AG84:BC84)</f>
      </c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8"/>
      <c r="BD84" s="215">
        <f>Z84-AF84</f>
      </c>
      <c r="BE84" s="238">
        <f>IFERROR(AF84/Y84,0)</f>
      </c>
      <c r="BF84" s="214">
        <f>IFERROR(AF84/X84,0)</f>
      </c>
      <c r="BG84" s="214">
        <f>IFERROR((X84/SUM(X$58:X$70)),0)</f>
      </c>
      <c r="BH84" s="214">
        <f>BC84/SUM(BC$3:BC281)</f>
      </c>
      <c r="BI84" s="217">
        <f>BC84/'R&amp;H Portfolio'!Q$10</f>
      </c>
      <c r="BJ84" s="215">
        <f>BF84*P84</f>
      </c>
      <c r="BK84" s="3"/>
      <c r="BL84" s="3"/>
      <c r="BM84" s="3"/>
    </row>
    <row x14ac:dyDescent="0.25" r="85" customHeight="1" ht="15">
      <c r="A85" s="17"/>
      <c r="B85" s="14"/>
      <c r="C85" s="3"/>
      <c r="D85" s="3"/>
      <c r="E85" s="3"/>
      <c r="F85" s="3"/>
      <c r="G85" s="16"/>
      <c r="H85" s="18"/>
      <c r="I85" s="18"/>
      <c r="J85" s="208">
        <f>H85+I85</f>
      </c>
      <c r="K85" s="1"/>
      <c r="L85" s="58">
        <f>K85*I85</f>
      </c>
      <c r="M85" s="58">
        <f>K85*J85</f>
      </c>
      <c r="N85" s="16"/>
      <c r="O85" s="16"/>
      <c r="P85" s="211">
        <f>IF(ISBLANK(N85),O85/4.3,N85/20)</f>
      </c>
      <c r="Q85" s="1"/>
      <c r="R85" s="3"/>
      <c r="S85" s="3"/>
      <c r="T85" s="213">
        <f>IF(ISBLANK(R85),0,X85)</f>
      </c>
      <c r="U85" s="213">
        <f>IF(ISBLANK(S85),0,X85)</f>
      </c>
      <c r="V85" s="214">
        <f>IFERROR(Q85/K85,0)</f>
      </c>
      <c r="W85" s="58">
        <f>IFERROR(L85*V85,0)</f>
      </c>
      <c r="X85" s="213">
        <f>IFERROR(Q85+W85,0)</f>
      </c>
      <c r="Y85" s="213">
        <f>IFERROR(M85*V85,0)</f>
      </c>
      <c r="Z85" s="213">
        <f>Y85-(Y85*$B$1)</f>
      </c>
      <c r="AA85" s="67">
        <f>IFERROR(Z85/X85,"")</f>
      </c>
      <c r="AB85" s="215">
        <f>IFERROR(IF(ISBLANK(N85),Y85/O85,Y85/N85),0)</f>
      </c>
      <c r="AC85" s="215">
        <f>IFERROR(-1*(AB85*B$1),0)</f>
      </c>
      <c r="AD85" s="215">
        <f>IFERROR(SUM(AB85:AC85),0)</f>
      </c>
      <c r="AE85" s="215">
        <f>IF(ISBLANK(N85),AD85,AD85*5)</f>
      </c>
      <c r="AF85" s="216">
        <f>SUM(AG85:BC85)</f>
      </c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8"/>
      <c r="BD85" s="215">
        <f>Z85-AF85</f>
      </c>
      <c r="BE85" s="238">
        <f>IFERROR(AF85/Y85,0)</f>
      </c>
      <c r="BF85" s="214">
        <f>IFERROR(AF85/X85,0)</f>
      </c>
      <c r="BG85" s="214">
        <f>IFERROR((X85/SUM(X$58:X$70)),0)</f>
      </c>
      <c r="BH85" s="214">
        <f>BC85/SUM(BC$3:BC282)</f>
      </c>
      <c r="BI85" s="217">
        <f>BC85/'R&amp;H Portfolio'!Q$10</f>
      </c>
      <c r="BJ85" s="215">
        <f>BF85*P85</f>
      </c>
      <c r="BK85" s="3"/>
      <c r="BL85" s="3"/>
      <c r="BM85" s="3"/>
    </row>
    <row x14ac:dyDescent="0.25" r="86" customHeight="1" ht="15">
      <c r="A86" s="17"/>
      <c r="B86" s="14"/>
      <c r="C86" s="3"/>
      <c r="D86" s="3"/>
      <c r="E86" s="3"/>
      <c r="F86" s="3"/>
      <c r="G86" s="16"/>
      <c r="H86" s="18"/>
      <c r="I86" s="18"/>
      <c r="J86" s="208">
        <f>H86+I86</f>
      </c>
      <c r="K86" s="1"/>
      <c r="L86" s="58">
        <f>K86*I86</f>
      </c>
      <c r="M86" s="58">
        <f>K86*J86</f>
      </c>
      <c r="N86" s="16"/>
      <c r="O86" s="16"/>
      <c r="P86" s="211">
        <f>IF(ISBLANK(N86),O86/4.3,N86/20)</f>
      </c>
      <c r="Q86" s="1"/>
      <c r="R86" s="3"/>
      <c r="S86" s="3"/>
      <c r="T86" s="213">
        <f>IF(ISBLANK(R86),0,X86)</f>
      </c>
      <c r="U86" s="213">
        <f>IF(ISBLANK(S86),0,X86)</f>
      </c>
      <c r="V86" s="214">
        <f>IFERROR(Q86/K86,0)</f>
      </c>
      <c r="W86" s="58">
        <f>IFERROR(L86*V86,0)</f>
      </c>
      <c r="X86" s="213">
        <f>IFERROR(Q86+W86,0)</f>
      </c>
      <c r="Y86" s="213">
        <f>IFERROR(M86*V86,0)</f>
      </c>
      <c r="Z86" s="213">
        <f>Y86-(Y86*$B$1)</f>
      </c>
      <c r="AA86" s="67">
        <f>IFERROR(Z86/X86,"")</f>
      </c>
      <c r="AB86" s="215">
        <f>IFERROR(IF(ISBLANK(N86),Y86/O86,Y86/N86),0)</f>
      </c>
      <c r="AC86" s="215">
        <f>IFERROR(-1*(AB86*B$1),0)</f>
      </c>
      <c r="AD86" s="215">
        <f>IFERROR(SUM(AB86:AC86),0)</f>
      </c>
      <c r="AE86" s="215">
        <f>IF(ISBLANK(N86),AD86,AD86*5)</f>
      </c>
      <c r="AF86" s="216">
        <f>SUM(AG86:BC86)</f>
      </c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8"/>
      <c r="BD86" s="215">
        <f>Z86-AF86</f>
      </c>
      <c r="BE86" s="238">
        <f>IFERROR(AF86/Y86,0)</f>
      </c>
      <c r="BF86" s="214">
        <f>IFERROR(AF86/X86,0)</f>
      </c>
      <c r="BG86" s="214">
        <f>IFERROR((X86/SUM(X$58:X$70)),0)</f>
      </c>
      <c r="BH86" s="214">
        <f>BC86/SUM(BC$3:BC283)</f>
      </c>
      <c r="BI86" s="217">
        <f>BC86/'R&amp;H Portfolio'!Q$10</f>
      </c>
      <c r="BJ86" s="215">
        <f>BF86*P86</f>
      </c>
      <c r="BK86" s="3"/>
      <c r="BL86" s="3"/>
      <c r="BM86" s="3"/>
    </row>
    <row x14ac:dyDescent="0.25" r="87" customHeight="1" ht="15">
      <c r="A87" s="17"/>
      <c r="B87" s="14"/>
      <c r="C87" s="3"/>
      <c r="D87" s="3"/>
      <c r="E87" s="3"/>
      <c r="F87" s="3"/>
      <c r="G87" s="16"/>
      <c r="H87" s="18"/>
      <c r="I87" s="18"/>
      <c r="J87" s="208">
        <f>H87+I87</f>
      </c>
      <c r="K87" s="1"/>
      <c r="L87" s="58">
        <f>K87*I87</f>
      </c>
      <c r="M87" s="58">
        <f>K87*J87</f>
      </c>
      <c r="N87" s="16"/>
      <c r="O87" s="16"/>
      <c r="P87" s="211">
        <f>IF(ISBLANK(N87),O87/4.3,N87/20)</f>
      </c>
      <c r="Q87" s="1"/>
      <c r="R87" s="3"/>
      <c r="S87" s="3"/>
      <c r="T87" s="213">
        <f>IF(ISBLANK(R87),0,X87)</f>
      </c>
      <c r="U87" s="213">
        <f>IF(ISBLANK(S87),0,X87)</f>
      </c>
      <c r="V87" s="214">
        <f>IFERROR(Q87/K87,0)</f>
      </c>
      <c r="W87" s="58">
        <f>IFERROR(L87*V87,0)</f>
      </c>
      <c r="X87" s="213">
        <f>IFERROR(Q87+W87,0)</f>
      </c>
      <c r="Y87" s="213">
        <f>IFERROR(M87*V87,0)</f>
      </c>
      <c r="Z87" s="213">
        <f>Y87-(Y87*$B$1)</f>
      </c>
      <c r="AA87" s="67">
        <f>IFERROR(Z87/X87,"")</f>
      </c>
      <c r="AB87" s="215">
        <f>IFERROR(IF(ISBLANK(N87),Y87/O87,Y87/N87),0)</f>
      </c>
      <c r="AC87" s="215">
        <f>IFERROR(-1*(AB87*B$1),0)</f>
      </c>
      <c r="AD87" s="215">
        <f>IFERROR(SUM(AB87:AC87),0)</f>
      </c>
      <c r="AE87" s="215">
        <f>IF(ISBLANK(N87),AD87,AD87*5)</f>
      </c>
      <c r="AF87" s="216">
        <f>SUM(AG87:BC87)</f>
      </c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8"/>
      <c r="BD87" s="215">
        <f>Z87-AF87</f>
      </c>
      <c r="BE87" s="238">
        <f>IFERROR(AF87/Y87,0)</f>
      </c>
      <c r="BF87" s="214">
        <f>IFERROR(AF87/X87,0)</f>
      </c>
      <c r="BG87" s="214">
        <f>IFERROR((X87/SUM(X$58:X$70)),0)</f>
      </c>
      <c r="BH87" s="214">
        <f>BC87/SUM(BC$3:BC284)</f>
      </c>
      <c r="BI87" s="217">
        <f>BC87/'R&amp;H Portfolio'!Q$10</f>
      </c>
      <c r="BJ87" s="215">
        <f>BF87*P87</f>
      </c>
      <c r="BK87" s="3"/>
      <c r="BL87" s="3"/>
      <c r="BM87" s="3"/>
    </row>
    <row x14ac:dyDescent="0.25" r="88" customHeight="1" ht="15">
      <c r="A88" s="17"/>
      <c r="B88" s="14"/>
      <c r="C88" s="3"/>
      <c r="D88" s="3"/>
      <c r="E88" s="3"/>
      <c r="F88" s="3"/>
      <c r="G88" s="16"/>
      <c r="H88" s="18"/>
      <c r="I88" s="18"/>
      <c r="J88" s="208">
        <f>H88+I88</f>
      </c>
      <c r="K88" s="1"/>
      <c r="L88" s="58">
        <f>K88*I88</f>
      </c>
      <c r="M88" s="58">
        <f>K88*J88</f>
      </c>
      <c r="N88" s="16"/>
      <c r="O88" s="16"/>
      <c r="P88" s="211">
        <f>IF(ISBLANK(N88),O88/4.3,N88/20)</f>
      </c>
      <c r="Q88" s="1"/>
      <c r="R88" s="3"/>
      <c r="S88" s="3"/>
      <c r="T88" s="213">
        <f>IF(ISBLANK(R88),0,X88)</f>
      </c>
      <c r="U88" s="213">
        <f>IF(ISBLANK(S88),0,X88)</f>
      </c>
      <c r="V88" s="214">
        <f>IFERROR(Q88/K88,0)</f>
      </c>
      <c r="W88" s="58">
        <f>IFERROR(L88*V88,0)</f>
      </c>
      <c r="X88" s="213">
        <f>IFERROR(Q88+W88,0)</f>
      </c>
      <c r="Y88" s="213">
        <f>IFERROR(M88*V88,0)</f>
      </c>
      <c r="Z88" s="213">
        <f>Y88-(Y88*$B$1)</f>
      </c>
      <c r="AA88" s="67">
        <f>IFERROR(Z88/X88,"")</f>
      </c>
      <c r="AB88" s="215">
        <f>IFERROR(IF(ISBLANK(N88),Y88/O88,Y88/N88),0)</f>
      </c>
      <c r="AC88" s="215">
        <f>IFERROR(-1*(AB88*B$1),0)</f>
      </c>
      <c r="AD88" s="215">
        <f>IFERROR(SUM(AB88:AC88),0)</f>
      </c>
      <c r="AE88" s="215">
        <f>IF(ISBLANK(N88),AD88,AD88*5)</f>
      </c>
      <c r="AF88" s="216">
        <f>SUM(AG88:BC88)</f>
      </c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8"/>
      <c r="BD88" s="215">
        <f>Z88-AF88</f>
      </c>
      <c r="BE88" s="238">
        <f>IFERROR(AF88/Y88,0)</f>
      </c>
      <c r="BF88" s="214">
        <f>IFERROR(AF88/X88,0)</f>
      </c>
      <c r="BG88" s="214">
        <f>IFERROR((X88/SUM(X$58:X$70)),0)</f>
      </c>
      <c r="BH88" s="214">
        <f>BC88/SUM(BC$3:BC285)</f>
      </c>
      <c r="BI88" s="217">
        <f>BC88/'R&amp;H Portfolio'!Q$10</f>
      </c>
      <c r="BJ88" s="215">
        <f>BF88*P88</f>
      </c>
      <c r="BK88" s="3"/>
      <c r="BL88" s="3"/>
      <c r="BM88" s="3"/>
    </row>
    <row x14ac:dyDescent="0.25" r="89" customHeight="1" ht="15">
      <c r="A89" s="17"/>
      <c r="B89" s="14"/>
      <c r="C89" s="3"/>
      <c r="D89" s="3"/>
      <c r="E89" s="3"/>
      <c r="F89" s="3"/>
      <c r="G89" s="16"/>
      <c r="H89" s="18"/>
      <c r="I89" s="18"/>
      <c r="J89" s="208">
        <f>H89+I89</f>
      </c>
      <c r="K89" s="1"/>
      <c r="L89" s="58">
        <f>K89*I89</f>
      </c>
      <c r="M89" s="58">
        <f>K89*J89</f>
      </c>
      <c r="N89" s="16"/>
      <c r="O89" s="16"/>
      <c r="P89" s="211">
        <f>IF(ISBLANK(N89),O89/4.3,N89/20)</f>
      </c>
      <c r="Q89" s="1"/>
      <c r="R89" s="3"/>
      <c r="S89" s="3"/>
      <c r="T89" s="213">
        <f>IF(ISBLANK(R89),0,X89)</f>
      </c>
      <c r="U89" s="213">
        <f>IF(ISBLANK(S89),0,X89)</f>
      </c>
      <c r="V89" s="214">
        <f>IFERROR(Q89/K89,0)</f>
      </c>
      <c r="W89" s="58">
        <f>IFERROR(L89*V89,0)</f>
      </c>
      <c r="X89" s="213">
        <f>IFERROR(Q89+W89,0)</f>
      </c>
      <c r="Y89" s="213">
        <f>IFERROR(M89*V89,0)</f>
      </c>
      <c r="Z89" s="213">
        <f>Y89-(Y89*$B$1)</f>
      </c>
      <c r="AA89" s="67">
        <f>IFERROR(Z89/X89,"")</f>
      </c>
      <c r="AB89" s="215">
        <f>IFERROR(IF(ISBLANK(N89),Y89/O89,Y89/N89),0)</f>
      </c>
      <c r="AC89" s="215">
        <f>IFERROR(-1*(AB89*B$1),0)</f>
      </c>
      <c r="AD89" s="215">
        <f>IFERROR(SUM(AB89:AC89),0)</f>
      </c>
      <c r="AE89" s="215">
        <f>IF(ISBLANK(N89),AD89,AD89*5)</f>
      </c>
      <c r="AF89" s="216">
        <f>SUM(AG89:BC89)</f>
      </c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8"/>
      <c r="BD89" s="215">
        <f>Z89-AF89</f>
      </c>
      <c r="BE89" s="238">
        <f>IFERROR(AF89/Y89,0)</f>
      </c>
      <c r="BF89" s="214">
        <f>IFERROR(AF89/X89,0)</f>
      </c>
      <c r="BG89" s="214">
        <f>IFERROR((X89/SUM(X$58:X$70)),0)</f>
      </c>
      <c r="BH89" s="214">
        <f>BC89/SUM(BC$3:BC286)</f>
      </c>
      <c r="BI89" s="217">
        <f>BC89/'R&amp;H Portfolio'!Q$10</f>
      </c>
      <c r="BJ89" s="215">
        <f>BF89*P89</f>
      </c>
      <c r="BK89" s="3"/>
      <c r="BL89" s="3"/>
      <c r="BM89" s="3"/>
    </row>
    <row x14ac:dyDescent="0.25" r="90" customHeight="1" ht="15">
      <c r="A90" s="17"/>
      <c r="B90" s="14"/>
      <c r="C90" s="3"/>
      <c r="D90" s="3"/>
      <c r="E90" s="3"/>
      <c r="F90" s="3"/>
      <c r="G90" s="16"/>
      <c r="H90" s="18"/>
      <c r="I90" s="18"/>
      <c r="J90" s="208">
        <f>H90+I90</f>
      </c>
      <c r="K90" s="1"/>
      <c r="L90" s="58">
        <f>K90*I90</f>
      </c>
      <c r="M90" s="58">
        <f>K90*J90</f>
      </c>
      <c r="N90" s="16"/>
      <c r="O90" s="16"/>
      <c r="P90" s="211">
        <f>IF(ISBLANK(N90),O90/4.3,N90/20)</f>
      </c>
      <c r="Q90" s="1"/>
      <c r="R90" s="3"/>
      <c r="S90" s="3"/>
      <c r="T90" s="213">
        <f>IF(ISBLANK(R90),0,X90)</f>
      </c>
      <c r="U90" s="213">
        <f>IF(ISBLANK(S90),0,X90)</f>
      </c>
      <c r="V90" s="214">
        <f>IFERROR(Q90/K90,0)</f>
      </c>
      <c r="W90" s="58">
        <f>IFERROR(L90*V90,0)</f>
      </c>
      <c r="X90" s="213">
        <f>IFERROR(Q90+W90,0)</f>
      </c>
      <c r="Y90" s="213">
        <f>IFERROR(M90*V90,0)</f>
      </c>
      <c r="Z90" s="213">
        <f>Y90-(Y90*$B$1)</f>
      </c>
      <c r="AA90" s="67">
        <f>IFERROR(Z90/X90,"")</f>
      </c>
      <c r="AB90" s="215">
        <f>IFERROR(IF(ISBLANK(N90),Y90/O90,Y90/N90),0)</f>
      </c>
      <c r="AC90" s="215">
        <f>IFERROR(-1*(AB90*B$1),0)</f>
      </c>
      <c r="AD90" s="215">
        <f>IFERROR(SUM(AB90:AC90),0)</f>
      </c>
      <c r="AE90" s="215">
        <f>IF(ISBLANK(N90),AD90,AD90*5)</f>
      </c>
      <c r="AF90" s="216">
        <f>SUM(AG90:BC90)</f>
      </c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8"/>
      <c r="BD90" s="215">
        <f>Z90-AF90</f>
      </c>
      <c r="BE90" s="238">
        <f>IFERROR(AF90/Y90,0)</f>
      </c>
      <c r="BF90" s="214">
        <f>IFERROR(AF90/X90,0)</f>
      </c>
      <c r="BG90" s="214">
        <f>IFERROR((X90/SUM(X$58:X$70)),0)</f>
      </c>
      <c r="BH90" s="214">
        <f>BC90/SUM(BC$3:BC287)</f>
      </c>
      <c r="BI90" s="217">
        <f>BC90/'R&amp;H Portfolio'!Q$10</f>
      </c>
      <c r="BJ90" s="215">
        <f>BF90*P90</f>
      </c>
      <c r="BK90" s="3"/>
      <c r="BL90" s="3"/>
      <c r="BM90" s="3"/>
    </row>
    <row x14ac:dyDescent="0.25" r="91" customHeight="1" ht="15">
      <c r="A91" s="17"/>
      <c r="B91" s="14"/>
      <c r="C91" s="3"/>
      <c r="D91" s="3"/>
      <c r="E91" s="3"/>
      <c r="F91" s="3"/>
      <c r="G91" s="16"/>
      <c r="H91" s="18"/>
      <c r="I91" s="18"/>
      <c r="J91" s="208">
        <f>H91+I91</f>
      </c>
      <c r="K91" s="1"/>
      <c r="L91" s="58">
        <f>K91*I91</f>
      </c>
      <c r="M91" s="58">
        <f>K91*J91</f>
      </c>
      <c r="N91" s="16"/>
      <c r="O91" s="16"/>
      <c r="P91" s="211">
        <f>IF(ISBLANK(N91),O91/4.3,N91/20)</f>
      </c>
      <c r="Q91" s="1"/>
      <c r="R91" s="3"/>
      <c r="S91" s="3"/>
      <c r="T91" s="213">
        <f>IF(ISBLANK(R91),0,X91)</f>
      </c>
      <c r="U91" s="213">
        <f>IF(ISBLANK(S91),0,X91)</f>
      </c>
      <c r="V91" s="214">
        <f>IFERROR(Q91/K91,0)</f>
      </c>
      <c r="W91" s="58">
        <f>IFERROR(L91*V91,0)</f>
      </c>
      <c r="X91" s="213">
        <f>IFERROR(Q91+W91,0)</f>
      </c>
      <c r="Y91" s="213">
        <f>IFERROR(M91*V91,0)</f>
      </c>
      <c r="Z91" s="213">
        <f>Y91-(Y91*$B$1)</f>
      </c>
      <c r="AA91" s="67">
        <f>IFERROR(Z91/X91,"")</f>
      </c>
      <c r="AB91" s="215">
        <f>IFERROR(IF(ISBLANK(N91),Y91/O91,Y91/N91),0)</f>
      </c>
      <c r="AC91" s="215">
        <f>IFERROR(-1*(AB91*B$1),0)</f>
      </c>
      <c r="AD91" s="215">
        <f>IFERROR(SUM(AB91:AC91),0)</f>
      </c>
      <c r="AE91" s="215">
        <f>IF(ISBLANK(N91),AD91,AD91*5)</f>
      </c>
      <c r="AF91" s="216">
        <f>SUM(AG91:BC91)</f>
      </c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8"/>
      <c r="BD91" s="215">
        <f>Z91-AF91</f>
      </c>
      <c r="BE91" s="238">
        <f>IFERROR(AF91/Y91,0)</f>
      </c>
      <c r="BF91" s="214">
        <f>IFERROR(AF91/X91,0)</f>
      </c>
      <c r="BG91" s="214">
        <f>IFERROR((X91/SUM(X$58:X$70)),0)</f>
      </c>
      <c r="BH91" s="214">
        <f>BC91/SUM(BC$3:BC288)</f>
      </c>
      <c r="BI91" s="217">
        <f>BC91/'R&amp;H Portfolio'!Q$10</f>
      </c>
      <c r="BJ91" s="215">
        <f>BF91*P91</f>
      </c>
      <c r="BK91" s="3"/>
      <c r="BL91" s="3"/>
      <c r="BM91" s="3"/>
    </row>
    <row x14ac:dyDescent="0.25" r="92" customHeight="1" ht="15">
      <c r="A92" s="17"/>
      <c r="B92" s="14"/>
      <c r="C92" s="3"/>
      <c r="D92" s="3"/>
      <c r="E92" s="3"/>
      <c r="F92" s="3"/>
      <c r="G92" s="16"/>
      <c r="H92" s="18"/>
      <c r="I92" s="18"/>
      <c r="J92" s="208">
        <f>H92+I92</f>
      </c>
      <c r="K92" s="1"/>
      <c r="L92" s="58">
        <f>K92*I92</f>
      </c>
      <c r="M92" s="58">
        <f>K92*J92</f>
      </c>
      <c r="N92" s="16"/>
      <c r="O92" s="16"/>
      <c r="P92" s="211">
        <f>IF(ISBLANK(N92),O92/4.3,N92/20)</f>
      </c>
      <c r="Q92" s="1"/>
      <c r="R92" s="3"/>
      <c r="S92" s="3"/>
      <c r="T92" s="213">
        <f>IF(ISBLANK(R92),0,X92)</f>
      </c>
      <c r="U92" s="213">
        <f>IF(ISBLANK(S92),0,X92)</f>
      </c>
      <c r="V92" s="214">
        <f>IFERROR(Q92/K92,0)</f>
      </c>
      <c r="W92" s="58">
        <f>IFERROR(L92*V92,0)</f>
      </c>
      <c r="X92" s="213">
        <f>IFERROR(Q92+W92,0)</f>
      </c>
      <c r="Y92" s="213">
        <f>IFERROR(M92*V92,0)</f>
      </c>
      <c r="Z92" s="213">
        <f>Y92-(Y92*$B$1)</f>
      </c>
      <c r="AA92" s="67">
        <f>IFERROR(Z92/X92,"")</f>
      </c>
      <c r="AB92" s="215">
        <f>IFERROR(IF(ISBLANK(N92),Y92/O92,Y92/N92),0)</f>
      </c>
      <c r="AC92" s="215">
        <f>IFERROR(-1*(AB92*B$1),0)</f>
      </c>
      <c r="AD92" s="215">
        <f>IFERROR(SUM(AB92:AC92),0)</f>
      </c>
      <c r="AE92" s="215">
        <f>IF(ISBLANK(N92),AD92,AD92*5)</f>
      </c>
      <c r="AF92" s="216">
        <f>SUM(AG92:BC92)</f>
      </c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8"/>
      <c r="BD92" s="215">
        <f>Z92-AF92</f>
      </c>
      <c r="BE92" s="238">
        <f>IFERROR(AF92/Y92,0)</f>
      </c>
      <c r="BF92" s="214">
        <f>IFERROR(AF92/X92,0)</f>
      </c>
      <c r="BG92" s="214">
        <f>IFERROR((X92/SUM(X$58:X$70)),0)</f>
      </c>
      <c r="BH92" s="214">
        <f>BC92/SUM(BC$3:BC289)</f>
      </c>
      <c r="BI92" s="217">
        <f>BC92/'R&amp;H Portfolio'!Q$10</f>
      </c>
      <c r="BJ92" s="215">
        <f>BF92*P92</f>
      </c>
      <c r="BK92" s="3"/>
      <c r="BL92" s="3"/>
      <c r="BM92" s="3"/>
    </row>
    <row x14ac:dyDescent="0.25" r="93" customHeight="1" ht="15">
      <c r="A93" s="17"/>
      <c r="B93" s="14"/>
      <c r="C93" s="3"/>
      <c r="D93" s="3"/>
      <c r="E93" s="3"/>
      <c r="F93" s="3"/>
      <c r="G93" s="16"/>
      <c r="H93" s="18"/>
      <c r="I93" s="18"/>
      <c r="J93" s="208">
        <f>H93+I93</f>
      </c>
      <c r="K93" s="1"/>
      <c r="L93" s="58">
        <f>K93*I93</f>
      </c>
      <c r="M93" s="58">
        <f>K93*J93</f>
      </c>
      <c r="N93" s="16"/>
      <c r="O93" s="16"/>
      <c r="P93" s="211">
        <f>IF(ISBLANK(N93),O93/4.3,N93/20)</f>
      </c>
      <c r="Q93" s="1"/>
      <c r="R93" s="3"/>
      <c r="S93" s="3"/>
      <c r="T93" s="213">
        <f>IF(ISBLANK(R93),0,X93)</f>
      </c>
      <c r="U93" s="213">
        <f>IF(ISBLANK(S93),0,X93)</f>
      </c>
      <c r="V93" s="214">
        <f>IFERROR(Q93/K93,0)</f>
      </c>
      <c r="W93" s="58">
        <f>IFERROR(L93*V93,0)</f>
      </c>
      <c r="X93" s="213">
        <f>IFERROR(Q93+W93,0)</f>
      </c>
      <c r="Y93" s="213">
        <f>IFERROR(M93*V93,0)</f>
      </c>
      <c r="Z93" s="213">
        <f>Y93-(Y93*$B$1)</f>
      </c>
      <c r="AA93" s="67">
        <f>IFERROR(Z93/X93,"")</f>
      </c>
      <c r="AB93" s="215">
        <f>IFERROR(IF(ISBLANK(N93),Y93/O93,Y93/N93),0)</f>
      </c>
      <c r="AC93" s="215">
        <f>IFERROR(-1*(AB93*B$1),0)</f>
      </c>
      <c r="AD93" s="215">
        <f>IFERROR(SUM(AB93:AC93),0)</f>
      </c>
      <c r="AE93" s="215">
        <f>IF(ISBLANK(N93),AD93,AD93*5)</f>
      </c>
      <c r="AF93" s="216">
        <f>SUM(AG93:BC93)</f>
      </c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8"/>
      <c r="BD93" s="215">
        <f>Z93-AF93</f>
      </c>
      <c r="BE93" s="238">
        <f>IFERROR(AF93/Y93,0)</f>
      </c>
      <c r="BF93" s="214">
        <f>IFERROR(AF93/X93,0)</f>
      </c>
      <c r="BG93" s="214">
        <f>IFERROR((X93/SUM(X$58:X$70)),0)</f>
      </c>
      <c r="BH93" s="214">
        <f>BC93/SUM(BC$3:BC290)</f>
      </c>
      <c r="BI93" s="217">
        <f>BC93/'R&amp;H Portfolio'!Q$10</f>
      </c>
      <c r="BJ93" s="215">
        <f>BF93*P93</f>
      </c>
      <c r="BK93" s="3"/>
      <c r="BL93" s="3"/>
      <c r="BM93" s="3"/>
    </row>
    <row x14ac:dyDescent="0.25" r="94" customHeight="1" ht="15">
      <c r="A94" s="17"/>
      <c r="B94" s="14"/>
      <c r="C94" s="3"/>
      <c r="D94" s="3"/>
      <c r="E94" s="3"/>
      <c r="F94" s="3"/>
      <c r="G94" s="16"/>
      <c r="H94" s="18"/>
      <c r="I94" s="18"/>
      <c r="J94" s="208">
        <f>H94+I94</f>
      </c>
      <c r="K94" s="1"/>
      <c r="L94" s="58">
        <f>K94*I94</f>
      </c>
      <c r="M94" s="58">
        <f>K94*J94</f>
      </c>
      <c r="N94" s="16"/>
      <c r="O94" s="16"/>
      <c r="P94" s="211">
        <f>IF(ISBLANK(N94),O94/4.3,N94/20)</f>
      </c>
      <c r="Q94" s="1"/>
      <c r="R94" s="3"/>
      <c r="S94" s="3"/>
      <c r="T94" s="213">
        <f>IF(ISBLANK(R94),0,X94)</f>
      </c>
      <c r="U94" s="213">
        <f>IF(ISBLANK(S94),0,X94)</f>
      </c>
      <c r="V94" s="214">
        <f>IFERROR(Q94/K94,0)</f>
      </c>
      <c r="W94" s="58">
        <f>IFERROR(L94*V94,0)</f>
      </c>
      <c r="X94" s="213">
        <f>IFERROR(Q94+W94,0)</f>
      </c>
      <c r="Y94" s="213">
        <f>IFERROR(M94*V94,0)</f>
      </c>
      <c r="Z94" s="213">
        <f>Y94-(Y94*$B$1)</f>
      </c>
      <c r="AA94" s="67">
        <f>IFERROR(Z94/X94,"")</f>
      </c>
      <c r="AB94" s="215">
        <f>IFERROR(IF(ISBLANK(N94),Y94/O94,Y94/N94),0)</f>
      </c>
      <c r="AC94" s="215">
        <f>IFERROR(-1*(AB94*B$1),0)</f>
      </c>
      <c r="AD94" s="215">
        <f>IFERROR(SUM(AB94:AC94),0)</f>
      </c>
      <c r="AE94" s="215">
        <f>IF(ISBLANK(N94),AD94,AD94*5)</f>
      </c>
      <c r="AF94" s="216">
        <f>SUM(AG94:BC94)</f>
      </c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8"/>
      <c r="BD94" s="215">
        <f>Z94-AF94</f>
      </c>
      <c r="BE94" s="238">
        <f>IFERROR(AF94/Y94,0)</f>
      </c>
      <c r="BF94" s="214">
        <f>IFERROR(AF94/X94,0)</f>
      </c>
      <c r="BG94" s="214">
        <f>IFERROR((X94/SUM(X$58:X$70)),0)</f>
      </c>
      <c r="BH94" s="214">
        <f>BC94/SUM(BC$3:BC291)</f>
      </c>
      <c r="BI94" s="217">
        <f>BC94/'R&amp;H Portfolio'!Q$10</f>
      </c>
      <c r="BJ94" s="215">
        <f>BF94*P94</f>
      </c>
      <c r="BK94" s="3"/>
      <c r="BL94" s="3"/>
      <c r="BM94" s="3"/>
    </row>
    <row x14ac:dyDescent="0.25" r="95" customHeight="1" ht="15">
      <c r="A95" s="17"/>
      <c r="B95" s="14"/>
      <c r="C95" s="3"/>
      <c r="D95" s="3"/>
      <c r="E95" s="3"/>
      <c r="F95" s="3"/>
      <c r="G95" s="16"/>
      <c r="H95" s="18"/>
      <c r="I95" s="18"/>
      <c r="J95" s="208">
        <f>H95+I95</f>
      </c>
      <c r="K95" s="1"/>
      <c r="L95" s="58">
        <f>K95*I95</f>
      </c>
      <c r="M95" s="58">
        <f>K95*J95</f>
      </c>
      <c r="N95" s="16"/>
      <c r="O95" s="16"/>
      <c r="P95" s="211">
        <f>IF(ISBLANK(N95),O95/4.3,N95/20)</f>
      </c>
      <c r="Q95" s="1"/>
      <c r="R95" s="3"/>
      <c r="S95" s="3"/>
      <c r="T95" s="213">
        <f>IF(ISBLANK(R95),0,X95)</f>
      </c>
      <c r="U95" s="213">
        <f>IF(ISBLANK(S95),0,X95)</f>
      </c>
      <c r="V95" s="214">
        <f>IFERROR(Q95/K95,0)</f>
      </c>
      <c r="W95" s="58">
        <f>IFERROR(L95*V95,0)</f>
      </c>
      <c r="X95" s="213">
        <f>IFERROR(Q95+W95,0)</f>
      </c>
      <c r="Y95" s="213">
        <f>IFERROR(M95*V95,0)</f>
      </c>
      <c r="Z95" s="213">
        <f>Y95-(Y95*$B$1)</f>
      </c>
      <c r="AA95" s="67">
        <f>IFERROR(Z95/X95,"")</f>
      </c>
      <c r="AB95" s="215">
        <f>IFERROR(IF(ISBLANK(N95),Y95/O95,Y95/N95),0)</f>
      </c>
      <c r="AC95" s="215">
        <f>IFERROR(-1*(AB95*B$1),0)</f>
      </c>
      <c r="AD95" s="215">
        <f>IFERROR(SUM(AB95:AC95),0)</f>
      </c>
      <c r="AE95" s="215">
        <f>IF(ISBLANK(N95),AD95,AD95*5)</f>
      </c>
      <c r="AF95" s="216">
        <f>SUM(AG95:BC95)</f>
      </c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8"/>
      <c r="BD95" s="215">
        <f>Z95-AF95</f>
      </c>
      <c r="BE95" s="238">
        <f>IFERROR(AF95/Y95,0)</f>
      </c>
      <c r="BF95" s="214">
        <f>IFERROR(AF95/X95,0)</f>
      </c>
      <c r="BG95" s="214">
        <f>IFERROR((X95/SUM(X$58:X$70)),0)</f>
      </c>
      <c r="BH95" s="214">
        <f>BC95/SUM(BC$3:BC292)</f>
      </c>
      <c r="BI95" s="217">
        <f>BC95/'R&amp;H Portfolio'!Q$10</f>
      </c>
      <c r="BJ95" s="215">
        <f>BF95*P95</f>
      </c>
      <c r="BK95" s="3"/>
      <c r="BL95" s="3"/>
      <c r="BM95" s="3"/>
    </row>
    <row x14ac:dyDescent="0.25" r="96" customHeight="1" ht="15">
      <c r="A96" s="17"/>
      <c r="B96" s="14"/>
      <c r="C96" s="3"/>
      <c r="D96" s="3"/>
      <c r="E96" s="3"/>
      <c r="F96" s="3"/>
      <c r="G96" s="16"/>
      <c r="H96" s="18"/>
      <c r="I96" s="18"/>
      <c r="J96" s="208">
        <f>H96+I96</f>
      </c>
      <c r="K96" s="1"/>
      <c r="L96" s="58">
        <f>K96*I96</f>
      </c>
      <c r="M96" s="58">
        <f>K96*J96</f>
      </c>
      <c r="N96" s="16"/>
      <c r="O96" s="16"/>
      <c r="P96" s="211">
        <f>IF(ISBLANK(N96),O96/4.3,N96/20)</f>
      </c>
      <c r="Q96" s="1"/>
      <c r="R96" s="3"/>
      <c r="S96" s="3"/>
      <c r="T96" s="213">
        <f>IF(ISBLANK(R96),0,X96)</f>
      </c>
      <c r="U96" s="213">
        <f>IF(ISBLANK(S96),0,X96)</f>
      </c>
      <c r="V96" s="214">
        <f>IFERROR(Q96/K96,0)</f>
      </c>
      <c r="W96" s="58">
        <f>IFERROR(L96*V96,0)</f>
      </c>
      <c r="X96" s="213">
        <f>IFERROR(Q96+W96,0)</f>
      </c>
      <c r="Y96" s="213">
        <f>IFERROR(M96*V96,0)</f>
      </c>
      <c r="Z96" s="213">
        <f>Y96-(Y96*$B$1)</f>
      </c>
      <c r="AA96" s="67">
        <f>IFERROR(Z96/X96,"")</f>
      </c>
      <c r="AB96" s="215">
        <f>IFERROR(IF(ISBLANK(N96),Y96/O96,Y96/N96),0)</f>
      </c>
      <c r="AC96" s="215">
        <f>IFERROR(-1*(AB96*B$1),0)</f>
      </c>
      <c r="AD96" s="215">
        <f>IFERROR(SUM(AB96:AC96),0)</f>
      </c>
      <c r="AE96" s="215">
        <f>IF(ISBLANK(N96),AD96,AD96*5)</f>
      </c>
      <c r="AF96" s="216">
        <f>SUM(AG96:BC96)</f>
      </c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8"/>
      <c r="BD96" s="215">
        <f>Z96-AF96</f>
      </c>
      <c r="BE96" s="238">
        <f>IFERROR(AF96/Y96,0)</f>
      </c>
      <c r="BF96" s="214">
        <f>IFERROR(AF96/X96,0)</f>
      </c>
      <c r="BG96" s="214">
        <f>IFERROR((X96/SUM(X$58:X$70)),0)</f>
      </c>
      <c r="BH96" s="214">
        <f>BC96/SUM(BC$3:BC293)</f>
      </c>
      <c r="BI96" s="217">
        <f>BC96/'R&amp;H Portfolio'!Q$10</f>
      </c>
      <c r="BJ96" s="215">
        <f>BF96*P96</f>
      </c>
      <c r="BK96" s="3"/>
      <c r="BL96" s="3"/>
      <c r="BM96" s="3"/>
    </row>
    <row x14ac:dyDescent="0.25" r="97" customHeight="1" ht="15">
      <c r="A97" s="17"/>
      <c r="B97" s="14"/>
      <c r="C97" s="3"/>
      <c r="D97" s="3"/>
      <c r="E97" s="3"/>
      <c r="F97" s="3"/>
      <c r="G97" s="16"/>
      <c r="H97" s="18"/>
      <c r="I97" s="18"/>
      <c r="J97" s="208">
        <f>H97+I97</f>
      </c>
      <c r="K97" s="1"/>
      <c r="L97" s="58">
        <f>K97*I97</f>
      </c>
      <c r="M97" s="58">
        <f>K97*J97</f>
      </c>
      <c r="N97" s="16"/>
      <c r="O97" s="16"/>
      <c r="P97" s="211">
        <f>IF(ISBLANK(N97),O97/4.3,N97/20)</f>
      </c>
      <c r="Q97" s="1"/>
      <c r="R97" s="3"/>
      <c r="S97" s="3"/>
      <c r="T97" s="213">
        <f>IF(ISBLANK(R97),0,X97)</f>
      </c>
      <c r="U97" s="213">
        <f>IF(ISBLANK(S97),0,X97)</f>
      </c>
      <c r="V97" s="214">
        <f>IFERROR(Q97/K97,0)</f>
      </c>
      <c r="W97" s="58">
        <f>IFERROR(L97*V97,0)</f>
      </c>
      <c r="X97" s="213">
        <f>IFERROR(Q97+W97,0)</f>
      </c>
      <c r="Y97" s="213">
        <f>IFERROR(M97*V97,0)</f>
      </c>
      <c r="Z97" s="213">
        <f>Y97-(Y97*$B$1)</f>
      </c>
      <c r="AA97" s="67">
        <f>IFERROR(Z97/X97,"")</f>
      </c>
      <c r="AB97" s="215">
        <f>IFERROR(IF(ISBLANK(N97),Y97/O97,Y97/N97),0)</f>
      </c>
      <c r="AC97" s="215">
        <f>IFERROR(-1*(AB97*B$1),0)</f>
      </c>
      <c r="AD97" s="215">
        <f>IFERROR(SUM(AB97:AC97),0)</f>
      </c>
      <c r="AE97" s="215">
        <f>IF(ISBLANK(N97),AD97,AD97*5)</f>
      </c>
      <c r="AF97" s="216">
        <f>SUM(AG97:BC97)</f>
      </c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8"/>
      <c r="BD97" s="215">
        <f>Z97-AF97</f>
      </c>
      <c r="BE97" s="238">
        <f>IFERROR(AF97/Y97,0)</f>
      </c>
      <c r="BF97" s="214">
        <f>IFERROR(AF97/X97,0)</f>
      </c>
      <c r="BG97" s="214">
        <f>IFERROR((X97/SUM(X$58:X$70)),0)</f>
      </c>
      <c r="BH97" s="214">
        <f>BC97/SUM(BC$3:BC294)</f>
      </c>
      <c r="BI97" s="217">
        <f>BC97/'R&amp;H Portfolio'!Q$10</f>
      </c>
      <c r="BJ97" s="215">
        <f>BF97*P97</f>
      </c>
      <c r="BK97" s="3"/>
      <c r="BL97" s="3"/>
      <c r="BM97" s="3"/>
    </row>
    <row x14ac:dyDescent="0.25" r="98" customHeight="1" ht="15">
      <c r="A98" s="17"/>
      <c r="B98" s="14"/>
      <c r="C98" s="3"/>
      <c r="D98" s="3"/>
      <c r="E98" s="3"/>
      <c r="F98" s="3"/>
      <c r="G98" s="16"/>
      <c r="H98" s="18"/>
      <c r="I98" s="18"/>
      <c r="J98" s="208">
        <f>H98+I98</f>
      </c>
      <c r="K98" s="1"/>
      <c r="L98" s="58">
        <f>K98*I98</f>
      </c>
      <c r="M98" s="58">
        <f>K98*J98</f>
      </c>
      <c r="N98" s="16"/>
      <c r="O98" s="16"/>
      <c r="P98" s="211">
        <f>IF(ISBLANK(N98),O98/4.3,N98/20)</f>
      </c>
      <c r="Q98" s="1"/>
      <c r="R98" s="3"/>
      <c r="S98" s="3"/>
      <c r="T98" s="213">
        <f>IF(ISBLANK(R98),0,X98)</f>
      </c>
      <c r="U98" s="213">
        <f>IF(ISBLANK(S98),0,X98)</f>
      </c>
      <c r="V98" s="214">
        <f>IFERROR(Q98/K98,0)</f>
      </c>
      <c r="W98" s="58">
        <f>IFERROR(L98*V98,0)</f>
      </c>
      <c r="X98" s="213">
        <f>IFERROR(Q98+W98,0)</f>
      </c>
      <c r="Y98" s="213">
        <f>IFERROR(M98*V98,0)</f>
      </c>
      <c r="Z98" s="213">
        <f>Y98-(Y98*$B$1)</f>
      </c>
      <c r="AA98" s="67">
        <f>IFERROR(Z98/X98,"")</f>
      </c>
      <c r="AB98" s="215">
        <f>IFERROR(IF(ISBLANK(N98),Y98/O98,Y98/N98),0)</f>
      </c>
      <c r="AC98" s="215">
        <f>IFERROR(-1*(AB98*B$1),0)</f>
      </c>
      <c r="AD98" s="215">
        <f>IFERROR(SUM(AB98:AC98),0)</f>
      </c>
      <c r="AE98" s="215">
        <f>IF(ISBLANK(N98),AD98,AD98*5)</f>
      </c>
      <c r="AF98" s="216">
        <f>SUM(AG98:BC98)</f>
      </c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8"/>
      <c r="BD98" s="215">
        <f>Z98-AF98</f>
      </c>
      <c r="BE98" s="238">
        <f>IFERROR(AF98/Y98,0)</f>
      </c>
      <c r="BF98" s="214">
        <f>IFERROR(AF98/X98,0)</f>
      </c>
      <c r="BG98" s="214">
        <f>IFERROR((X98/SUM(X$58:X$70)),0)</f>
      </c>
      <c r="BH98" s="214">
        <f>BC98/SUM(BC$3:BC295)</f>
      </c>
      <c r="BI98" s="217">
        <f>BC98/'R&amp;H Portfolio'!Q$10</f>
      </c>
      <c r="BJ98" s="215">
        <f>BF98*P98</f>
      </c>
      <c r="BK98" s="3"/>
      <c r="BL98" s="3"/>
      <c r="BM98" s="3"/>
    </row>
    <row x14ac:dyDescent="0.25" r="99" customHeight="1" ht="15">
      <c r="A99" s="17"/>
      <c r="B99" s="14"/>
      <c r="C99" s="3"/>
      <c r="D99" s="3"/>
      <c r="E99" s="3"/>
      <c r="F99" s="3"/>
      <c r="G99" s="16"/>
      <c r="H99" s="18"/>
      <c r="I99" s="18"/>
      <c r="J99" s="208">
        <f>H99+I99</f>
      </c>
      <c r="K99" s="1"/>
      <c r="L99" s="58">
        <f>K99*I99</f>
      </c>
      <c r="M99" s="58">
        <f>K99*J99</f>
      </c>
      <c r="N99" s="16"/>
      <c r="O99" s="16"/>
      <c r="P99" s="211">
        <f>IF(ISBLANK(N99),O99/4.3,N99/20)</f>
      </c>
      <c r="Q99" s="1"/>
      <c r="R99" s="3"/>
      <c r="S99" s="3"/>
      <c r="T99" s="213">
        <f>IF(ISBLANK(R99),0,X99)</f>
      </c>
      <c r="U99" s="213">
        <f>IF(ISBLANK(S99),0,X99)</f>
      </c>
      <c r="V99" s="214">
        <f>IFERROR(Q99/K99,0)</f>
      </c>
      <c r="W99" s="58">
        <f>IFERROR(L99*V99,0)</f>
      </c>
      <c r="X99" s="213">
        <f>IFERROR(Q99+W99,0)</f>
      </c>
      <c r="Y99" s="213">
        <f>IFERROR(M99*V99,0)</f>
      </c>
      <c r="Z99" s="213">
        <f>Y99-(Y99*$B$1)</f>
      </c>
      <c r="AA99" s="67">
        <f>IFERROR(Z99/X99,"")</f>
      </c>
      <c r="AB99" s="215">
        <f>IFERROR(IF(ISBLANK(N99),Y99/O99,Y99/N99),0)</f>
      </c>
      <c r="AC99" s="215">
        <f>IFERROR(-1*(AB99*B$1),0)</f>
      </c>
      <c r="AD99" s="215">
        <f>IFERROR(SUM(AB99:AC99),0)</f>
      </c>
      <c r="AE99" s="215">
        <f>IF(ISBLANK(N99),AD99,AD99*5)</f>
      </c>
      <c r="AF99" s="216">
        <f>SUM(AG99:BC99)</f>
      </c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8"/>
      <c r="BD99" s="215">
        <f>Z99-AF99</f>
      </c>
      <c r="BE99" s="238">
        <f>IFERROR(AF99/Y99,0)</f>
      </c>
      <c r="BF99" s="214">
        <f>IFERROR(AF99/X99,0)</f>
      </c>
      <c r="BG99" s="214">
        <f>IFERROR((X99/SUM(X$58:X$70)),0)</f>
      </c>
      <c r="BH99" s="214">
        <f>BC99/SUM(BC$3:BC296)</f>
      </c>
      <c r="BI99" s="217">
        <f>BC99/'R&amp;H Portfolio'!Q$10</f>
      </c>
      <c r="BJ99" s="215">
        <f>BF99*P99</f>
      </c>
      <c r="BK99" s="3"/>
      <c r="BL99" s="3"/>
      <c r="BM99" s="3"/>
    </row>
    <row x14ac:dyDescent="0.25" r="100" customHeight="1" ht="15">
      <c r="A100" s="17"/>
      <c r="B100" s="14"/>
      <c r="C100" s="3"/>
      <c r="D100" s="3"/>
      <c r="E100" s="3"/>
      <c r="F100" s="3"/>
      <c r="G100" s="16"/>
      <c r="H100" s="18"/>
      <c r="I100" s="18"/>
      <c r="J100" s="208">
        <f>H100+I100</f>
      </c>
      <c r="K100" s="1"/>
      <c r="L100" s="58">
        <f>K100*I100</f>
      </c>
      <c r="M100" s="58">
        <f>K100*J100</f>
      </c>
      <c r="N100" s="16"/>
      <c r="O100" s="16"/>
      <c r="P100" s="211">
        <f>IF(ISBLANK(N100),O100/4.3,N100/20)</f>
      </c>
      <c r="Q100" s="1"/>
      <c r="R100" s="3"/>
      <c r="S100" s="3"/>
      <c r="T100" s="213">
        <f>IF(ISBLANK(R100),0,X100)</f>
      </c>
      <c r="U100" s="213">
        <f>IF(ISBLANK(S100),0,X100)</f>
      </c>
      <c r="V100" s="214">
        <f>IFERROR(Q100/K100,0)</f>
      </c>
      <c r="W100" s="58">
        <f>IFERROR(L100*V100,0)</f>
      </c>
      <c r="X100" s="213">
        <f>IFERROR(Q100+W100,0)</f>
      </c>
      <c r="Y100" s="213">
        <f>IFERROR(M100*V100,0)</f>
      </c>
      <c r="Z100" s="213">
        <f>Y100-(Y100*$B$1)</f>
      </c>
      <c r="AA100" s="67">
        <f>IFERROR(Z100/X100,"")</f>
      </c>
      <c r="AB100" s="215">
        <f>IFERROR(IF(ISBLANK(N100),Y100/O100,Y100/N100),0)</f>
      </c>
      <c r="AC100" s="215">
        <f>IFERROR(-1*(AB100*B$1),0)</f>
      </c>
      <c r="AD100" s="215">
        <f>IFERROR(SUM(AB100:AC100),0)</f>
      </c>
      <c r="AE100" s="215">
        <f>IF(ISBLANK(N100),AD100,AD100*5)</f>
      </c>
      <c r="AF100" s="216">
        <f>SUM(AG100:BC100)</f>
      </c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8"/>
      <c r="BD100" s="215">
        <f>Z100-AF100</f>
      </c>
      <c r="BE100" s="238">
        <f>IFERROR(AF100/Y100,0)</f>
      </c>
      <c r="BF100" s="214">
        <f>IFERROR(AF100/X100,0)</f>
      </c>
      <c r="BG100" s="214">
        <f>IFERROR((X100/SUM(X$58:X$70)),0)</f>
      </c>
      <c r="BH100" s="214">
        <f>BC100/SUM(BC$3:BC297)</f>
      </c>
      <c r="BI100" s="217">
        <f>BC100/'R&amp;H Portfolio'!Q$10</f>
      </c>
      <c r="BJ100" s="215">
        <f>BF100*P100</f>
      </c>
      <c r="BK100" s="3"/>
      <c r="BL100" s="3"/>
      <c r="BM100" s="3"/>
    </row>
    <row x14ac:dyDescent="0.25" r="101" customHeight="1" ht="15">
      <c r="A101" s="17"/>
      <c r="B101" s="14"/>
      <c r="C101" s="3"/>
      <c r="D101" s="3"/>
      <c r="E101" s="3"/>
      <c r="F101" s="3"/>
      <c r="G101" s="16"/>
      <c r="H101" s="18"/>
      <c r="I101" s="18"/>
      <c r="J101" s="208">
        <f>H101+I101</f>
      </c>
      <c r="K101" s="1"/>
      <c r="L101" s="58">
        <f>K101*I101</f>
      </c>
      <c r="M101" s="58">
        <f>K101*J101</f>
      </c>
      <c r="N101" s="16"/>
      <c r="O101" s="16"/>
      <c r="P101" s="211">
        <f>IF(ISBLANK(N101),O101/4.3,N101/20)</f>
      </c>
      <c r="Q101" s="1"/>
      <c r="R101" s="3"/>
      <c r="S101" s="3"/>
      <c r="T101" s="213">
        <f>IF(ISBLANK(R101),0,X101)</f>
      </c>
      <c r="U101" s="213">
        <f>IF(ISBLANK(S101),0,X101)</f>
      </c>
      <c r="V101" s="214">
        <f>IFERROR(Q101/K101,0)</f>
      </c>
      <c r="W101" s="58">
        <f>IFERROR(L101*V101,0)</f>
      </c>
      <c r="X101" s="213">
        <f>IFERROR(Q101+W101,0)</f>
      </c>
      <c r="Y101" s="213">
        <f>IFERROR(M101*V101,0)</f>
      </c>
      <c r="Z101" s="213">
        <f>Y101-(Y101*$B$1)</f>
      </c>
      <c r="AA101" s="67">
        <f>IFERROR(Z101/X101,"")</f>
      </c>
      <c r="AB101" s="215">
        <f>IFERROR(IF(ISBLANK(N101),Y101/O101,Y101/N101),0)</f>
      </c>
      <c r="AC101" s="215">
        <f>IFERROR(-1*(AB101*B$1),0)</f>
      </c>
      <c r="AD101" s="215">
        <f>IFERROR(SUM(AB101:AC101),0)</f>
      </c>
      <c r="AE101" s="215">
        <f>IF(ISBLANK(N101),AD101,AD101*5)</f>
      </c>
      <c r="AF101" s="216">
        <f>SUM(AG101:BC101)</f>
      </c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8"/>
      <c r="BD101" s="215">
        <f>Z101-AF101</f>
      </c>
      <c r="BE101" s="238">
        <f>IFERROR(AF101/Y101,0)</f>
      </c>
      <c r="BF101" s="214">
        <f>IFERROR(AF101/X101,0)</f>
      </c>
      <c r="BG101" s="214">
        <f>IFERROR((X101/SUM(X$58:X$70)),0)</f>
      </c>
      <c r="BH101" s="214">
        <f>BC101/SUM(BC$3:BC298)</f>
      </c>
      <c r="BI101" s="217">
        <f>BC101/'R&amp;H Portfolio'!Q$10</f>
      </c>
      <c r="BJ101" s="215">
        <f>BF101*P101</f>
      </c>
      <c r="BK101" s="3"/>
      <c r="BL101" s="3"/>
      <c r="BM101" s="3"/>
    </row>
    <row x14ac:dyDescent="0.25" r="102" customHeight="1" ht="15">
      <c r="A102" s="17"/>
      <c r="B102" s="14"/>
      <c r="C102" s="3"/>
      <c r="D102" s="3"/>
      <c r="E102" s="3"/>
      <c r="F102" s="3"/>
      <c r="G102" s="16"/>
      <c r="H102" s="18"/>
      <c r="I102" s="18"/>
      <c r="J102" s="208">
        <f>H102+I102</f>
      </c>
      <c r="K102" s="1"/>
      <c r="L102" s="58">
        <f>K102*I102</f>
      </c>
      <c r="M102" s="58">
        <f>K102*J102</f>
      </c>
      <c r="N102" s="16"/>
      <c r="O102" s="16"/>
      <c r="P102" s="211">
        <f>IF(ISBLANK(N102),O102/4.3,N102/20)</f>
      </c>
      <c r="Q102" s="1"/>
      <c r="R102" s="3"/>
      <c r="S102" s="3"/>
      <c r="T102" s="213">
        <f>IF(ISBLANK(R102),0,X102)</f>
      </c>
      <c r="U102" s="213">
        <f>IF(ISBLANK(S102),0,X102)</f>
      </c>
      <c r="V102" s="214">
        <f>IFERROR(Q102/K102,0)</f>
      </c>
      <c r="W102" s="58">
        <f>IFERROR(L102*V102,0)</f>
      </c>
      <c r="X102" s="213">
        <f>IFERROR(Q102+W102,0)</f>
      </c>
      <c r="Y102" s="213">
        <f>IFERROR(M102*V102,0)</f>
      </c>
      <c r="Z102" s="213">
        <f>Y102-(Y102*$B$1)</f>
      </c>
      <c r="AA102" s="67">
        <f>IFERROR(Z102/X102,"")</f>
      </c>
      <c r="AB102" s="215">
        <f>IFERROR(IF(ISBLANK(N102),Y102/O102,Y102/N102),0)</f>
      </c>
      <c r="AC102" s="215">
        <f>IFERROR(-1*(AB102*B$1),0)</f>
      </c>
      <c r="AD102" s="215">
        <f>IFERROR(SUM(AB102:AC102),0)</f>
      </c>
      <c r="AE102" s="215">
        <f>IF(ISBLANK(N102),AD102,AD102*5)</f>
      </c>
      <c r="AF102" s="216">
        <f>SUM(AG102:BC102)</f>
      </c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8"/>
      <c r="BD102" s="215">
        <f>Z102-AF102</f>
      </c>
      <c r="BE102" s="238">
        <f>IFERROR(AF102/Y102,0)</f>
      </c>
      <c r="BF102" s="214">
        <f>IFERROR(AF102/X102,0)</f>
      </c>
      <c r="BG102" s="214">
        <f>IFERROR((X102/SUM(X$58:X$70)),0)</f>
      </c>
      <c r="BH102" s="214">
        <f>BC102/SUM(BC$3:BC299)</f>
      </c>
      <c r="BI102" s="217">
        <f>BC102/'R&amp;H Portfolio'!Q$10</f>
      </c>
      <c r="BJ102" s="215">
        <f>BF102*P102</f>
      </c>
      <c r="BK102" s="3"/>
      <c r="BL102" s="3"/>
      <c r="BM102" s="3"/>
    </row>
    <row x14ac:dyDescent="0.25" r="103" customHeight="1" ht="15">
      <c r="A103" s="17"/>
      <c r="B103" s="14"/>
      <c r="C103" s="3"/>
      <c r="D103" s="3"/>
      <c r="E103" s="3"/>
      <c r="F103" s="3"/>
      <c r="G103" s="16"/>
      <c r="H103" s="18"/>
      <c r="I103" s="18"/>
      <c r="J103" s="208">
        <f>H103+I103</f>
      </c>
      <c r="K103" s="1"/>
      <c r="L103" s="58">
        <f>K103*I103</f>
      </c>
      <c r="M103" s="58">
        <f>K103*J103</f>
      </c>
      <c r="N103" s="16"/>
      <c r="O103" s="16"/>
      <c r="P103" s="211">
        <f>IF(ISBLANK(N103),O103/4.3,N103/20)</f>
      </c>
      <c r="Q103" s="1"/>
      <c r="R103" s="3"/>
      <c r="S103" s="3"/>
      <c r="T103" s="213">
        <f>IF(ISBLANK(R103),0,X103)</f>
      </c>
      <c r="U103" s="213">
        <f>IF(ISBLANK(S103),0,X103)</f>
      </c>
      <c r="V103" s="214">
        <f>IFERROR(Q103/K103,0)</f>
      </c>
      <c r="W103" s="58">
        <f>IFERROR(L103*V103,0)</f>
      </c>
      <c r="X103" s="213">
        <f>IFERROR(Q103+W103,0)</f>
      </c>
      <c r="Y103" s="213">
        <f>IFERROR(M103*V103,0)</f>
      </c>
      <c r="Z103" s="213">
        <f>Y103-(Y103*$B$1)</f>
      </c>
      <c r="AA103" s="67">
        <f>IFERROR(Z103/X103,"")</f>
      </c>
      <c r="AB103" s="215">
        <f>IFERROR(IF(ISBLANK(N103),Y103/O103,Y103/N103),0)</f>
      </c>
      <c r="AC103" s="215">
        <f>IFERROR(-1*(AB103*B$1),0)</f>
      </c>
      <c r="AD103" s="215">
        <f>IFERROR(SUM(AB103:AC103),0)</f>
      </c>
      <c r="AE103" s="215">
        <f>IF(ISBLANK(N103),AD103,AD103*5)</f>
      </c>
      <c r="AF103" s="216">
        <f>SUM(AG103:BC103)</f>
      </c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8"/>
      <c r="BD103" s="215">
        <f>Z103-AF103</f>
      </c>
      <c r="BE103" s="238">
        <f>IFERROR(AF103/Y103,0)</f>
      </c>
      <c r="BF103" s="214">
        <f>IFERROR(AF103/X103,0)</f>
      </c>
      <c r="BG103" s="214">
        <f>IFERROR((X103/SUM(X$58:X$70)),0)</f>
      </c>
      <c r="BH103" s="214">
        <f>BC103/SUM(BC$3:BC300)</f>
      </c>
      <c r="BI103" s="217">
        <f>BC103/'R&amp;H Portfolio'!Q$10</f>
      </c>
      <c r="BJ103" s="215">
        <f>BF103*P103</f>
      </c>
      <c r="BK103" s="3"/>
      <c r="BL103" s="3"/>
      <c r="BM103" s="3"/>
    </row>
    <row x14ac:dyDescent="0.25" r="104" customHeight="1" ht="15">
      <c r="A104" s="17"/>
      <c r="B104" s="14"/>
      <c r="C104" s="3"/>
      <c r="D104" s="3"/>
      <c r="E104" s="3"/>
      <c r="F104" s="3"/>
      <c r="G104" s="16"/>
      <c r="H104" s="18"/>
      <c r="I104" s="18"/>
      <c r="J104" s="208">
        <f>H104+I104</f>
      </c>
      <c r="K104" s="1"/>
      <c r="L104" s="58">
        <f>K104*I104</f>
      </c>
      <c r="M104" s="58">
        <f>K104*J104</f>
      </c>
      <c r="N104" s="16"/>
      <c r="O104" s="16"/>
      <c r="P104" s="211">
        <f>IF(ISBLANK(N104),O104/4.3,N104/20)</f>
      </c>
      <c r="Q104" s="1"/>
      <c r="R104" s="3"/>
      <c r="S104" s="3"/>
      <c r="T104" s="213">
        <f>IF(ISBLANK(R104),0,X104)</f>
      </c>
      <c r="U104" s="213">
        <f>IF(ISBLANK(S104),0,X104)</f>
      </c>
      <c r="V104" s="214">
        <f>IFERROR(Q104/K104,0)</f>
      </c>
      <c r="W104" s="58">
        <f>IFERROR(L104*V104,0)</f>
      </c>
      <c r="X104" s="213">
        <f>IFERROR(Q104+W104,0)</f>
      </c>
      <c r="Y104" s="213">
        <f>IFERROR(M104*V104,0)</f>
      </c>
      <c r="Z104" s="213">
        <f>Y104-(Y104*$B$1)</f>
      </c>
      <c r="AA104" s="67">
        <f>IFERROR(Z104/X104,"")</f>
      </c>
      <c r="AB104" s="215">
        <f>IFERROR(IF(ISBLANK(N104),Y104/O104,Y104/N104),0)</f>
      </c>
      <c r="AC104" s="215">
        <f>IFERROR(-1*(AB104*B$1),0)</f>
      </c>
      <c r="AD104" s="215">
        <f>IFERROR(SUM(AB104:AC104),0)</f>
      </c>
      <c r="AE104" s="215">
        <f>IF(ISBLANK(N104),AD104,AD104*5)</f>
      </c>
      <c r="AF104" s="216">
        <f>SUM(AG104:BC104)</f>
      </c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8"/>
      <c r="BD104" s="215">
        <f>Z104-AF104</f>
      </c>
      <c r="BE104" s="238">
        <f>IFERROR(AF104/Y104,0)</f>
      </c>
      <c r="BF104" s="214">
        <f>IFERROR(AF104/X104,0)</f>
      </c>
      <c r="BG104" s="214">
        <f>IFERROR((X104/SUM(X$58:X$70)),0)</f>
      </c>
      <c r="BH104" s="214">
        <f>BC104/SUM(BC$3:BC301)</f>
      </c>
      <c r="BI104" s="217">
        <f>BC104/'R&amp;H Portfolio'!Q$10</f>
      </c>
      <c r="BJ104" s="215">
        <f>BF104*P104</f>
      </c>
      <c r="BK104" s="3"/>
      <c r="BL104" s="3"/>
      <c r="BM104" s="3"/>
    </row>
    <row x14ac:dyDescent="0.25" r="105" customHeight="1" ht="15">
      <c r="A105" s="17"/>
      <c r="B105" s="14"/>
      <c r="C105" s="3"/>
      <c r="D105" s="3"/>
      <c r="E105" s="3"/>
      <c r="F105" s="3"/>
      <c r="G105" s="16"/>
      <c r="H105" s="18"/>
      <c r="I105" s="18"/>
      <c r="J105" s="208">
        <f>H105+I105</f>
      </c>
      <c r="K105" s="1"/>
      <c r="L105" s="58">
        <f>K105*I105</f>
      </c>
      <c r="M105" s="58">
        <f>K105*J105</f>
      </c>
      <c r="N105" s="16"/>
      <c r="O105" s="16"/>
      <c r="P105" s="211">
        <f>IF(ISBLANK(N105),O105/4.3,N105/20)</f>
      </c>
      <c r="Q105" s="1"/>
      <c r="R105" s="3"/>
      <c r="S105" s="3"/>
      <c r="T105" s="213">
        <f>IF(ISBLANK(R105),0,X105)</f>
      </c>
      <c r="U105" s="213">
        <f>IF(ISBLANK(S105),0,X105)</f>
      </c>
      <c r="V105" s="214">
        <f>IFERROR(Q105/K105,0)</f>
      </c>
      <c r="W105" s="58">
        <f>IFERROR(L105*V105,0)</f>
      </c>
      <c r="X105" s="213">
        <f>IFERROR(Q105+W105,0)</f>
      </c>
      <c r="Y105" s="213">
        <f>IFERROR(M105*V105,0)</f>
      </c>
      <c r="Z105" s="213">
        <f>Y105-(Y105*$B$1)</f>
      </c>
      <c r="AA105" s="67">
        <f>IFERROR(Z105/X105,"")</f>
      </c>
      <c r="AB105" s="215">
        <f>IFERROR(IF(ISBLANK(N105),Y105/O105,Y105/N105),0)</f>
      </c>
      <c r="AC105" s="215">
        <f>IFERROR(-1*(AB105*B$1),0)</f>
      </c>
      <c r="AD105" s="215">
        <f>IFERROR(SUM(AB105:AC105),0)</f>
      </c>
      <c r="AE105" s="215">
        <f>IF(ISBLANK(N105),AD105,AD105*5)</f>
      </c>
      <c r="AF105" s="216">
        <f>SUM(AG105:BC105)</f>
      </c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8"/>
      <c r="BD105" s="215">
        <f>Z105-AF105</f>
      </c>
      <c r="BE105" s="238">
        <f>IFERROR(AF105/Y105,0)</f>
      </c>
      <c r="BF105" s="214">
        <f>IFERROR(AF105/X105,0)</f>
      </c>
      <c r="BG105" s="214">
        <f>IFERROR((X105/SUM(X$58:X$70)),0)</f>
      </c>
      <c r="BH105" s="214">
        <f>BC105/SUM(BC$3:BC302)</f>
      </c>
      <c r="BI105" s="217">
        <f>BC105/'R&amp;H Portfolio'!Q$10</f>
      </c>
      <c r="BJ105" s="215">
        <f>BF105*P105</f>
      </c>
      <c r="BK105" s="3"/>
      <c r="BL105" s="3"/>
      <c r="BM105" s="3"/>
    </row>
    <row x14ac:dyDescent="0.25" r="106" customHeight="1" ht="15">
      <c r="A106" s="17"/>
      <c r="B106" s="14"/>
      <c r="C106" s="3"/>
      <c r="D106" s="3"/>
      <c r="E106" s="3"/>
      <c r="F106" s="3"/>
      <c r="G106" s="16"/>
      <c r="H106" s="18"/>
      <c r="I106" s="18"/>
      <c r="J106" s="208">
        <f>H106+I106</f>
      </c>
      <c r="K106" s="1"/>
      <c r="L106" s="58">
        <f>K106*I106</f>
      </c>
      <c r="M106" s="58">
        <f>K106*J106</f>
      </c>
      <c r="N106" s="16"/>
      <c r="O106" s="16"/>
      <c r="P106" s="211">
        <f>IF(ISBLANK(N106),O106/4.3,N106/20)</f>
      </c>
      <c r="Q106" s="1"/>
      <c r="R106" s="3"/>
      <c r="S106" s="3"/>
      <c r="T106" s="213">
        <f>IF(ISBLANK(R106),0,X106)</f>
      </c>
      <c r="U106" s="213">
        <f>IF(ISBLANK(S106),0,X106)</f>
      </c>
      <c r="V106" s="214">
        <f>IFERROR(Q106/K106,0)</f>
      </c>
      <c r="W106" s="58">
        <f>IFERROR(L106*V106,0)</f>
      </c>
      <c r="X106" s="213">
        <f>IFERROR(Q106+W106,0)</f>
      </c>
      <c r="Y106" s="213">
        <f>IFERROR(M106*V106,0)</f>
      </c>
      <c r="Z106" s="213">
        <f>Y106-(Y106*$B$1)</f>
      </c>
      <c r="AA106" s="67">
        <f>IFERROR(Z106/X106,"")</f>
      </c>
      <c r="AB106" s="215">
        <f>IFERROR(IF(ISBLANK(N106),Y106/O106,Y106/N106),0)</f>
      </c>
      <c r="AC106" s="215">
        <f>IFERROR(-1*(AB106*B$1),0)</f>
      </c>
      <c r="AD106" s="215">
        <f>IFERROR(SUM(AB106:AC106),0)</f>
      </c>
      <c r="AE106" s="215">
        <f>IF(ISBLANK(N106),AD106,AD106*5)</f>
      </c>
      <c r="AF106" s="216">
        <f>SUM(AG106:BC106)</f>
      </c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8"/>
      <c r="BD106" s="215">
        <f>Z106-AF106</f>
      </c>
      <c r="BE106" s="238">
        <f>IFERROR(AF106/Y106,0)</f>
      </c>
      <c r="BF106" s="214">
        <f>IFERROR(AF106/X106,0)</f>
      </c>
      <c r="BG106" s="214">
        <f>IFERROR((X106/SUM(X$58:X$70)),0)</f>
      </c>
      <c r="BH106" s="214">
        <f>BC106/SUM(BC$3:BC303)</f>
      </c>
      <c r="BI106" s="217">
        <f>BC106/'R&amp;H Portfolio'!Q$10</f>
      </c>
      <c r="BJ106" s="215">
        <f>BF106*P106</f>
      </c>
      <c r="BK106" s="3"/>
      <c r="BL106" s="3"/>
      <c r="BM106" s="3"/>
    </row>
    <row x14ac:dyDescent="0.25" r="107" customHeight="1" ht="15">
      <c r="A107" s="17"/>
      <c r="B107" s="14"/>
      <c r="C107" s="3"/>
      <c r="D107" s="3"/>
      <c r="E107" s="3"/>
      <c r="F107" s="3"/>
      <c r="G107" s="16"/>
      <c r="H107" s="18"/>
      <c r="I107" s="18"/>
      <c r="J107" s="208">
        <f>H107+I107</f>
      </c>
      <c r="K107" s="1"/>
      <c r="L107" s="58">
        <f>K107*I107</f>
      </c>
      <c r="M107" s="58">
        <f>K107*J107</f>
      </c>
      <c r="N107" s="16"/>
      <c r="O107" s="16"/>
      <c r="P107" s="211">
        <f>IF(ISBLANK(N107),O107/4.3,N107/20)</f>
      </c>
      <c r="Q107" s="1"/>
      <c r="R107" s="3"/>
      <c r="S107" s="3"/>
      <c r="T107" s="213">
        <f>IF(ISBLANK(R107),0,X107)</f>
      </c>
      <c r="U107" s="213">
        <f>IF(ISBLANK(S107),0,X107)</f>
      </c>
      <c r="V107" s="214">
        <f>IFERROR(Q107/K107,0)</f>
      </c>
      <c r="W107" s="58">
        <f>IFERROR(L107*V107,0)</f>
      </c>
      <c r="X107" s="213">
        <f>IFERROR(Q107+W107,0)</f>
      </c>
      <c r="Y107" s="213">
        <f>IFERROR(M107*V107,0)</f>
      </c>
      <c r="Z107" s="213">
        <f>Y107-(Y107*$B$1)</f>
      </c>
      <c r="AA107" s="67">
        <f>IFERROR(Z107/X107,"")</f>
      </c>
      <c r="AB107" s="215">
        <f>IFERROR(IF(ISBLANK(N107),Y107/O107,Y107/N107),0)</f>
      </c>
      <c r="AC107" s="215">
        <f>IFERROR(-1*(AB107*B$1),0)</f>
      </c>
      <c r="AD107" s="215">
        <f>IFERROR(SUM(AB107:AC107),0)</f>
      </c>
      <c r="AE107" s="215">
        <f>IF(ISBLANK(N107),AD107,AD107*5)</f>
      </c>
      <c r="AF107" s="216">
        <f>SUM(AG107:BC107)</f>
      </c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8"/>
      <c r="BD107" s="215">
        <f>Z107-AF107</f>
      </c>
      <c r="BE107" s="238">
        <f>IFERROR(AF107/Y107,0)</f>
      </c>
      <c r="BF107" s="214">
        <f>IFERROR(AF107/X107,0)</f>
      </c>
      <c r="BG107" s="214">
        <f>IFERROR((X107/SUM(X$58:X$70)),0)</f>
      </c>
      <c r="BH107" s="214">
        <f>BC107/SUM(BC$3:BC304)</f>
      </c>
      <c r="BI107" s="217">
        <f>BC107/'R&amp;H Portfolio'!Q$10</f>
      </c>
      <c r="BJ107" s="215">
        <f>BF107*P107</f>
      </c>
      <c r="BK107" s="3"/>
      <c r="BL107" s="3"/>
      <c r="BM107" s="3"/>
    </row>
    <row x14ac:dyDescent="0.25" r="108" customHeight="1" ht="15">
      <c r="A108" s="17"/>
      <c r="B108" s="14"/>
      <c r="C108" s="3"/>
      <c r="D108" s="3"/>
      <c r="E108" s="3"/>
      <c r="F108" s="3"/>
      <c r="G108" s="16"/>
      <c r="H108" s="18"/>
      <c r="I108" s="18"/>
      <c r="J108" s="208">
        <f>H108+I108</f>
      </c>
      <c r="K108" s="1"/>
      <c r="L108" s="58">
        <f>K108*I108</f>
      </c>
      <c r="M108" s="58">
        <f>K108*J108</f>
      </c>
      <c r="N108" s="16"/>
      <c r="O108" s="16"/>
      <c r="P108" s="211">
        <f>IF(ISBLANK(N108),O108/4.3,N108/20)</f>
      </c>
      <c r="Q108" s="1"/>
      <c r="R108" s="3"/>
      <c r="S108" s="3"/>
      <c r="T108" s="213">
        <f>IF(ISBLANK(R108),0,X108)</f>
      </c>
      <c r="U108" s="213">
        <f>IF(ISBLANK(S108),0,X108)</f>
      </c>
      <c r="V108" s="214">
        <f>IFERROR(Q108/K108,0)</f>
      </c>
      <c r="W108" s="58">
        <f>IFERROR(L108*V108,0)</f>
      </c>
      <c r="X108" s="213">
        <f>IFERROR(Q108+W108,0)</f>
      </c>
      <c r="Y108" s="213">
        <f>IFERROR(M108*V108,0)</f>
      </c>
      <c r="Z108" s="213">
        <f>Y108-(Y108*$B$1)</f>
      </c>
      <c r="AA108" s="67">
        <f>IFERROR(Z108/X108,"")</f>
      </c>
      <c r="AB108" s="215">
        <f>IFERROR(IF(ISBLANK(N108),Y108/O108,Y108/N108),0)</f>
      </c>
      <c r="AC108" s="215">
        <f>IFERROR(-1*(AB108*B$1),0)</f>
      </c>
      <c r="AD108" s="215">
        <f>IFERROR(SUM(AB108:AC108),0)</f>
      </c>
      <c r="AE108" s="215">
        <f>IF(ISBLANK(N108),AD108,AD108*5)</f>
      </c>
      <c r="AF108" s="216">
        <f>SUM(AG108:BC108)</f>
      </c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8"/>
      <c r="BD108" s="215">
        <f>Z108-AF108</f>
      </c>
      <c r="BE108" s="238">
        <f>IFERROR(AF108/Y108,0)</f>
      </c>
      <c r="BF108" s="214">
        <f>IFERROR(AF108/X108,0)</f>
      </c>
      <c r="BG108" s="214">
        <f>IFERROR((X108/SUM(X$58:X$70)),0)</f>
      </c>
      <c r="BH108" s="214">
        <f>BC108/SUM(BC$3:BC305)</f>
      </c>
      <c r="BI108" s="217">
        <f>BC108/'R&amp;H Portfolio'!Q$10</f>
      </c>
      <c r="BJ108" s="215">
        <f>BF108*P108</f>
      </c>
      <c r="BK108" s="3"/>
      <c r="BL108" s="3"/>
      <c r="BM108" s="3"/>
    </row>
    <row x14ac:dyDescent="0.25" r="109" customHeight="1" ht="15">
      <c r="A109" s="17"/>
      <c r="B109" s="14"/>
      <c r="C109" s="3"/>
      <c r="D109" s="3"/>
      <c r="E109" s="3"/>
      <c r="F109" s="3"/>
      <c r="G109" s="16"/>
      <c r="H109" s="18"/>
      <c r="I109" s="18"/>
      <c r="J109" s="208">
        <f>H109+I109</f>
      </c>
      <c r="K109" s="1"/>
      <c r="L109" s="58">
        <f>K109*I109</f>
      </c>
      <c r="M109" s="58">
        <f>K109*J109</f>
      </c>
      <c r="N109" s="16"/>
      <c r="O109" s="16"/>
      <c r="P109" s="211">
        <f>IF(ISBLANK(N109),O109/4.3,N109/20)</f>
      </c>
      <c r="Q109" s="1"/>
      <c r="R109" s="3"/>
      <c r="S109" s="3"/>
      <c r="T109" s="213">
        <f>IF(ISBLANK(R109),0,X109)</f>
      </c>
      <c r="U109" s="213">
        <f>IF(ISBLANK(S109),0,X109)</f>
      </c>
      <c r="V109" s="214">
        <f>IFERROR(Q109/K109,0)</f>
      </c>
      <c r="W109" s="58">
        <f>IFERROR(L109*V109,0)</f>
      </c>
      <c r="X109" s="213">
        <f>IFERROR(Q109+W109,0)</f>
      </c>
      <c r="Y109" s="213">
        <f>IFERROR(M109*V109,0)</f>
      </c>
      <c r="Z109" s="213">
        <f>Y109-(Y109*$B$1)</f>
      </c>
      <c r="AA109" s="67">
        <f>IFERROR(Z109/X109,"")</f>
      </c>
      <c r="AB109" s="215">
        <f>IFERROR(IF(ISBLANK(N109),Y109/O109,Y109/N109),0)</f>
      </c>
      <c r="AC109" s="215">
        <f>IFERROR(-1*(AB109*B$1),0)</f>
      </c>
      <c r="AD109" s="215">
        <f>IFERROR(SUM(AB109:AC109),0)</f>
      </c>
      <c r="AE109" s="215">
        <f>IF(ISBLANK(N109),AD109,AD109*5)</f>
      </c>
      <c r="AF109" s="216">
        <f>SUM(AG109:BC109)</f>
      </c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8"/>
      <c r="BD109" s="215">
        <f>Z109-AF109</f>
      </c>
      <c r="BE109" s="238">
        <f>IFERROR(AF109/Y109,0)</f>
      </c>
      <c r="BF109" s="214">
        <f>IFERROR(AF109/X109,0)</f>
      </c>
      <c r="BG109" s="214">
        <f>IFERROR((X109/SUM(X$58:X$70)),0)</f>
      </c>
      <c r="BH109" s="214">
        <f>BC109/SUM(BC$3:BC306)</f>
      </c>
      <c r="BI109" s="217">
        <f>BC109/'R&amp;H Portfolio'!Q$10</f>
      </c>
      <c r="BJ109" s="215">
        <f>BF109*P109</f>
      </c>
      <c r="BK109" s="3"/>
      <c r="BL109" s="3"/>
      <c r="BM109" s="3"/>
    </row>
    <row x14ac:dyDescent="0.25" r="110" customHeight="1" ht="15">
      <c r="A110" s="17"/>
      <c r="B110" s="14"/>
      <c r="C110" s="3"/>
      <c r="D110" s="3"/>
      <c r="E110" s="3"/>
      <c r="F110" s="3"/>
      <c r="G110" s="16"/>
      <c r="H110" s="18"/>
      <c r="I110" s="18"/>
      <c r="J110" s="208">
        <f>H110+I110</f>
      </c>
      <c r="K110" s="1"/>
      <c r="L110" s="58">
        <f>K110*I110</f>
      </c>
      <c r="M110" s="58">
        <f>K110*J110</f>
      </c>
      <c r="N110" s="16"/>
      <c r="O110" s="16"/>
      <c r="P110" s="211">
        <f>IF(ISBLANK(N110),O110/4.3,N110/20)</f>
      </c>
      <c r="Q110" s="1"/>
      <c r="R110" s="3"/>
      <c r="S110" s="3"/>
      <c r="T110" s="213">
        <f>IF(ISBLANK(R110),0,X110)</f>
      </c>
      <c r="U110" s="213">
        <f>IF(ISBLANK(S110),0,X110)</f>
      </c>
      <c r="V110" s="214">
        <f>IFERROR(Q110/K110,0)</f>
      </c>
      <c r="W110" s="58">
        <f>IFERROR(L110*V110,0)</f>
      </c>
      <c r="X110" s="213">
        <f>IFERROR(Q110+W110,0)</f>
      </c>
      <c r="Y110" s="213">
        <f>IFERROR(M110*V110,0)</f>
      </c>
      <c r="Z110" s="213">
        <f>Y110-(Y110*$B$1)</f>
      </c>
      <c r="AA110" s="67">
        <f>IFERROR(Z110/X110,"")</f>
      </c>
      <c r="AB110" s="215">
        <f>IFERROR(IF(ISBLANK(N110),Y110/O110,Y110/N110),0)</f>
      </c>
      <c r="AC110" s="215">
        <f>IFERROR(-1*(AB110*B$1),0)</f>
      </c>
      <c r="AD110" s="215">
        <f>IFERROR(SUM(AB110:AC110),0)</f>
      </c>
      <c r="AE110" s="215">
        <f>IF(ISBLANK(N110),AD110,AD110*5)</f>
      </c>
      <c r="AF110" s="216">
        <f>SUM(AG110:BC110)</f>
      </c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8"/>
      <c r="BD110" s="215">
        <f>Z110-AF110</f>
      </c>
      <c r="BE110" s="238">
        <f>IFERROR(AF110/Y110,0)</f>
      </c>
      <c r="BF110" s="214">
        <f>IFERROR(AF110/X110,0)</f>
      </c>
      <c r="BG110" s="214">
        <f>IFERROR((X110/SUM(X$58:X$70)),0)</f>
      </c>
      <c r="BH110" s="214">
        <f>BC110/SUM(BC$3:BC307)</f>
      </c>
      <c r="BI110" s="217">
        <f>BC110/'R&amp;H Portfolio'!Q$10</f>
      </c>
      <c r="BJ110" s="215">
        <f>BF110*P110</f>
      </c>
      <c r="BK110" s="3"/>
      <c r="BL110" s="3"/>
      <c r="BM110" s="3"/>
    </row>
    <row x14ac:dyDescent="0.25" r="111" customHeight="1" ht="15">
      <c r="A111" s="17"/>
      <c r="B111" s="14"/>
      <c r="C111" s="3"/>
      <c r="D111" s="3"/>
      <c r="E111" s="3"/>
      <c r="F111" s="3"/>
      <c r="G111" s="16"/>
      <c r="H111" s="18"/>
      <c r="I111" s="18"/>
      <c r="J111" s="208">
        <f>H111+I111</f>
      </c>
      <c r="K111" s="1"/>
      <c r="L111" s="58">
        <f>K111*I111</f>
      </c>
      <c r="M111" s="58">
        <f>K111*J111</f>
      </c>
      <c r="N111" s="16"/>
      <c r="O111" s="16"/>
      <c r="P111" s="211">
        <f>IF(ISBLANK(N111),O111/4.3,N111/20)</f>
      </c>
      <c r="Q111" s="1"/>
      <c r="R111" s="3"/>
      <c r="S111" s="3"/>
      <c r="T111" s="213">
        <f>IF(ISBLANK(R111),0,X111)</f>
      </c>
      <c r="U111" s="213">
        <f>IF(ISBLANK(S111),0,X111)</f>
      </c>
      <c r="V111" s="214">
        <f>IFERROR(Q111/K111,0)</f>
      </c>
      <c r="W111" s="58">
        <f>IFERROR(L111*V111,0)</f>
      </c>
      <c r="X111" s="213">
        <f>IFERROR(Q111+W111,0)</f>
      </c>
      <c r="Y111" s="213">
        <f>IFERROR(M111*V111,0)</f>
      </c>
      <c r="Z111" s="213">
        <f>Y111-(Y111*$B$1)</f>
      </c>
      <c r="AA111" s="67">
        <f>IFERROR(Z111/X111,"")</f>
      </c>
      <c r="AB111" s="215">
        <f>IFERROR(IF(ISBLANK(N111),Y111/O111,Y111/N111),0)</f>
      </c>
      <c r="AC111" s="215">
        <f>IFERROR(-1*(AB111*B$1),0)</f>
      </c>
      <c r="AD111" s="215">
        <f>IFERROR(SUM(AB111:AC111),0)</f>
      </c>
      <c r="AE111" s="215">
        <f>IF(ISBLANK(N111),AD111,AD111*5)</f>
      </c>
      <c r="AF111" s="216">
        <f>SUM(AG111:BC111)</f>
      </c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8"/>
      <c r="BD111" s="215">
        <f>Z111-AF111</f>
      </c>
      <c r="BE111" s="238">
        <f>IFERROR(AF111/Y111,0)</f>
      </c>
      <c r="BF111" s="214">
        <f>IFERROR(AF111/X111,0)</f>
      </c>
      <c r="BG111" s="214">
        <f>IFERROR((X111/SUM(X$58:X$70)),0)</f>
      </c>
      <c r="BH111" s="214">
        <f>BC111/SUM(BC$3:BC308)</f>
      </c>
      <c r="BI111" s="217">
        <f>BC111/'R&amp;H Portfolio'!Q$10</f>
      </c>
      <c r="BJ111" s="215">
        <f>BF111*P111</f>
      </c>
      <c r="BK111" s="3"/>
      <c r="BL111" s="3"/>
      <c r="BM111" s="3"/>
    </row>
    <row x14ac:dyDescent="0.25" r="112" customHeight="1" ht="15">
      <c r="A112" s="17"/>
      <c r="B112" s="14"/>
      <c r="C112" s="3"/>
      <c r="D112" s="3"/>
      <c r="E112" s="3"/>
      <c r="F112" s="3"/>
      <c r="G112" s="16"/>
      <c r="H112" s="18"/>
      <c r="I112" s="18"/>
      <c r="J112" s="208">
        <f>H112+I112</f>
      </c>
      <c r="K112" s="1"/>
      <c r="L112" s="58">
        <f>K112*I112</f>
      </c>
      <c r="M112" s="58">
        <f>K112*J112</f>
      </c>
      <c r="N112" s="16"/>
      <c r="O112" s="16"/>
      <c r="P112" s="211">
        <f>IF(ISBLANK(N112),O112/4.3,N112/20)</f>
      </c>
      <c r="Q112" s="1"/>
      <c r="R112" s="3"/>
      <c r="S112" s="3"/>
      <c r="T112" s="213">
        <f>IF(ISBLANK(R112),0,X112)</f>
      </c>
      <c r="U112" s="213">
        <f>IF(ISBLANK(S112),0,X112)</f>
      </c>
      <c r="V112" s="214">
        <f>IFERROR(Q112/K112,0)</f>
      </c>
      <c r="W112" s="58">
        <f>IFERROR(L112*V112,0)</f>
      </c>
      <c r="X112" s="213">
        <f>IFERROR(Q112+W112,0)</f>
      </c>
      <c r="Y112" s="213">
        <f>IFERROR(M112*V112,0)</f>
      </c>
      <c r="Z112" s="213">
        <f>Y112-(Y112*$B$1)</f>
      </c>
      <c r="AA112" s="67">
        <f>IFERROR(Z112/X112,"")</f>
      </c>
      <c r="AB112" s="215">
        <f>IFERROR(IF(ISBLANK(N112),Y112/O112,Y112/N112),0)</f>
      </c>
      <c r="AC112" s="215">
        <f>IFERROR(-1*(AB112*B$1),0)</f>
      </c>
      <c r="AD112" s="215">
        <f>IFERROR(SUM(AB112:AC112),0)</f>
      </c>
      <c r="AE112" s="215">
        <f>IF(ISBLANK(N112),AD112,AD112*5)</f>
      </c>
      <c r="AF112" s="216">
        <f>SUM(AG112:BC112)</f>
      </c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8"/>
      <c r="BD112" s="215">
        <f>Z112-AF112</f>
      </c>
      <c r="BE112" s="238">
        <f>IFERROR(AF112/Y112,0)</f>
      </c>
      <c r="BF112" s="214">
        <f>IFERROR(AF112/X112,0)</f>
      </c>
      <c r="BG112" s="214">
        <f>IFERROR((X112/SUM(X$58:X$70)),0)</f>
      </c>
      <c r="BH112" s="214">
        <f>BC112/SUM(BC$3:BC309)</f>
      </c>
      <c r="BI112" s="217">
        <f>BC112/'R&amp;H Portfolio'!Q$10</f>
      </c>
      <c r="BJ112" s="215">
        <f>BF112*P112</f>
      </c>
      <c r="BK112" s="3"/>
      <c r="BL112" s="3"/>
      <c r="BM112" s="3"/>
    </row>
    <row x14ac:dyDescent="0.25" r="113" customHeight="1" ht="15">
      <c r="A113" s="17"/>
      <c r="B113" s="14"/>
      <c r="C113" s="3"/>
      <c r="D113" s="3"/>
      <c r="E113" s="3"/>
      <c r="F113" s="3"/>
      <c r="G113" s="16"/>
      <c r="H113" s="18"/>
      <c r="I113" s="18"/>
      <c r="J113" s="208">
        <f>H113+I113</f>
      </c>
      <c r="K113" s="1"/>
      <c r="L113" s="58">
        <f>K113*I113</f>
      </c>
      <c r="M113" s="58">
        <f>K113*J113</f>
      </c>
      <c r="N113" s="16"/>
      <c r="O113" s="16"/>
      <c r="P113" s="211">
        <f>IF(ISBLANK(N113),O113/4.3,N113/20)</f>
      </c>
      <c r="Q113" s="1"/>
      <c r="R113" s="3"/>
      <c r="S113" s="3"/>
      <c r="T113" s="213">
        <f>IF(ISBLANK(R113),0,X113)</f>
      </c>
      <c r="U113" s="213">
        <f>IF(ISBLANK(S113),0,X113)</f>
      </c>
      <c r="V113" s="214">
        <f>IFERROR(Q113/K113,0)</f>
      </c>
      <c r="W113" s="58">
        <f>IFERROR(L113*V113,0)</f>
      </c>
      <c r="X113" s="213">
        <f>IFERROR(Q113+W113,0)</f>
      </c>
      <c r="Y113" s="213">
        <f>IFERROR(M113*V113,0)</f>
      </c>
      <c r="Z113" s="213">
        <f>Y113-(Y113*$B$1)</f>
      </c>
      <c r="AA113" s="67">
        <f>IFERROR(Z113/X113,"")</f>
      </c>
      <c r="AB113" s="215">
        <f>IFERROR(IF(ISBLANK(N113),Y113/O113,Y113/N113),0)</f>
      </c>
      <c r="AC113" s="215">
        <f>IFERROR(-1*(AB113*B$1),0)</f>
      </c>
      <c r="AD113" s="215">
        <f>IFERROR(SUM(AB113:AC113),0)</f>
      </c>
      <c r="AE113" s="215">
        <f>IF(ISBLANK(N113),AD113,AD113*5)</f>
      </c>
      <c r="AF113" s="216">
        <f>SUM(AG113:BC113)</f>
      </c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8"/>
      <c r="BD113" s="215">
        <f>Z113-AF113</f>
      </c>
      <c r="BE113" s="238">
        <f>IFERROR(AF113/Y113,0)</f>
      </c>
      <c r="BF113" s="214">
        <f>IFERROR(AF113/X113,0)</f>
      </c>
      <c r="BG113" s="214">
        <f>IFERROR((X113/SUM(X$58:X$70)),0)</f>
      </c>
      <c r="BH113" s="214">
        <f>BC113/SUM(BC$3:BC310)</f>
      </c>
      <c r="BI113" s="217">
        <f>BC113/'R&amp;H Portfolio'!Q$10</f>
      </c>
      <c r="BJ113" s="215">
        <f>BF113*P113</f>
      </c>
      <c r="BK113" s="3"/>
      <c r="BL113" s="3"/>
      <c r="BM113" s="3"/>
    </row>
    <row x14ac:dyDescent="0.25" r="114" customHeight="1" ht="15">
      <c r="A114" s="17"/>
      <c r="B114" s="14"/>
      <c r="C114" s="3"/>
      <c r="D114" s="3"/>
      <c r="E114" s="3"/>
      <c r="F114" s="3"/>
      <c r="G114" s="16"/>
      <c r="H114" s="18"/>
      <c r="I114" s="18"/>
      <c r="J114" s="208">
        <f>H114+I114</f>
      </c>
      <c r="K114" s="1"/>
      <c r="L114" s="58">
        <f>K114*I114</f>
      </c>
      <c r="M114" s="58">
        <f>K114*J114</f>
      </c>
      <c r="N114" s="16"/>
      <c r="O114" s="16"/>
      <c r="P114" s="211">
        <f>IF(ISBLANK(N114),O114/4.3,N114/20)</f>
      </c>
      <c r="Q114" s="1"/>
      <c r="R114" s="3"/>
      <c r="S114" s="3"/>
      <c r="T114" s="213">
        <f>IF(ISBLANK(R114),0,X114)</f>
      </c>
      <c r="U114" s="213">
        <f>IF(ISBLANK(S114),0,X114)</f>
      </c>
      <c r="V114" s="214">
        <f>IFERROR(Q114/K114,0)</f>
      </c>
      <c r="W114" s="58">
        <f>IFERROR(L114*V114,0)</f>
      </c>
      <c r="X114" s="213">
        <f>IFERROR(Q114+W114,0)</f>
      </c>
      <c r="Y114" s="213">
        <f>IFERROR(M114*V114,0)</f>
      </c>
      <c r="Z114" s="213">
        <f>Y114-(Y114*$B$1)</f>
      </c>
      <c r="AA114" s="67">
        <f>IFERROR(Z114/X114,"")</f>
      </c>
      <c r="AB114" s="215">
        <f>IFERROR(IF(ISBLANK(N114),Y114/O114,Y114/N114),0)</f>
      </c>
      <c r="AC114" s="215">
        <f>IFERROR(-1*(AB114*B$1),0)</f>
      </c>
      <c r="AD114" s="215">
        <f>IFERROR(SUM(AB114:AC114),0)</f>
      </c>
      <c r="AE114" s="215">
        <f>IF(ISBLANK(N114),AD114,AD114*5)</f>
      </c>
      <c r="AF114" s="216">
        <f>SUM(AG114:BC114)</f>
      </c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8"/>
      <c r="BD114" s="215">
        <f>Z114-AF114</f>
      </c>
      <c r="BE114" s="238">
        <f>IFERROR(AF114/Y114,0)</f>
      </c>
      <c r="BF114" s="214">
        <f>IFERROR(AF114/X114,0)</f>
      </c>
      <c r="BG114" s="214">
        <f>IFERROR((X114/SUM(X$58:X$70)),0)</f>
      </c>
      <c r="BH114" s="214">
        <f>BC114/SUM(BC$3:BC311)</f>
      </c>
      <c r="BI114" s="217">
        <f>BC114/'R&amp;H Portfolio'!Q$10</f>
      </c>
      <c r="BJ114" s="215">
        <f>BF114*P114</f>
      </c>
      <c r="BK114" s="3"/>
      <c r="BL114" s="3"/>
      <c r="BM114" s="3"/>
    </row>
    <row x14ac:dyDescent="0.25" r="115" customHeight="1" ht="15">
      <c r="A115" s="17"/>
      <c r="B115" s="14"/>
      <c r="C115" s="3"/>
      <c r="D115" s="3"/>
      <c r="E115" s="3"/>
      <c r="F115" s="3"/>
      <c r="G115" s="16"/>
      <c r="H115" s="18"/>
      <c r="I115" s="18"/>
      <c r="J115" s="208">
        <f>H115+I115</f>
      </c>
      <c r="K115" s="1"/>
      <c r="L115" s="58">
        <f>K115*I115</f>
      </c>
      <c r="M115" s="58">
        <f>K115*J115</f>
      </c>
      <c r="N115" s="16"/>
      <c r="O115" s="16"/>
      <c r="P115" s="211">
        <f>IF(ISBLANK(N115),O115/4.3,N115/20)</f>
      </c>
      <c r="Q115" s="1"/>
      <c r="R115" s="3"/>
      <c r="S115" s="3"/>
      <c r="T115" s="213">
        <f>IF(ISBLANK(R115),0,X115)</f>
      </c>
      <c r="U115" s="213">
        <f>IF(ISBLANK(S115),0,X115)</f>
      </c>
      <c r="V115" s="214">
        <f>IFERROR(Q115/K115,0)</f>
      </c>
      <c r="W115" s="58">
        <f>IFERROR(L115*V115,0)</f>
      </c>
      <c r="X115" s="213">
        <f>IFERROR(Q115+W115,0)</f>
      </c>
      <c r="Y115" s="213">
        <f>IFERROR(M115*V115,0)</f>
      </c>
      <c r="Z115" s="213">
        <f>Y115-(Y115*$B$1)</f>
      </c>
      <c r="AA115" s="67">
        <f>IFERROR(Z115/X115,"")</f>
      </c>
      <c r="AB115" s="215">
        <f>IFERROR(IF(ISBLANK(N115),Y115/O115,Y115/N115),0)</f>
      </c>
      <c r="AC115" s="215">
        <f>IFERROR(-1*(AB115*B$1),0)</f>
      </c>
      <c r="AD115" s="215">
        <f>IFERROR(SUM(AB115:AC115),0)</f>
      </c>
      <c r="AE115" s="215">
        <f>IF(ISBLANK(N115),AD115,AD115*5)</f>
      </c>
      <c r="AF115" s="216">
        <f>SUM(AG115:BC115)</f>
      </c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8"/>
      <c r="BD115" s="215">
        <f>Z115-AF115</f>
      </c>
      <c r="BE115" s="238">
        <f>IFERROR(AF115/Y115,0)</f>
      </c>
      <c r="BF115" s="214">
        <f>IFERROR(AF115/X115,0)</f>
      </c>
      <c r="BG115" s="214">
        <f>IFERROR((X115/SUM(X$58:X$70)),0)</f>
      </c>
      <c r="BH115" s="214">
        <f>BC115/SUM(BC$3:BC312)</f>
      </c>
      <c r="BI115" s="217">
        <f>BC115/'R&amp;H Portfolio'!Q$10</f>
      </c>
      <c r="BJ115" s="215">
        <f>BF115*P115</f>
      </c>
      <c r="BK115" s="3"/>
      <c r="BL115" s="3"/>
      <c r="BM115" s="3"/>
    </row>
    <row x14ac:dyDescent="0.25" r="116" customHeight="1" ht="15">
      <c r="A116" s="17"/>
      <c r="B116" s="14"/>
      <c r="C116" s="3"/>
      <c r="D116" s="3"/>
      <c r="E116" s="3"/>
      <c r="F116" s="3"/>
      <c r="G116" s="16"/>
      <c r="H116" s="18"/>
      <c r="I116" s="18"/>
      <c r="J116" s="208">
        <f>H116+I116</f>
      </c>
      <c r="K116" s="1"/>
      <c r="L116" s="58">
        <f>K116*I116</f>
      </c>
      <c r="M116" s="58">
        <f>K116*J116</f>
      </c>
      <c r="N116" s="16"/>
      <c r="O116" s="16"/>
      <c r="P116" s="211">
        <f>IF(ISBLANK(N116),O116/4.3,N116/20)</f>
      </c>
      <c r="Q116" s="1"/>
      <c r="R116" s="3"/>
      <c r="S116" s="3"/>
      <c r="T116" s="213">
        <f>IF(ISBLANK(R116),0,X116)</f>
      </c>
      <c r="U116" s="213">
        <f>IF(ISBLANK(S116),0,X116)</f>
      </c>
      <c r="V116" s="214">
        <f>IFERROR(Q116/K116,0)</f>
      </c>
      <c r="W116" s="58">
        <f>IFERROR(L116*V116,0)</f>
      </c>
      <c r="X116" s="213">
        <f>IFERROR(Q116+W116,0)</f>
      </c>
      <c r="Y116" s="213">
        <f>IFERROR(M116*V116,0)</f>
      </c>
      <c r="Z116" s="213">
        <f>Y116-(Y116*$B$1)</f>
      </c>
      <c r="AA116" s="67">
        <f>IFERROR(Z116/X116,"")</f>
      </c>
      <c r="AB116" s="215">
        <f>IFERROR(IF(ISBLANK(N116),Y116/O116,Y116/N116),0)</f>
      </c>
      <c r="AC116" s="215">
        <f>IFERROR(-1*(AB116*B$1),0)</f>
      </c>
      <c r="AD116" s="215">
        <f>IFERROR(SUM(AB116:AC116),0)</f>
      </c>
      <c r="AE116" s="215">
        <f>IF(ISBLANK(N116),AD116,AD116*5)</f>
      </c>
      <c r="AF116" s="216">
        <f>SUM(AG116:BC116)</f>
      </c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8"/>
      <c r="BD116" s="215">
        <f>Z116-AF116</f>
      </c>
      <c r="BE116" s="238">
        <f>IFERROR(AF116/Y116,0)</f>
      </c>
      <c r="BF116" s="214">
        <f>IFERROR(AF116/X116,0)</f>
      </c>
      <c r="BG116" s="214">
        <f>IFERROR((X116/SUM(X$58:X$70)),0)</f>
      </c>
      <c r="BH116" s="214">
        <f>BC116/SUM(BC$3:BC313)</f>
      </c>
      <c r="BI116" s="217">
        <f>BC116/'R&amp;H Portfolio'!Q$10</f>
      </c>
      <c r="BJ116" s="215">
        <f>BF116*P116</f>
      </c>
      <c r="BK116" s="3"/>
      <c r="BL116" s="3"/>
      <c r="BM116" s="3"/>
    </row>
    <row x14ac:dyDescent="0.25" r="117" customHeight="1" ht="15">
      <c r="A117" s="17"/>
      <c r="B117" s="14"/>
      <c r="C117" s="3"/>
      <c r="D117" s="3"/>
      <c r="E117" s="3"/>
      <c r="F117" s="3"/>
      <c r="G117" s="16"/>
      <c r="H117" s="18"/>
      <c r="I117" s="18"/>
      <c r="J117" s="208">
        <f>H117+I117</f>
      </c>
      <c r="K117" s="1"/>
      <c r="L117" s="58">
        <f>K117*I117</f>
      </c>
      <c r="M117" s="58">
        <f>K117*J117</f>
      </c>
      <c r="N117" s="16"/>
      <c r="O117" s="16"/>
      <c r="P117" s="211">
        <f>IF(ISBLANK(N117),O117/4.3,N117/20)</f>
      </c>
      <c r="Q117" s="1"/>
      <c r="R117" s="3"/>
      <c r="S117" s="3"/>
      <c r="T117" s="213">
        <f>IF(ISBLANK(R117),0,X117)</f>
      </c>
      <c r="U117" s="213">
        <f>IF(ISBLANK(S117),0,X117)</f>
      </c>
      <c r="V117" s="214">
        <f>IFERROR(Q117/K117,0)</f>
      </c>
      <c r="W117" s="58">
        <f>IFERROR(L117*V117,0)</f>
      </c>
      <c r="X117" s="213">
        <f>IFERROR(Q117+W117,0)</f>
      </c>
      <c r="Y117" s="213">
        <f>IFERROR(M117*V117,0)</f>
      </c>
      <c r="Z117" s="213">
        <f>Y117-(Y117*$B$1)</f>
      </c>
      <c r="AA117" s="67">
        <f>IFERROR(Z117/X117,"")</f>
      </c>
      <c r="AB117" s="215">
        <f>IFERROR(IF(ISBLANK(N117),Y117/O117,Y117/N117),0)</f>
      </c>
      <c r="AC117" s="215">
        <f>IFERROR(-1*(AB117*B$1),0)</f>
      </c>
      <c r="AD117" s="215">
        <f>IFERROR(SUM(AB117:AC117),0)</f>
      </c>
      <c r="AE117" s="215">
        <f>IF(ISBLANK(N117),AD117,AD117*5)</f>
      </c>
      <c r="AF117" s="216">
        <f>SUM(AG117:BC117)</f>
      </c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8"/>
      <c r="BD117" s="215">
        <f>Z117-AF117</f>
      </c>
      <c r="BE117" s="238">
        <f>IFERROR(AF117/Y117,0)</f>
      </c>
      <c r="BF117" s="214">
        <f>IFERROR(AF117/X117,0)</f>
      </c>
      <c r="BG117" s="214">
        <f>IFERROR((X117/SUM(X$58:X$70)),0)</f>
      </c>
      <c r="BH117" s="214">
        <f>BC117/SUM(BC$3:BC314)</f>
      </c>
      <c r="BI117" s="217">
        <f>BC117/'R&amp;H Portfolio'!Q$10</f>
      </c>
      <c r="BJ117" s="215">
        <f>BF117*P117</f>
      </c>
      <c r="BK117" s="3"/>
      <c r="BL117" s="3"/>
      <c r="BM117" s="3"/>
    </row>
    <row x14ac:dyDescent="0.25" r="118" customHeight="1" ht="15">
      <c r="A118" s="17"/>
      <c r="B118" s="14"/>
      <c r="C118" s="3"/>
      <c r="D118" s="3"/>
      <c r="E118" s="3"/>
      <c r="F118" s="3"/>
      <c r="G118" s="16"/>
      <c r="H118" s="18"/>
      <c r="I118" s="18"/>
      <c r="J118" s="208">
        <f>H118+I118</f>
      </c>
      <c r="K118" s="1"/>
      <c r="L118" s="58">
        <f>K118*I118</f>
      </c>
      <c r="M118" s="58">
        <f>K118*J118</f>
      </c>
      <c r="N118" s="16"/>
      <c r="O118" s="16"/>
      <c r="P118" s="211">
        <f>IF(ISBLANK(N118),O118/4.3,N118/20)</f>
      </c>
      <c r="Q118" s="1"/>
      <c r="R118" s="3"/>
      <c r="S118" s="3"/>
      <c r="T118" s="213">
        <f>IF(ISBLANK(R118),0,X118)</f>
      </c>
      <c r="U118" s="213">
        <f>IF(ISBLANK(S118),0,X118)</f>
      </c>
      <c r="V118" s="214">
        <f>IFERROR(Q118/K118,0)</f>
      </c>
      <c r="W118" s="58">
        <f>IFERROR(L118*V118,0)</f>
      </c>
      <c r="X118" s="213">
        <f>IFERROR(Q118+W118,0)</f>
      </c>
      <c r="Y118" s="213">
        <f>IFERROR(M118*V118,0)</f>
      </c>
      <c r="Z118" s="213">
        <f>Y118-(Y118*$B$1)</f>
      </c>
      <c r="AA118" s="67">
        <f>IFERROR(Z118/X118,"")</f>
      </c>
      <c r="AB118" s="215">
        <f>IFERROR(IF(ISBLANK(N118),Y118/O118,Y118/N118),0)</f>
      </c>
      <c r="AC118" s="215">
        <f>IFERROR(-1*(AB118*B$1),0)</f>
      </c>
      <c r="AD118" s="215">
        <f>IFERROR(SUM(AB118:AC118),0)</f>
      </c>
      <c r="AE118" s="215">
        <f>IF(ISBLANK(N118),AD118,AD118*5)</f>
      </c>
      <c r="AF118" s="216">
        <f>SUM(AG118:BC118)</f>
      </c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8"/>
      <c r="BD118" s="215">
        <f>Z118-AF118</f>
      </c>
      <c r="BE118" s="238">
        <f>IFERROR(AF118/Y118,0)</f>
      </c>
      <c r="BF118" s="214">
        <f>IFERROR(AF118/X118,0)</f>
      </c>
      <c r="BG118" s="214">
        <f>IFERROR((X118/SUM(X$58:X$70)),0)</f>
      </c>
      <c r="BH118" s="214">
        <f>BC118/SUM(BC$3:BC315)</f>
      </c>
      <c r="BI118" s="217">
        <f>BC118/'R&amp;H Portfolio'!Q$10</f>
      </c>
      <c r="BJ118" s="215">
        <f>BF118*P118</f>
      </c>
      <c r="BK118" s="3"/>
      <c r="BL118" s="3"/>
      <c r="BM118" s="3"/>
    </row>
    <row x14ac:dyDescent="0.25" r="119" customHeight="1" ht="15">
      <c r="A119" s="17"/>
      <c r="B119" s="14"/>
      <c r="C119" s="3"/>
      <c r="D119" s="3"/>
      <c r="E119" s="3"/>
      <c r="F119" s="3"/>
      <c r="G119" s="16"/>
      <c r="H119" s="18"/>
      <c r="I119" s="18"/>
      <c r="J119" s="208">
        <f>H119+I119</f>
      </c>
      <c r="K119" s="1"/>
      <c r="L119" s="58">
        <f>K119*I119</f>
      </c>
      <c r="M119" s="58">
        <f>K119*J119</f>
      </c>
      <c r="N119" s="16"/>
      <c r="O119" s="16"/>
      <c r="P119" s="211">
        <f>IF(ISBLANK(N119),O119/4.3,N119/20)</f>
      </c>
      <c r="Q119" s="1"/>
      <c r="R119" s="3"/>
      <c r="S119" s="3"/>
      <c r="T119" s="213">
        <f>IF(ISBLANK(R119),0,X119)</f>
      </c>
      <c r="U119" s="213">
        <f>IF(ISBLANK(S119),0,X119)</f>
      </c>
      <c r="V119" s="214">
        <f>IFERROR(Q119/K119,0)</f>
      </c>
      <c r="W119" s="58">
        <f>IFERROR(L119*V119,0)</f>
      </c>
      <c r="X119" s="213">
        <f>IFERROR(Q119+W119,0)</f>
      </c>
      <c r="Y119" s="213">
        <f>IFERROR(M119*V119,0)</f>
      </c>
      <c r="Z119" s="213">
        <f>Y119-(Y119*$B$1)</f>
      </c>
      <c r="AA119" s="67">
        <f>IFERROR(Z119/X119,"")</f>
      </c>
      <c r="AB119" s="215">
        <f>IFERROR(IF(ISBLANK(N119),Y119/O119,Y119/N119),0)</f>
      </c>
      <c r="AC119" s="215">
        <f>IFERROR(-1*(AB119*B$1),0)</f>
      </c>
      <c r="AD119" s="215">
        <f>IFERROR(SUM(AB119:AC119),0)</f>
      </c>
      <c r="AE119" s="215">
        <f>IF(ISBLANK(N119),AD119,AD119*5)</f>
      </c>
      <c r="AF119" s="216">
        <f>SUM(AG119:BC119)</f>
      </c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8"/>
      <c r="BD119" s="215">
        <f>Z119-AF119</f>
      </c>
      <c r="BE119" s="238">
        <f>IFERROR(AF119/Y119,0)</f>
      </c>
      <c r="BF119" s="214">
        <f>IFERROR(AF119/X119,0)</f>
      </c>
      <c r="BG119" s="214">
        <f>IFERROR((X119/SUM(X$58:X$70)),0)</f>
      </c>
      <c r="BH119" s="214">
        <f>BC119/SUM(BC$3:BC316)</f>
      </c>
      <c r="BI119" s="217">
        <f>BC119/'R&amp;H Portfolio'!Q$10</f>
      </c>
      <c r="BJ119" s="215">
        <f>BF119*P119</f>
      </c>
      <c r="BK119" s="3"/>
      <c r="BL119" s="3"/>
      <c r="BM119" s="3"/>
    </row>
    <row x14ac:dyDescent="0.25" r="120" customHeight="1" ht="15">
      <c r="A120" s="17"/>
      <c r="B120" s="14"/>
      <c r="C120" s="3"/>
      <c r="D120" s="3"/>
      <c r="E120" s="3"/>
      <c r="F120" s="3"/>
      <c r="G120" s="16"/>
      <c r="H120" s="18"/>
      <c r="I120" s="18"/>
      <c r="J120" s="208">
        <f>H120+I120</f>
      </c>
      <c r="K120" s="1"/>
      <c r="L120" s="58">
        <f>K120*I120</f>
      </c>
      <c r="M120" s="58">
        <f>K120*J120</f>
      </c>
      <c r="N120" s="16"/>
      <c r="O120" s="16"/>
      <c r="P120" s="211">
        <f>IF(ISBLANK(N120),O120/4.3,N120/20)</f>
      </c>
      <c r="Q120" s="1"/>
      <c r="R120" s="3"/>
      <c r="S120" s="3"/>
      <c r="T120" s="213">
        <f>IF(ISBLANK(R120),0,X120)</f>
      </c>
      <c r="U120" s="213">
        <f>IF(ISBLANK(S120),0,X120)</f>
      </c>
      <c r="V120" s="214">
        <f>IFERROR(Q120/K120,0)</f>
      </c>
      <c r="W120" s="58">
        <f>IFERROR(L120*V120,0)</f>
      </c>
      <c r="X120" s="213">
        <f>IFERROR(Q120+W120,0)</f>
      </c>
      <c r="Y120" s="213">
        <f>IFERROR(M120*V120,0)</f>
      </c>
      <c r="Z120" s="213">
        <f>Y120-(Y120*$B$1)</f>
      </c>
      <c r="AA120" s="67">
        <f>IFERROR(Z120/X120,"")</f>
      </c>
      <c r="AB120" s="215">
        <f>IFERROR(IF(ISBLANK(N120),Y120/O120,Y120/N120),0)</f>
      </c>
      <c r="AC120" s="215">
        <f>IFERROR(-1*(AB120*B$1),0)</f>
      </c>
      <c r="AD120" s="215">
        <f>IFERROR(SUM(AB120:AC120),0)</f>
      </c>
      <c r="AE120" s="215">
        <f>IF(ISBLANK(N120),AD120,AD120*5)</f>
      </c>
      <c r="AF120" s="216">
        <f>SUM(AG120:BC120)</f>
      </c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8"/>
      <c r="BD120" s="215">
        <f>Z120-AF120</f>
      </c>
      <c r="BE120" s="238">
        <f>IFERROR(AF120/Y120,0)</f>
      </c>
      <c r="BF120" s="214">
        <f>IFERROR(AF120/X120,0)</f>
      </c>
      <c r="BG120" s="214">
        <f>IFERROR((X120/SUM(X$58:X$70)),0)</f>
      </c>
      <c r="BH120" s="214">
        <f>BC120/SUM(BC$3:BC317)</f>
      </c>
      <c r="BI120" s="217">
        <f>BC120/'R&amp;H Portfolio'!Q$10</f>
      </c>
      <c r="BJ120" s="215">
        <f>BF120*P120</f>
      </c>
      <c r="BK120" s="3"/>
      <c r="BL120" s="3"/>
      <c r="BM120" s="3"/>
    </row>
    <row x14ac:dyDescent="0.25" r="121" customHeight="1" ht="15">
      <c r="A121" s="17"/>
      <c r="B121" s="14"/>
      <c r="C121" s="3"/>
      <c r="D121" s="3"/>
      <c r="E121" s="3"/>
      <c r="F121" s="3"/>
      <c r="G121" s="16"/>
      <c r="H121" s="18"/>
      <c r="I121" s="18"/>
      <c r="J121" s="208">
        <f>H121+I121</f>
      </c>
      <c r="K121" s="1"/>
      <c r="L121" s="58">
        <f>K121*I121</f>
      </c>
      <c r="M121" s="58">
        <f>K121*J121</f>
      </c>
      <c r="N121" s="16"/>
      <c r="O121" s="16"/>
      <c r="P121" s="211">
        <f>IF(ISBLANK(N121),O121/4.3,N121/20)</f>
      </c>
      <c r="Q121" s="1"/>
      <c r="R121" s="3"/>
      <c r="S121" s="3"/>
      <c r="T121" s="213">
        <f>IF(ISBLANK(R121),0,X121)</f>
      </c>
      <c r="U121" s="213">
        <f>IF(ISBLANK(S121),0,X121)</f>
      </c>
      <c r="V121" s="214">
        <f>IFERROR(Q121/K121,0)</f>
      </c>
      <c r="W121" s="58">
        <f>IFERROR(L121*V121,0)</f>
      </c>
      <c r="X121" s="213">
        <f>IFERROR(Q121+W121,0)</f>
      </c>
      <c r="Y121" s="213">
        <f>IFERROR(M121*V121,0)</f>
      </c>
      <c r="Z121" s="213">
        <f>Y121-(Y121*$B$1)</f>
      </c>
      <c r="AA121" s="67">
        <f>IFERROR(Z121/X121,"")</f>
      </c>
      <c r="AB121" s="215">
        <f>IFERROR(IF(ISBLANK(N121),Y121/O121,Y121/N121),0)</f>
      </c>
      <c r="AC121" s="215">
        <f>IFERROR(-1*(AB121*B$1),0)</f>
      </c>
      <c r="AD121" s="215">
        <f>IFERROR(SUM(AB121:AC121),0)</f>
      </c>
      <c r="AE121" s="215">
        <f>IF(ISBLANK(N121),AD121,AD121*5)</f>
      </c>
      <c r="AF121" s="216">
        <f>SUM(AG121:BC121)</f>
      </c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8"/>
      <c r="BD121" s="215">
        <f>Z121-AF121</f>
      </c>
      <c r="BE121" s="238">
        <f>IFERROR(AF121/Y121,0)</f>
      </c>
      <c r="BF121" s="214">
        <f>IFERROR(AF121/X121,0)</f>
      </c>
      <c r="BG121" s="214">
        <f>IFERROR((X121/SUM(X$58:X$70)),0)</f>
      </c>
      <c r="BH121" s="214">
        <f>BC121/SUM(BC$3:BC318)</f>
      </c>
      <c r="BI121" s="217">
        <f>BC121/'R&amp;H Portfolio'!Q$10</f>
      </c>
      <c r="BJ121" s="215">
        <f>BF121*P121</f>
      </c>
      <c r="BK121" s="3"/>
      <c r="BL121" s="3"/>
      <c r="BM121" s="3"/>
    </row>
    <row x14ac:dyDescent="0.25" r="122" customHeight="1" ht="15">
      <c r="A122" s="17"/>
      <c r="B122" s="14"/>
      <c r="C122" s="3"/>
      <c r="D122" s="3"/>
      <c r="E122" s="3"/>
      <c r="F122" s="3"/>
      <c r="G122" s="16"/>
      <c r="H122" s="18"/>
      <c r="I122" s="18"/>
      <c r="J122" s="208">
        <f>H122+I122</f>
      </c>
      <c r="K122" s="1"/>
      <c r="L122" s="58">
        <f>K122*I122</f>
      </c>
      <c r="M122" s="58">
        <f>K122*J122</f>
      </c>
      <c r="N122" s="16"/>
      <c r="O122" s="16"/>
      <c r="P122" s="211">
        <f>IF(ISBLANK(N122),O122/4.3,N122/20)</f>
      </c>
      <c r="Q122" s="1"/>
      <c r="R122" s="3"/>
      <c r="S122" s="3"/>
      <c r="T122" s="213">
        <f>IF(ISBLANK(R122),0,X122)</f>
      </c>
      <c r="U122" s="213">
        <f>IF(ISBLANK(S122),0,X122)</f>
      </c>
      <c r="V122" s="214">
        <f>IFERROR(Q122/K122,0)</f>
      </c>
      <c r="W122" s="58">
        <f>IFERROR(L122*V122,0)</f>
      </c>
      <c r="X122" s="213">
        <f>IFERROR(Q122+W122,0)</f>
      </c>
      <c r="Y122" s="213">
        <f>IFERROR(M122*V122,0)</f>
      </c>
      <c r="Z122" s="213">
        <f>Y122-(Y122*$B$1)</f>
      </c>
      <c r="AA122" s="67">
        <f>IFERROR(Z122/X122,"")</f>
      </c>
      <c r="AB122" s="215">
        <f>IFERROR(IF(ISBLANK(N122),Y122/O122,Y122/N122),0)</f>
      </c>
      <c r="AC122" s="215">
        <f>IFERROR(-1*(AB122*B$1),0)</f>
      </c>
      <c r="AD122" s="215">
        <f>IFERROR(SUM(AB122:AC122),0)</f>
      </c>
      <c r="AE122" s="215">
        <f>IF(ISBLANK(N122),AD122,AD122*5)</f>
      </c>
      <c r="AF122" s="216">
        <f>SUM(AG122:BC122)</f>
      </c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8"/>
      <c r="BD122" s="215">
        <f>Z122-AF122</f>
      </c>
      <c r="BE122" s="238">
        <f>IFERROR(AF122/Y122,0)</f>
      </c>
      <c r="BF122" s="214">
        <f>IFERROR(AF122/X122,0)</f>
      </c>
      <c r="BG122" s="214">
        <f>IFERROR((X122/SUM(X$58:X$70)),0)</f>
      </c>
      <c r="BH122" s="214">
        <f>BC122/SUM(BC$3:BC319)</f>
      </c>
      <c r="BI122" s="217">
        <f>BC122/'R&amp;H Portfolio'!Q$10</f>
      </c>
      <c r="BJ122" s="215">
        <f>BF122*P122</f>
      </c>
      <c r="BK122" s="3"/>
      <c r="BL122" s="3"/>
      <c r="BM122" s="3"/>
    </row>
    <row x14ac:dyDescent="0.25" r="123" customHeight="1" ht="15">
      <c r="A123" s="17"/>
      <c r="B123" s="14"/>
      <c r="C123" s="3"/>
      <c r="D123" s="3"/>
      <c r="E123" s="3"/>
      <c r="F123" s="3"/>
      <c r="G123" s="16"/>
      <c r="H123" s="18"/>
      <c r="I123" s="18"/>
      <c r="J123" s="208">
        <f>H123+I123</f>
      </c>
      <c r="K123" s="1"/>
      <c r="L123" s="58">
        <f>K123*I123</f>
      </c>
      <c r="M123" s="58">
        <f>K123*J123</f>
      </c>
      <c r="N123" s="16"/>
      <c r="O123" s="16"/>
      <c r="P123" s="211">
        <f>IF(ISBLANK(N123),O123/4.3,N123/20)</f>
      </c>
      <c r="Q123" s="1"/>
      <c r="R123" s="3"/>
      <c r="S123" s="3"/>
      <c r="T123" s="213">
        <f>IF(ISBLANK(R123),0,X123)</f>
      </c>
      <c r="U123" s="213">
        <f>IF(ISBLANK(S123),0,X123)</f>
      </c>
      <c r="V123" s="214">
        <f>IFERROR(Q123/K123,0)</f>
      </c>
      <c r="W123" s="58">
        <f>IFERROR(L123*V123,0)</f>
      </c>
      <c r="X123" s="213">
        <f>IFERROR(Q123+W123,0)</f>
      </c>
      <c r="Y123" s="213">
        <f>IFERROR(M123*V123,0)</f>
      </c>
      <c r="Z123" s="213">
        <f>Y123-(Y123*$B$1)</f>
      </c>
      <c r="AA123" s="67">
        <f>IFERROR(Z123/X123,"")</f>
      </c>
      <c r="AB123" s="215">
        <f>IFERROR(IF(ISBLANK(N123),Y123/O123,Y123/N123),0)</f>
      </c>
      <c r="AC123" s="215">
        <f>IFERROR(-1*(AB123*B$1),0)</f>
      </c>
      <c r="AD123" s="215">
        <f>IFERROR(SUM(AB123:AC123),0)</f>
      </c>
      <c r="AE123" s="215">
        <f>IF(ISBLANK(N123),AD123,AD123*5)</f>
      </c>
      <c r="AF123" s="216">
        <f>SUM(AG123:BC123)</f>
      </c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8"/>
      <c r="BD123" s="215">
        <f>Z123-AF123</f>
      </c>
      <c r="BE123" s="238">
        <f>IFERROR(AF123/Y123,0)</f>
      </c>
      <c r="BF123" s="214">
        <f>IFERROR(AF123/X123,0)</f>
      </c>
      <c r="BG123" s="214">
        <f>IFERROR((X123/SUM(X$58:X$70)),0)</f>
      </c>
      <c r="BH123" s="214">
        <f>BC123/SUM(BC$3:BC320)</f>
      </c>
      <c r="BI123" s="217">
        <f>BC123/'R&amp;H Portfolio'!Q$10</f>
      </c>
      <c r="BJ123" s="215">
        <f>BF123*P123</f>
      </c>
      <c r="BK123" s="3"/>
      <c r="BL123" s="3"/>
      <c r="BM123" s="3"/>
    </row>
    <row x14ac:dyDescent="0.25" r="124" customHeight="1" ht="15">
      <c r="A124" s="17"/>
      <c r="B124" s="14"/>
      <c r="C124" s="3"/>
      <c r="D124" s="3"/>
      <c r="E124" s="3"/>
      <c r="F124" s="3"/>
      <c r="G124" s="16"/>
      <c r="H124" s="18"/>
      <c r="I124" s="18"/>
      <c r="J124" s="208">
        <f>H124+I124</f>
      </c>
      <c r="K124" s="1"/>
      <c r="L124" s="58">
        <f>K124*I124</f>
      </c>
      <c r="M124" s="58">
        <f>K124*J124</f>
      </c>
      <c r="N124" s="16"/>
      <c r="O124" s="16"/>
      <c r="P124" s="211">
        <f>IF(ISBLANK(N124),O124/4.3,N124/20)</f>
      </c>
      <c r="Q124" s="1"/>
      <c r="R124" s="3"/>
      <c r="S124" s="3"/>
      <c r="T124" s="213">
        <f>IF(ISBLANK(R124),0,X124)</f>
      </c>
      <c r="U124" s="213">
        <f>IF(ISBLANK(S124),0,X124)</f>
      </c>
      <c r="V124" s="214">
        <f>IFERROR(Q124/K124,0)</f>
      </c>
      <c r="W124" s="58">
        <f>IFERROR(L124*V124,0)</f>
      </c>
      <c r="X124" s="213">
        <f>IFERROR(Q124+W124,0)</f>
      </c>
      <c r="Y124" s="213">
        <f>IFERROR(M124*V124,0)</f>
      </c>
      <c r="Z124" s="213">
        <f>Y124-(Y124*$B$1)</f>
      </c>
      <c r="AA124" s="67">
        <f>IFERROR(Z124/X124,"")</f>
      </c>
      <c r="AB124" s="215">
        <f>IFERROR(IF(ISBLANK(N124),Y124/O124,Y124/N124),0)</f>
      </c>
      <c r="AC124" s="215">
        <f>IFERROR(-1*(AB124*B$1),0)</f>
      </c>
      <c r="AD124" s="215">
        <f>IFERROR(SUM(AB124:AC124),0)</f>
      </c>
      <c r="AE124" s="215">
        <f>IF(ISBLANK(N124),AD124,AD124*5)</f>
      </c>
      <c r="AF124" s="216">
        <f>SUM(AG124:BC124)</f>
      </c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8"/>
      <c r="BD124" s="215">
        <f>Z124-AF124</f>
      </c>
      <c r="BE124" s="238">
        <f>IFERROR(AF124/Y124,0)</f>
      </c>
      <c r="BF124" s="214">
        <f>IFERROR(AF124/X124,0)</f>
      </c>
      <c r="BG124" s="214">
        <f>IFERROR((X124/SUM(X$58:X$70)),0)</f>
      </c>
      <c r="BH124" s="214">
        <f>BC124/SUM(BC$3:BC321)</f>
      </c>
      <c r="BI124" s="217">
        <f>BC124/'R&amp;H Portfolio'!Q$10</f>
      </c>
      <c r="BJ124" s="215">
        <f>BF124*P124</f>
      </c>
      <c r="BK124" s="3"/>
      <c r="BL124" s="3"/>
      <c r="BM124" s="3"/>
    </row>
    <row x14ac:dyDescent="0.25" r="125" customHeight="1" ht="15">
      <c r="A125" s="17"/>
      <c r="B125" s="14"/>
      <c r="C125" s="3"/>
      <c r="D125" s="3"/>
      <c r="E125" s="3"/>
      <c r="F125" s="3"/>
      <c r="G125" s="16"/>
      <c r="H125" s="18"/>
      <c r="I125" s="18"/>
      <c r="J125" s="208">
        <f>H125+I125</f>
      </c>
      <c r="K125" s="1"/>
      <c r="L125" s="58">
        <f>K125*I125</f>
      </c>
      <c r="M125" s="58">
        <f>K125*J125</f>
      </c>
      <c r="N125" s="16"/>
      <c r="O125" s="16"/>
      <c r="P125" s="211">
        <f>IF(ISBLANK(N125),O125/4.3,N125/20)</f>
      </c>
      <c r="Q125" s="1"/>
      <c r="R125" s="3"/>
      <c r="S125" s="3"/>
      <c r="T125" s="213">
        <f>IF(ISBLANK(R125),0,X125)</f>
      </c>
      <c r="U125" s="213">
        <f>IF(ISBLANK(S125),0,X125)</f>
      </c>
      <c r="V125" s="214">
        <f>IFERROR(Q125/K125,0)</f>
      </c>
      <c r="W125" s="58">
        <f>IFERROR(L125*V125,0)</f>
      </c>
      <c r="X125" s="213">
        <f>IFERROR(Q125+W125,0)</f>
      </c>
      <c r="Y125" s="213">
        <f>IFERROR(M125*V125,0)</f>
      </c>
      <c r="Z125" s="213">
        <f>Y125-(Y125*$B$1)</f>
      </c>
      <c r="AA125" s="67">
        <f>IFERROR(Z125/X125,"")</f>
      </c>
      <c r="AB125" s="215">
        <f>IFERROR(IF(ISBLANK(N125),Y125/O125,Y125/N125),0)</f>
      </c>
      <c r="AC125" s="215">
        <f>IFERROR(-1*(AB125*B$1),0)</f>
      </c>
      <c r="AD125" s="215">
        <f>IFERROR(SUM(AB125:AC125),0)</f>
      </c>
      <c r="AE125" s="215">
        <f>IF(ISBLANK(N125),AD125,AD125*5)</f>
      </c>
      <c r="AF125" s="216">
        <f>SUM(AG125:BC125)</f>
      </c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8"/>
      <c r="BD125" s="215">
        <f>Z125-AF125</f>
      </c>
      <c r="BE125" s="238">
        <f>IFERROR(AF125/Y125,0)</f>
      </c>
      <c r="BF125" s="214">
        <f>IFERROR(AF125/X125,0)</f>
      </c>
      <c r="BG125" s="214">
        <f>IFERROR((X125/SUM(X$58:X$70)),0)</f>
      </c>
      <c r="BH125" s="214">
        <f>BC125/SUM(BC$3:BC322)</f>
      </c>
      <c r="BI125" s="217">
        <f>BC125/'R&amp;H Portfolio'!Q$10</f>
      </c>
      <c r="BJ125" s="215">
        <f>BF125*P125</f>
      </c>
      <c r="BK125" s="3"/>
      <c r="BL125" s="3"/>
      <c r="BM125" s="3"/>
    </row>
    <row x14ac:dyDescent="0.25" r="126" customHeight="1" ht="15">
      <c r="A126" s="17"/>
      <c r="B126" s="14"/>
      <c r="C126" s="3"/>
      <c r="D126" s="3"/>
      <c r="E126" s="3"/>
      <c r="F126" s="3"/>
      <c r="G126" s="16"/>
      <c r="H126" s="18"/>
      <c r="I126" s="18"/>
      <c r="J126" s="208">
        <f>H126+I126</f>
      </c>
      <c r="K126" s="1"/>
      <c r="L126" s="58">
        <f>K126*I126</f>
      </c>
      <c r="M126" s="58">
        <f>K126*J126</f>
      </c>
      <c r="N126" s="16"/>
      <c r="O126" s="16"/>
      <c r="P126" s="211">
        <f>IF(ISBLANK(N126),O126/4.3,N126/20)</f>
      </c>
      <c r="Q126" s="1"/>
      <c r="R126" s="3"/>
      <c r="S126" s="3"/>
      <c r="T126" s="213">
        <f>IF(ISBLANK(R126),0,X126)</f>
      </c>
      <c r="U126" s="213">
        <f>IF(ISBLANK(S126),0,X126)</f>
      </c>
      <c r="V126" s="214">
        <f>IFERROR(Q126/K126,0)</f>
      </c>
      <c r="W126" s="58">
        <f>IFERROR(L126*V126,0)</f>
      </c>
      <c r="X126" s="213">
        <f>IFERROR(Q126+W126,0)</f>
      </c>
      <c r="Y126" s="213">
        <f>IFERROR(M126*V126,0)</f>
      </c>
      <c r="Z126" s="213">
        <f>Y126-(Y126*$B$1)</f>
      </c>
      <c r="AA126" s="67">
        <f>IFERROR(Z126/X126,"")</f>
      </c>
      <c r="AB126" s="215">
        <f>IFERROR(IF(ISBLANK(N126),Y126/O126,Y126/N126),0)</f>
      </c>
      <c r="AC126" s="215">
        <f>IFERROR(-1*(AB126*B$1),0)</f>
      </c>
      <c r="AD126" s="215">
        <f>IFERROR(SUM(AB126:AC126),0)</f>
      </c>
      <c r="AE126" s="215">
        <f>IF(ISBLANK(N126),AD126,AD126*5)</f>
      </c>
      <c r="AF126" s="216">
        <f>SUM(AG126:BC126)</f>
      </c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8"/>
      <c r="BD126" s="215">
        <f>Z126-AF126</f>
      </c>
      <c r="BE126" s="238">
        <f>IFERROR(AF126/Y126,0)</f>
      </c>
      <c r="BF126" s="214">
        <f>IFERROR(AF126/X126,0)</f>
      </c>
      <c r="BG126" s="214">
        <f>IFERROR((X126/SUM(X$58:X$70)),0)</f>
      </c>
      <c r="BH126" s="214">
        <f>BC126/SUM(BC$3:BC323)</f>
      </c>
      <c r="BI126" s="217">
        <f>BC126/'R&amp;H Portfolio'!Q$10</f>
      </c>
      <c r="BJ126" s="215">
        <f>BF126*P126</f>
      </c>
      <c r="BK126" s="3"/>
      <c r="BL126" s="3"/>
      <c r="BM126" s="3"/>
    </row>
    <row x14ac:dyDescent="0.25" r="127" customHeight="1" ht="15">
      <c r="A127" s="17"/>
      <c r="B127" s="14"/>
      <c r="C127" s="3"/>
      <c r="D127" s="3"/>
      <c r="E127" s="3"/>
      <c r="F127" s="3"/>
      <c r="G127" s="16"/>
      <c r="H127" s="18"/>
      <c r="I127" s="18"/>
      <c r="J127" s="208">
        <f>H127+I127</f>
      </c>
      <c r="K127" s="1"/>
      <c r="L127" s="58">
        <f>K127*I127</f>
      </c>
      <c r="M127" s="58">
        <f>K127*J127</f>
      </c>
      <c r="N127" s="16"/>
      <c r="O127" s="16"/>
      <c r="P127" s="211">
        <f>IF(ISBLANK(N127),O127/4.3,N127/20)</f>
      </c>
      <c r="Q127" s="1"/>
      <c r="R127" s="3"/>
      <c r="S127" s="3"/>
      <c r="T127" s="213">
        <f>IF(ISBLANK(R127),0,X127)</f>
      </c>
      <c r="U127" s="213">
        <f>IF(ISBLANK(S127),0,X127)</f>
      </c>
      <c r="V127" s="214">
        <f>IFERROR(Q127/K127,0)</f>
      </c>
      <c r="W127" s="58">
        <f>IFERROR(L127*V127,0)</f>
      </c>
      <c r="X127" s="213">
        <f>IFERROR(Q127+W127,0)</f>
      </c>
      <c r="Y127" s="213">
        <f>IFERROR(M127*V127,0)</f>
      </c>
      <c r="Z127" s="213">
        <f>Y127-(Y127*$B$1)</f>
      </c>
      <c r="AA127" s="67">
        <f>IFERROR(Z127/X127,"")</f>
      </c>
      <c r="AB127" s="215">
        <f>IFERROR(IF(ISBLANK(N127),Y127/O127,Y127/N127),0)</f>
      </c>
      <c r="AC127" s="215">
        <f>IFERROR(-1*(AB127*B$1),0)</f>
      </c>
      <c r="AD127" s="215">
        <f>IFERROR(SUM(AB127:AC127),0)</f>
      </c>
      <c r="AE127" s="215">
        <f>IF(ISBLANK(N127),AD127,AD127*5)</f>
      </c>
      <c r="AF127" s="216">
        <f>SUM(AG127:BC127)</f>
      </c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8"/>
      <c r="BD127" s="215">
        <f>Z127-AF127</f>
      </c>
      <c r="BE127" s="238">
        <f>IFERROR(AF127/Y127,0)</f>
      </c>
      <c r="BF127" s="214">
        <f>IFERROR(AF127/X127,0)</f>
      </c>
      <c r="BG127" s="214">
        <f>IFERROR((X127/SUM(X$58:X$70)),0)</f>
      </c>
      <c r="BH127" s="214">
        <f>BC127/SUM(BC$3:BC324)</f>
      </c>
      <c r="BI127" s="217">
        <f>BC127/'R&amp;H Portfolio'!Q$10</f>
      </c>
      <c r="BJ127" s="215">
        <f>BF127*P127</f>
      </c>
      <c r="BK127" s="3"/>
      <c r="BL127" s="3"/>
      <c r="BM127" s="3"/>
    </row>
    <row x14ac:dyDescent="0.25" r="128" customHeight="1" ht="15">
      <c r="A128" s="17"/>
      <c r="B128" s="14"/>
      <c r="C128" s="3"/>
      <c r="D128" s="3"/>
      <c r="E128" s="3"/>
      <c r="F128" s="3"/>
      <c r="G128" s="16"/>
      <c r="H128" s="18"/>
      <c r="I128" s="18"/>
      <c r="J128" s="208">
        <f>H128+I128</f>
      </c>
      <c r="K128" s="1"/>
      <c r="L128" s="58">
        <f>K128*I128</f>
      </c>
      <c r="M128" s="58">
        <f>K128*J128</f>
      </c>
      <c r="N128" s="16"/>
      <c r="O128" s="16"/>
      <c r="P128" s="211">
        <f>IF(ISBLANK(N128),O128/4.3,N128/20)</f>
      </c>
      <c r="Q128" s="1"/>
      <c r="R128" s="3"/>
      <c r="S128" s="3"/>
      <c r="T128" s="213">
        <f>IF(ISBLANK(R128),0,X128)</f>
      </c>
      <c r="U128" s="213">
        <f>IF(ISBLANK(S128),0,X128)</f>
      </c>
      <c r="V128" s="214">
        <f>IFERROR(Q128/K128,0)</f>
      </c>
      <c r="W128" s="58">
        <f>IFERROR(L128*V128,0)</f>
      </c>
      <c r="X128" s="213">
        <f>IFERROR(Q128+W128,0)</f>
      </c>
      <c r="Y128" s="213">
        <f>IFERROR(M128*V128,0)</f>
      </c>
      <c r="Z128" s="213">
        <f>Y128-(Y128*$B$1)</f>
      </c>
      <c r="AA128" s="67">
        <f>IFERROR(Z128/X128,"")</f>
      </c>
      <c r="AB128" s="215">
        <f>IFERROR(IF(ISBLANK(N128),Y128/O128,Y128/N128),0)</f>
      </c>
      <c r="AC128" s="215">
        <f>IFERROR(-1*(AB128*B$1),0)</f>
      </c>
      <c r="AD128" s="215">
        <f>IFERROR(SUM(AB128:AC128),0)</f>
      </c>
      <c r="AE128" s="215">
        <f>IF(ISBLANK(N128),AD128,AD128*5)</f>
      </c>
      <c r="AF128" s="216">
        <f>SUM(AG128:BC128)</f>
      </c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8"/>
      <c r="BD128" s="215">
        <f>Z128-AF128</f>
      </c>
      <c r="BE128" s="238">
        <f>IFERROR(AF128/Y128,0)</f>
      </c>
      <c r="BF128" s="214">
        <f>IFERROR(AF128/X128,0)</f>
      </c>
      <c r="BG128" s="214">
        <f>IFERROR((X128/SUM(X$58:X$70)),0)</f>
      </c>
      <c r="BH128" s="214">
        <f>BC128/SUM(BC$3:BC325)</f>
      </c>
      <c r="BI128" s="217">
        <f>BC128/'R&amp;H Portfolio'!Q$10</f>
      </c>
      <c r="BJ128" s="215">
        <f>BF128*P128</f>
      </c>
      <c r="BK128" s="3"/>
      <c r="BL128" s="3"/>
      <c r="BM128" s="3"/>
    </row>
    <row x14ac:dyDescent="0.25" r="129" customHeight="1" ht="15">
      <c r="A129" s="17"/>
      <c r="B129" s="14"/>
      <c r="C129" s="3"/>
      <c r="D129" s="3"/>
      <c r="E129" s="3"/>
      <c r="F129" s="3"/>
      <c r="G129" s="16"/>
      <c r="H129" s="18"/>
      <c r="I129" s="18"/>
      <c r="J129" s="208">
        <f>H129+I129</f>
      </c>
      <c r="K129" s="1"/>
      <c r="L129" s="58">
        <f>K129*I129</f>
      </c>
      <c r="M129" s="58">
        <f>K129*J129</f>
      </c>
      <c r="N129" s="16"/>
      <c r="O129" s="16"/>
      <c r="P129" s="211">
        <f>IF(ISBLANK(N129),O129/4.3,N129/20)</f>
      </c>
      <c r="Q129" s="1"/>
      <c r="R129" s="3"/>
      <c r="S129" s="3"/>
      <c r="T129" s="213">
        <f>IF(ISBLANK(R129),0,X129)</f>
      </c>
      <c r="U129" s="213">
        <f>IF(ISBLANK(S129),0,X129)</f>
      </c>
      <c r="V129" s="214">
        <f>IFERROR(Q129/K129,0)</f>
      </c>
      <c r="W129" s="58">
        <f>IFERROR(L129*V129,0)</f>
      </c>
      <c r="X129" s="213">
        <f>IFERROR(Q129+W129,0)</f>
      </c>
      <c r="Y129" s="213">
        <f>IFERROR(M129*V129,0)</f>
      </c>
      <c r="Z129" s="213">
        <f>Y129-(Y129*$B$1)</f>
      </c>
      <c r="AA129" s="67">
        <f>IFERROR(Z129/X129,"")</f>
      </c>
      <c r="AB129" s="215">
        <f>IFERROR(IF(ISBLANK(N129),Y129/O129,Y129/N129),0)</f>
      </c>
      <c r="AC129" s="215">
        <f>IFERROR(-1*(AB129*B$1),0)</f>
      </c>
      <c r="AD129" s="215">
        <f>IFERROR(SUM(AB129:AC129),0)</f>
      </c>
      <c r="AE129" s="215">
        <f>IF(ISBLANK(N129),AD129,AD129*5)</f>
      </c>
      <c r="AF129" s="216">
        <f>SUM(AG129:BC129)</f>
      </c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8"/>
      <c r="BD129" s="215">
        <f>Z129-AF129</f>
      </c>
      <c r="BE129" s="238">
        <f>IFERROR(AF129/Y129,0)</f>
      </c>
      <c r="BF129" s="214">
        <f>IFERROR(AF129/X129,0)</f>
      </c>
      <c r="BG129" s="214">
        <f>IFERROR((X129/SUM(X$58:X$70)),0)</f>
      </c>
      <c r="BH129" s="214">
        <f>BC129/SUM(BC$3:BC326)</f>
      </c>
      <c r="BI129" s="217">
        <f>BC129/'R&amp;H Portfolio'!Q$10</f>
      </c>
      <c r="BJ129" s="215">
        <f>BF129*P129</f>
      </c>
      <c r="BK129" s="3"/>
      <c r="BL129" s="3"/>
      <c r="BM129" s="3"/>
    </row>
    <row x14ac:dyDescent="0.25" r="130" customHeight="1" ht="15">
      <c r="A130" s="17"/>
      <c r="B130" s="14"/>
      <c r="C130" s="3"/>
      <c r="D130" s="3"/>
      <c r="E130" s="3"/>
      <c r="F130" s="3"/>
      <c r="G130" s="16"/>
      <c r="H130" s="18"/>
      <c r="I130" s="18"/>
      <c r="J130" s="208">
        <f>H130+I130</f>
      </c>
      <c r="K130" s="1"/>
      <c r="L130" s="58">
        <f>K130*I130</f>
      </c>
      <c r="M130" s="58">
        <f>K130*J130</f>
      </c>
      <c r="N130" s="16"/>
      <c r="O130" s="16"/>
      <c r="P130" s="211">
        <f>IF(ISBLANK(N130),O130/4.3,N130/20)</f>
      </c>
      <c r="Q130" s="1"/>
      <c r="R130" s="3"/>
      <c r="S130" s="3"/>
      <c r="T130" s="213">
        <f>IF(ISBLANK(R130),0,X130)</f>
      </c>
      <c r="U130" s="213">
        <f>IF(ISBLANK(S130),0,X130)</f>
      </c>
      <c r="V130" s="214">
        <f>IFERROR(Q130/K130,0)</f>
      </c>
      <c r="W130" s="58">
        <f>IFERROR(L130*V130,0)</f>
      </c>
      <c r="X130" s="213">
        <f>IFERROR(Q130+W130,0)</f>
      </c>
      <c r="Y130" s="213">
        <f>IFERROR(M130*V130,0)</f>
      </c>
      <c r="Z130" s="213">
        <f>Y130-(Y130*$B$1)</f>
      </c>
      <c r="AA130" s="67">
        <f>IFERROR(Z130/X130,"")</f>
      </c>
      <c r="AB130" s="215">
        <f>IFERROR(IF(ISBLANK(N130),Y130/O130,Y130/N130),0)</f>
      </c>
      <c r="AC130" s="215">
        <f>IFERROR(-1*(AB130*B$1),0)</f>
      </c>
      <c r="AD130" s="215">
        <f>IFERROR(SUM(AB130:AC130),0)</f>
      </c>
      <c r="AE130" s="215">
        <f>IF(ISBLANK(N130),AD130,AD130*5)</f>
      </c>
      <c r="AF130" s="216">
        <f>SUM(AG130:BC130)</f>
      </c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8"/>
      <c r="BD130" s="215">
        <f>Z130-AF130</f>
      </c>
      <c r="BE130" s="238">
        <f>IFERROR(AF130/Y130,0)</f>
      </c>
      <c r="BF130" s="214">
        <f>IFERROR(AF130/X130,0)</f>
      </c>
      <c r="BG130" s="214">
        <f>IFERROR((X130/SUM(X$58:X$70)),0)</f>
      </c>
      <c r="BH130" s="214">
        <f>BC130/SUM(BC$3:BC327)</f>
      </c>
      <c r="BI130" s="217">
        <f>BC130/'R&amp;H Portfolio'!Q$10</f>
      </c>
      <c r="BJ130" s="215">
        <f>BF130*P130</f>
      </c>
      <c r="BK130" s="3"/>
      <c r="BL130" s="3"/>
      <c r="BM130" s="3"/>
    </row>
    <row x14ac:dyDescent="0.25" r="131" customHeight="1" ht="15">
      <c r="A131" s="17"/>
      <c r="B131" s="14"/>
      <c r="C131" s="3"/>
      <c r="D131" s="3"/>
      <c r="E131" s="3"/>
      <c r="F131" s="3"/>
      <c r="G131" s="16"/>
      <c r="H131" s="18"/>
      <c r="I131" s="18"/>
      <c r="J131" s="208">
        <f>H131+I131</f>
      </c>
      <c r="K131" s="1"/>
      <c r="L131" s="58">
        <f>K131*I131</f>
      </c>
      <c r="M131" s="58">
        <f>K131*J131</f>
      </c>
      <c r="N131" s="16"/>
      <c r="O131" s="16"/>
      <c r="P131" s="211">
        <f>IF(ISBLANK(N131),O131/4.3,N131/20)</f>
      </c>
      <c r="Q131" s="1"/>
      <c r="R131" s="3"/>
      <c r="S131" s="3"/>
      <c r="T131" s="213">
        <f>IF(ISBLANK(R131),0,X131)</f>
      </c>
      <c r="U131" s="213">
        <f>IF(ISBLANK(S131),0,X131)</f>
      </c>
      <c r="V131" s="214">
        <f>IFERROR(Q131/K131,0)</f>
      </c>
      <c r="W131" s="58">
        <f>IFERROR(L131*V131,0)</f>
      </c>
      <c r="X131" s="213">
        <f>IFERROR(Q131+W131,0)</f>
      </c>
      <c r="Y131" s="213">
        <f>IFERROR(M131*V131,0)</f>
      </c>
      <c r="Z131" s="213">
        <f>Y131-(Y131*$B$1)</f>
      </c>
      <c r="AA131" s="67">
        <f>IFERROR(Z131/X131,"")</f>
      </c>
      <c r="AB131" s="215">
        <f>IFERROR(IF(ISBLANK(N131),Y131/O131,Y131/N131),0)</f>
      </c>
      <c r="AC131" s="215">
        <f>IFERROR(-1*(AB131*B$1),0)</f>
      </c>
      <c r="AD131" s="215">
        <f>IFERROR(SUM(AB131:AC131),0)</f>
      </c>
      <c r="AE131" s="215">
        <f>IF(ISBLANK(N131),AD131,AD131*5)</f>
      </c>
      <c r="AF131" s="216">
        <f>SUM(AG131:BC131)</f>
      </c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8"/>
      <c r="BD131" s="215">
        <f>Z131-AF131</f>
      </c>
      <c r="BE131" s="238">
        <f>IFERROR(AF131/Y131,0)</f>
      </c>
      <c r="BF131" s="214">
        <f>IFERROR(AF131/X131,0)</f>
      </c>
      <c r="BG131" s="214">
        <f>IFERROR((X131/SUM(X$58:X$70)),0)</f>
      </c>
      <c r="BH131" s="214">
        <f>BC131/SUM(BC$3:BC328)</f>
      </c>
      <c r="BI131" s="217">
        <f>BC131/'R&amp;H Portfolio'!Q$10</f>
      </c>
      <c r="BJ131" s="215">
        <f>BF131*P131</f>
      </c>
      <c r="BK131" s="3"/>
      <c r="BL131" s="3"/>
      <c r="BM131" s="3"/>
    </row>
    <row x14ac:dyDescent="0.25" r="132" customHeight="1" ht="15">
      <c r="A132" s="17"/>
      <c r="B132" s="14"/>
      <c r="C132" s="3"/>
      <c r="D132" s="3"/>
      <c r="E132" s="3"/>
      <c r="F132" s="3"/>
      <c r="G132" s="16"/>
      <c r="H132" s="18"/>
      <c r="I132" s="18"/>
      <c r="J132" s="208">
        <f>H132+I132</f>
      </c>
      <c r="K132" s="1"/>
      <c r="L132" s="58">
        <f>K132*I132</f>
      </c>
      <c r="M132" s="58">
        <f>K132*J132</f>
      </c>
      <c r="N132" s="16"/>
      <c r="O132" s="16"/>
      <c r="P132" s="211">
        <f>IF(ISBLANK(N132),O132/4.3,N132/20)</f>
      </c>
      <c r="Q132" s="1"/>
      <c r="R132" s="3"/>
      <c r="S132" s="3"/>
      <c r="T132" s="213">
        <f>IF(ISBLANK(R132),0,X132)</f>
      </c>
      <c r="U132" s="213">
        <f>IF(ISBLANK(S132),0,X132)</f>
      </c>
      <c r="V132" s="214">
        <f>IFERROR(Q132/K132,0)</f>
      </c>
      <c r="W132" s="58">
        <f>IFERROR(L132*V132,0)</f>
      </c>
      <c r="X132" s="213">
        <f>IFERROR(Q132+W132,0)</f>
      </c>
      <c r="Y132" s="213">
        <f>IFERROR(M132*V132,0)</f>
      </c>
      <c r="Z132" s="213">
        <f>Y132-(Y132*$B$1)</f>
      </c>
      <c r="AA132" s="67">
        <f>IFERROR(Z132/X132,"")</f>
      </c>
      <c r="AB132" s="215">
        <f>IFERROR(IF(ISBLANK(N132),Y132/O132,Y132/N132),0)</f>
      </c>
      <c r="AC132" s="215">
        <f>IFERROR(-1*(AB132*B$1),0)</f>
      </c>
      <c r="AD132" s="215">
        <f>IFERROR(SUM(AB132:AC132),0)</f>
      </c>
      <c r="AE132" s="215">
        <f>IF(ISBLANK(N132),AD132,AD132*5)</f>
      </c>
      <c r="AF132" s="216">
        <f>SUM(AG132:BC132)</f>
      </c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8"/>
      <c r="BD132" s="215">
        <f>Z132-AF132</f>
      </c>
      <c r="BE132" s="238">
        <f>IFERROR(AF132/Y132,0)</f>
      </c>
      <c r="BF132" s="214">
        <f>IFERROR(AF132/X132,0)</f>
      </c>
      <c r="BG132" s="214">
        <f>IFERROR((X132/SUM(X$58:X$70)),0)</f>
      </c>
      <c r="BH132" s="214">
        <f>BC132/SUM(BC$3:BC329)</f>
      </c>
      <c r="BI132" s="217">
        <f>BC132/'R&amp;H Portfolio'!Q$10</f>
      </c>
      <c r="BJ132" s="215">
        <f>BF132*P132</f>
      </c>
      <c r="BK132" s="3"/>
      <c r="BL132" s="3"/>
      <c r="BM132" s="3"/>
    </row>
    <row x14ac:dyDescent="0.25" r="133" customHeight="1" ht="15">
      <c r="A133" s="17"/>
      <c r="B133" s="14"/>
      <c r="C133" s="3"/>
      <c r="D133" s="3"/>
      <c r="E133" s="3"/>
      <c r="F133" s="3"/>
      <c r="G133" s="16"/>
      <c r="H133" s="18"/>
      <c r="I133" s="18"/>
      <c r="J133" s="208">
        <f>H133+I133</f>
      </c>
      <c r="K133" s="1"/>
      <c r="L133" s="58">
        <f>K133*I133</f>
      </c>
      <c r="M133" s="58">
        <f>K133*J133</f>
      </c>
      <c r="N133" s="16"/>
      <c r="O133" s="16"/>
      <c r="P133" s="211">
        <f>IF(ISBLANK(N133),O133/4.3,N133/20)</f>
      </c>
      <c r="Q133" s="1"/>
      <c r="R133" s="3"/>
      <c r="S133" s="3"/>
      <c r="T133" s="213">
        <f>IF(ISBLANK(R133),0,X133)</f>
      </c>
      <c r="U133" s="213">
        <f>IF(ISBLANK(S133),0,X133)</f>
      </c>
      <c r="V133" s="214">
        <f>IFERROR(Q133/K133,0)</f>
      </c>
      <c r="W133" s="58">
        <f>IFERROR(L133*V133,0)</f>
      </c>
      <c r="X133" s="213">
        <f>IFERROR(Q133+W133,0)</f>
      </c>
      <c r="Y133" s="213">
        <f>IFERROR(M133*V133,0)</f>
      </c>
      <c r="Z133" s="213">
        <f>Y133-(Y133*$B$1)</f>
      </c>
      <c r="AA133" s="67">
        <f>IFERROR(Z133/X133,"")</f>
      </c>
      <c r="AB133" s="215">
        <f>IFERROR(IF(ISBLANK(N133),Y133/O133,Y133/N133),0)</f>
      </c>
      <c r="AC133" s="215">
        <f>IFERROR(-1*(AB133*B$1),0)</f>
      </c>
      <c r="AD133" s="215">
        <f>IFERROR(SUM(AB133:AC133),0)</f>
      </c>
      <c r="AE133" s="215">
        <f>IF(ISBLANK(N133),AD133,AD133*5)</f>
      </c>
      <c r="AF133" s="216">
        <f>SUM(AG133:BC133)</f>
      </c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8"/>
      <c r="BD133" s="215">
        <f>Z133-AF133</f>
      </c>
      <c r="BE133" s="238">
        <f>IFERROR(AF133/Y133,0)</f>
      </c>
      <c r="BF133" s="214">
        <f>IFERROR(AF133/X133,0)</f>
      </c>
      <c r="BG133" s="214">
        <f>IFERROR((X133/SUM(X$58:X$70)),0)</f>
      </c>
      <c r="BH133" s="214">
        <f>BC133/SUM(BC$3:BC330)</f>
      </c>
      <c r="BI133" s="217">
        <f>BC133/'R&amp;H Portfolio'!Q$10</f>
      </c>
      <c r="BJ133" s="215">
        <f>BF133*P133</f>
      </c>
      <c r="BK133" s="3"/>
      <c r="BL133" s="3"/>
      <c r="BM133" s="3"/>
    </row>
    <row x14ac:dyDescent="0.25" r="134" customHeight="1" ht="15">
      <c r="A134" s="17"/>
      <c r="B134" s="14"/>
      <c r="C134" s="3"/>
      <c r="D134" s="3"/>
      <c r="E134" s="3"/>
      <c r="F134" s="3"/>
      <c r="G134" s="16"/>
      <c r="H134" s="18"/>
      <c r="I134" s="18"/>
      <c r="J134" s="208">
        <f>H134+I134</f>
      </c>
      <c r="K134" s="1"/>
      <c r="L134" s="58">
        <f>K134*I134</f>
      </c>
      <c r="M134" s="58">
        <f>K134*J134</f>
      </c>
      <c r="N134" s="16"/>
      <c r="O134" s="16"/>
      <c r="P134" s="211">
        <f>IF(ISBLANK(N134),O134/4.3,N134/20)</f>
      </c>
      <c r="Q134" s="1"/>
      <c r="R134" s="3"/>
      <c r="S134" s="3"/>
      <c r="T134" s="213">
        <f>IF(ISBLANK(R134),0,X134)</f>
      </c>
      <c r="U134" s="213">
        <f>IF(ISBLANK(S134),0,X134)</f>
      </c>
      <c r="V134" s="214">
        <f>IFERROR(Q134/K134,0)</f>
      </c>
      <c r="W134" s="58">
        <f>IFERROR(L134*V134,0)</f>
      </c>
      <c r="X134" s="213">
        <f>IFERROR(Q134+W134,0)</f>
      </c>
      <c r="Y134" s="213">
        <f>IFERROR(M134*V134,0)</f>
      </c>
      <c r="Z134" s="213">
        <f>Y134-(Y134*$B$1)</f>
      </c>
      <c r="AA134" s="67">
        <f>IFERROR(Z134/X134,"")</f>
      </c>
      <c r="AB134" s="215">
        <f>IFERROR(IF(ISBLANK(N134),Y134/O134,Y134/N134),0)</f>
      </c>
      <c r="AC134" s="215">
        <f>IFERROR(-1*(AB134*B$1),0)</f>
      </c>
      <c r="AD134" s="215">
        <f>IFERROR(SUM(AB134:AC134),0)</f>
      </c>
      <c r="AE134" s="215">
        <f>IF(ISBLANK(N134),AD134,AD134*5)</f>
      </c>
      <c r="AF134" s="216">
        <f>SUM(AG134:BC134)</f>
      </c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8"/>
      <c r="BD134" s="215">
        <f>Z134-AF134</f>
      </c>
      <c r="BE134" s="238">
        <f>IFERROR(AF134/Y134,0)</f>
      </c>
      <c r="BF134" s="214">
        <f>IFERROR(AF134/X134,0)</f>
      </c>
      <c r="BG134" s="214">
        <f>IFERROR((X134/SUM(X$58:X$70)),0)</f>
      </c>
      <c r="BH134" s="214">
        <f>BC134/SUM(BC$3:BC331)</f>
      </c>
      <c r="BI134" s="217">
        <f>BC134/'R&amp;H Portfolio'!Q$10</f>
      </c>
      <c r="BJ134" s="215">
        <f>BF134*P134</f>
      </c>
      <c r="BK134" s="3"/>
      <c r="BL134" s="3"/>
      <c r="BM134" s="3"/>
    </row>
    <row x14ac:dyDescent="0.25" r="135" customHeight="1" ht="15">
      <c r="A135" s="17"/>
      <c r="B135" s="14"/>
      <c r="C135" s="3"/>
      <c r="D135" s="3"/>
      <c r="E135" s="3"/>
      <c r="F135" s="3"/>
      <c r="G135" s="16"/>
      <c r="H135" s="18"/>
      <c r="I135" s="18"/>
      <c r="J135" s="208">
        <f>H135+I135</f>
      </c>
      <c r="K135" s="1"/>
      <c r="L135" s="58">
        <f>K135*I135</f>
      </c>
      <c r="M135" s="58">
        <f>K135*J135</f>
      </c>
      <c r="N135" s="16"/>
      <c r="O135" s="16"/>
      <c r="P135" s="211">
        <f>IF(ISBLANK(N135),O135/4.3,N135/20)</f>
      </c>
      <c r="Q135" s="1"/>
      <c r="R135" s="3"/>
      <c r="S135" s="3"/>
      <c r="T135" s="213">
        <f>IF(ISBLANK(R135),0,X135)</f>
      </c>
      <c r="U135" s="213">
        <f>IF(ISBLANK(S135),0,X135)</f>
      </c>
      <c r="V135" s="214">
        <f>IFERROR(Q135/K135,0)</f>
      </c>
      <c r="W135" s="58">
        <f>IFERROR(L135*V135,0)</f>
      </c>
      <c r="X135" s="213">
        <f>IFERROR(Q135+W135,0)</f>
      </c>
      <c r="Y135" s="213">
        <f>IFERROR(M135*V135,0)</f>
      </c>
      <c r="Z135" s="213">
        <f>Y135-(Y135*$B$1)</f>
      </c>
      <c r="AA135" s="67">
        <f>IFERROR(Z135/X135,"")</f>
      </c>
      <c r="AB135" s="215">
        <f>IFERROR(IF(ISBLANK(N135),Y135/O135,Y135/N135),0)</f>
      </c>
      <c r="AC135" s="215">
        <f>IFERROR(-1*(AB135*B$1),0)</f>
      </c>
      <c r="AD135" s="215">
        <f>IFERROR(SUM(AB135:AC135),0)</f>
      </c>
      <c r="AE135" s="215">
        <f>IF(ISBLANK(N135),AD135,AD135*5)</f>
      </c>
      <c r="AF135" s="216">
        <f>SUM(AG135:BC135)</f>
      </c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8"/>
      <c r="BD135" s="215">
        <f>Z135-AF135</f>
      </c>
      <c r="BE135" s="238">
        <f>IFERROR(AF135/Y135,0)</f>
      </c>
      <c r="BF135" s="214">
        <f>IFERROR(AF135/X135,0)</f>
      </c>
      <c r="BG135" s="214">
        <f>IFERROR((X135/SUM(X$58:X$70)),0)</f>
      </c>
      <c r="BH135" s="214">
        <f>BC135/SUM(BC$3:BC332)</f>
      </c>
      <c r="BI135" s="217">
        <f>BC135/'R&amp;H Portfolio'!Q$10</f>
      </c>
      <c r="BJ135" s="215">
        <f>BF135*P135</f>
      </c>
      <c r="BK135" s="3"/>
      <c r="BL135" s="3"/>
      <c r="BM135" s="3"/>
    </row>
    <row x14ac:dyDescent="0.25" r="136" customHeight="1" ht="15">
      <c r="A136" s="17"/>
      <c r="B136" s="14"/>
      <c r="C136" s="3"/>
      <c r="D136" s="3"/>
      <c r="E136" s="3"/>
      <c r="F136" s="3"/>
      <c r="G136" s="16"/>
      <c r="H136" s="18"/>
      <c r="I136" s="18"/>
      <c r="J136" s="208">
        <f>H136+I136</f>
      </c>
      <c r="K136" s="1"/>
      <c r="L136" s="58">
        <f>K136*I136</f>
      </c>
      <c r="M136" s="58">
        <f>K136*J136</f>
      </c>
      <c r="N136" s="16"/>
      <c r="O136" s="16"/>
      <c r="P136" s="211">
        <f>IF(ISBLANK(N136),O136/4.3,N136/20)</f>
      </c>
      <c r="Q136" s="1"/>
      <c r="R136" s="3"/>
      <c r="S136" s="3"/>
      <c r="T136" s="213">
        <f>IF(ISBLANK(R136),0,X136)</f>
      </c>
      <c r="U136" s="213">
        <f>IF(ISBLANK(S136),0,X136)</f>
      </c>
      <c r="V136" s="214">
        <f>IFERROR(Q136/K136,0)</f>
      </c>
      <c r="W136" s="58">
        <f>IFERROR(L136*V136,0)</f>
      </c>
      <c r="X136" s="213">
        <f>IFERROR(Q136+W136,0)</f>
      </c>
      <c r="Y136" s="213">
        <f>IFERROR(M136*V136,0)</f>
      </c>
      <c r="Z136" s="213">
        <f>Y136-(Y136*$B$1)</f>
      </c>
      <c r="AA136" s="67">
        <f>IFERROR(Z136/X136,"")</f>
      </c>
      <c r="AB136" s="215">
        <f>IFERROR(IF(ISBLANK(N136),Y136/O136,Y136/N136),0)</f>
      </c>
      <c r="AC136" s="215">
        <f>IFERROR(-1*(AB136*B$1),0)</f>
      </c>
      <c r="AD136" s="215">
        <f>IFERROR(SUM(AB136:AC136),0)</f>
      </c>
      <c r="AE136" s="215">
        <f>IF(ISBLANK(N136),AD136,AD136*5)</f>
      </c>
      <c r="AF136" s="216">
        <f>SUM(AG136:BC136)</f>
      </c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8"/>
      <c r="BD136" s="215">
        <f>Z136-AF136</f>
      </c>
      <c r="BE136" s="238">
        <f>IFERROR(AF136/Y136,0)</f>
      </c>
      <c r="BF136" s="214">
        <f>IFERROR(AF136/X136,0)</f>
      </c>
      <c r="BG136" s="214">
        <f>IFERROR((X136/SUM(X$58:X$70)),0)</f>
      </c>
      <c r="BH136" s="214">
        <f>BC136/SUM(BC$3:BC333)</f>
      </c>
      <c r="BI136" s="217">
        <f>BC136/'R&amp;H Portfolio'!Q$10</f>
      </c>
      <c r="BJ136" s="215">
        <f>BF136*P136</f>
      </c>
      <c r="BK136" s="3"/>
      <c r="BL136" s="3"/>
      <c r="BM136" s="3"/>
    </row>
    <row x14ac:dyDescent="0.25" r="137" customHeight="1" ht="15">
      <c r="A137" s="17"/>
      <c r="B137" s="14"/>
      <c r="C137" s="3"/>
      <c r="D137" s="3"/>
      <c r="E137" s="3"/>
      <c r="F137" s="3"/>
      <c r="G137" s="16"/>
      <c r="H137" s="18"/>
      <c r="I137" s="18"/>
      <c r="J137" s="208">
        <f>H137+I137</f>
      </c>
      <c r="K137" s="1"/>
      <c r="L137" s="58">
        <f>K137*I137</f>
      </c>
      <c r="M137" s="58">
        <f>K137*J137</f>
      </c>
      <c r="N137" s="16"/>
      <c r="O137" s="16"/>
      <c r="P137" s="211">
        <f>IF(ISBLANK(N137),O137/4.3,N137/20)</f>
      </c>
      <c r="Q137" s="1"/>
      <c r="R137" s="3"/>
      <c r="S137" s="3"/>
      <c r="T137" s="213">
        <f>IF(ISBLANK(R137),0,X137)</f>
      </c>
      <c r="U137" s="213">
        <f>IF(ISBLANK(S137),0,X137)</f>
      </c>
      <c r="V137" s="214">
        <f>IFERROR(Q137/K137,0)</f>
      </c>
      <c r="W137" s="58">
        <f>IFERROR(L137*V137,0)</f>
      </c>
      <c r="X137" s="213">
        <f>IFERROR(Q137+W137,0)</f>
      </c>
      <c r="Y137" s="213">
        <f>IFERROR(M137*V137,0)</f>
      </c>
      <c r="Z137" s="213">
        <f>Y137-(Y137*$B$1)</f>
      </c>
      <c r="AA137" s="67">
        <f>IFERROR(Z137/X137,"")</f>
      </c>
      <c r="AB137" s="215">
        <f>IFERROR(IF(ISBLANK(N137),Y137/O137,Y137/N137),0)</f>
      </c>
      <c r="AC137" s="215">
        <f>IFERROR(-1*(AB137*B$1),0)</f>
      </c>
      <c r="AD137" s="215">
        <f>IFERROR(SUM(AB137:AC137),0)</f>
      </c>
      <c r="AE137" s="215">
        <f>IF(ISBLANK(N137),AD137,AD137*5)</f>
      </c>
      <c r="AF137" s="216">
        <f>SUM(AG137:BC137)</f>
      </c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8"/>
      <c r="BD137" s="215">
        <f>Z137-AF137</f>
      </c>
      <c r="BE137" s="238">
        <f>IFERROR(AF137/Y137,0)</f>
      </c>
      <c r="BF137" s="214">
        <f>IFERROR(AF137/X137,0)</f>
      </c>
      <c r="BG137" s="214">
        <f>IFERROR((X137/SUM(X$58:X$70)),0)</f>
      </c>
      <c r="BH137" s="214">
        <f>BC137/SUM(BC$3:BC334)</f>
      </c>
      <c r="BI137" s="217">
        <f>BC137/'R&amp;H Portfolio'!Q$10</f>
      </c>
      <c r="BJ137" s="215">
        <f>BF137*P137</f>
      </c>
      <c r="BK137" s="3"/>
      <c r="BL137" s="3"/>
      <c r="BM137" s="3"/>
    </row>
    <row x14ac:dyDescent="0.25" r="138" customHeight="1" ht="15">
      <c r="A138" s="17"/>
      <c r="B138" s="14"/>
      <c r="C138" s="3"/>
      <c r="D138" s="3"/>
      <c r="E138" s="3"/>
      <c r="F138" s="3"/>
      <c r="G138" s="16"/>
      <c r="H138" s="18"/>
      <c r="I138" s="18"/>
      <c r="J138" s="208">
        <f>H138+I138</f>
      </c>
      <c r="K138" s="1"/>
      <c r="L138" s="58">
        <f>K138*I138</f>
      </c>
      <c r="M138" s="58">
        <f>K138*J138</f>
      </c>
      <c r="N138" s="16"/>
      <c r="O138" s="16"/>
      <c r="P138" s="211">
        <f>IF(ISBLANK(N138),O138/4.3,N138/20)</f>
      </c>
      <c r="Q138" s="1"/>
      <c r="R138" s="3"/>
      <c r="S138" s="3"/>
      <c r="T138" s="213">
        <f>IF(ISBLANK(R138),0,X138)</f>
      </c>
      <c r="U138" s="213">
        <f>IF(ISBLANK(S138),0,X138)</f>
      </c>
      <c r="V138" s="214">
        <f>IFERROR(Q138/K138,0)</f>
      </c>
      <c r="W138" s="58">
        <f>IFERROR(L138*V138,0)</f>
      </c>
      <c r="X138" s="213">
        <f>IFERROR(Q138+W138,0)</f>
      </c>
      <c r="Y138" s="213">
        <f>IFERROR(M138*V138,0)</f>
      </c>
      <c r="Z138" s="213">
        <f>Y138-(Y138*$B$1)</f>
      </c>
      <c r="AA138" s="67">
        <f>IFERROR(Z138/X138,"")</f>
      </c>
      <c r="AB138" s="215">
        <f>IFERROR(IF(ISBLANK(N138),Y138/O138,Y138/N138),0)</f>
      </c>
      <c r="AC138" s="215">
        <f>IFERROR(-1*(AB138*B$1),0)</f>
      </c>
      <c r="AD138" s="215">
        <f>IFERROR(SUM(AB138:AC138),0)</f>
      </c>
      <c r="AE138" s="215">
        <f>IF(ISBLANK(N138),AD138,AD138*5)</f>
      </c>
      <c r="AF138" s="216">
        <f>SUM(AG138:BC138)</f>
      </c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8"/>
      <c r="BD138" s="215">
        <f>Z138-AF138</f>
      </c>
      <c r="BE138" s="238">
        <f>IFERROR(AF138/Y138,0)</f>
      </c>
      <c r="BF138" s="214">
        <f>IFERROR(AF138/X138,0)</f>
      </c>
      <c r="BG138" s="214">
        <f>IFERROR((X138/SUM(X$58:X$70)),0)</f>
      </c>
      <c r="BH138" s="214">
        <f>BC138/SUM(BC$3:BC335)</f>
      </c>
      <c r="BI138" s="217">
        <f>BC138/'R&amp;H Portfolio'!Q$10</f>
      </c>
      <c r="BJ138" s="215">
        <f>BF138*P138</f>
      </c>
      <c r="BK138" s="3"/>
      <c r="BL138" s="3"/>
      <c r="BM138" s="3"/>
    </row>
    <row x14ac:dyDescent="0.25" r="139" customHeight="1" ht="15">
      <c r="A139" s="17"/>
      <c r="B139" s="14"/>
      <c r="C139" s="3"/>
      <c r="D139" s="3"/>
      <c r="E139" s="3"/>
      <c r="F139" s="3"/>
      <c r="G139" s="16"/>
      <c r="H139" s="18"/>
      <c r="I139" s="18"/>
      <c r="J139" s="208">
        <f>H139+I139</f>
      </c>
      <c r="K139" s="1"/>
      <c r="L139" s="58">
        <f>K139*I139</f>
      </c>
      <c r="M139" s="58">
        <f>K139*J139</f>
      </c>
      <c r="N139" s="16"/>
      <c r="O139" s="16"/>
      <c r="P139" s="211">
        <f>IF(ISBLANK(N139),O139/4.3,N139/20)</f>
      </c>
      <c r="Q139" s="1"/>
      <c r="R139" s="3"/>
      <c r="S139" s="3"/>
      <c r="T139" s="213">
        <f>IF(ISBLANK(R139),0,X139)</f>
      </c>
      <c r="U139" s="213">
        <f>IF(ISBLANK(S139),0,X139)</f>
      </c>
      <c r="V139" s="214">
        <f>IFERROR(Q139/K139,0)</f>
      </c>
      <c r="W139" s="58">
        <f>IFERROR(L139*V139,0)</f>
      </c>
      <c r="X139" s="213">
        <f>IFERROR(Q139+W139,0)</f>
      </c>
      <c r="Y139" s="213">
        <f>IFERROR(M139*V139,0)</f>
      </c>
      <c r="Z139" s="213">
        <f>Y139-(Y139*$B$1)</f>
      </c>
      <c r="AA139" s="67">
        <f>IFERROR(Z139/X139,"")</f>
      </c>
      <c r="AB139" s="215">
        <f>IFERROR(IF(ISBLANK(N139),Y139/O139,Y139/N139),0)</f>
      </c>
      <c r="AC139" s="215">
        <f>IFERROR(-1*(AB139*B$1),0)</f>
      </c>
      <c r="AD139" s="215">
        <f>IFERROR(SUM(AB139:AC139),0)</f>
      </c>
      <c r="AE139" s="215">
        <f>IF(ISBLANK(N139),AD139,AD139*5)</f>
      </c>
      <c r="AF139" s="216">
        <f>SUM(AG139:BC139)</f>
      </c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8"/>
      <c r="BD139" s="215">
        <f>Z139-AF139</f>
      </c>
      <c r="BE139" s="238">
        <f>IFERROR(AF139/Y139,0)</f>
      </c>
      <c r="BF139" s="214">
        <f>IFERROR(AF139/X139,0)</f>
      </c>
      <c r="BG139" s="214">
        <f>IFERROR((X139/SUM(X$58:X$70)),0)</f>
      </c>
      <c r="BH139" s="214">
        <f>BC139/SUM(BC$3:BC336)</f>
      </c>
      <c r="BI139" s="217">
        <f>BC139/'R&amp;H Portfolio'!Q$10</f>
      </c>
      <c r="BJ139" s="215">
        <f>BF139*P139</f>
      </c>
      <c r="BK139" s="3"/>
      <c r="BL139" s="3"/>
      <c r="BM139" s="3"/>
    </row>
    <row x14ac:dyDescent="0.25" r="140" customHeight="1" ht="15">
      <c r="A140" s="17"/>
      <c r="B140" s="14"/>
      <c r="C140" s="3"/>
      <c r="D140" s="3"/>
      <c r="E140" s="3"/>
      <c r="F140" s="3"/>
      <c r="G140" s="16"/>
      <c r="H140" s="18"/>
      <c r="I140" s="18"/>
      <c r="J140" s="208">
        <f>H140+I140</f>
      </c>
      <c r="K140" s="1"/>
      <c r="L140" s="58">
        <f>K140*I140</f>
      </c>
      <c r="M140" s="58">
        <f>K140*J140</f>
      </c>
      <c r="N140" s="16"/>
      <c r="O140" s="16"/>
      <c r="P140" s="211">
        <f>IF(ISBLANK(N140),O140/4.3,N140/20)</f>
      </c>
      <c r="Q140" s="1"/>
      <c r="R140" s="3"/>
      <c r="S140" s="3"/>
      <c r="T140" s="213">
        <f>IF(ISBLANK(R140),0,X140)</f>
      </c>
      <c r="U140" s="213">
        <f>IF(ISBLANK(S140),0,X140)</f>
      </c>
      <c r="V140" s="214">
        <f>IFERROR(Q140/K140,0)</f>
      </c>
      <c r="W140" s="58">
        <f>IFERROR(L140*V140,0)</f>
      </c>
      <c r="X140" s="213">
        <f>IFERROR(Q140+W140,0)</f>
      </c>
      <c r="Y140" s="213">
        <f>IFERROR(M140*V140,0)</f>
      </c>
      <c r="Z140" s="213">
        <f>Y140-(Y140*$B$1)</f>
      </c>
      <c r="AA140" s="67">
        <f>IFERROR(Z140/X140,"")</f>
      </c>
      <c r="AB140" s="215">
        <f>IFERROR(IF(ISBLANK(N140),Y140/O140,Y140/N140),0)</f>
      </c>
      <c r="AC140" s="215">
        <f>IFERROR(-1*(AB140*B$1),0)</f>
      </c>
      <c r="AD140" s="215">
        <f>IFERROR(SUM(AB140:AC140),0)</f>
      </c>
      <c r="AE140" s="215">
        <f>IF(ISBLANK(N140),AD140,AD140*5)</f>
      </c>
      <c r="AF140" s="216">
        <f>SUM(AG140:BC140)</f>
      </c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8"/>
      <c r="BD140" s="215">
        <f>Z140-AF140</f>
      </c>
      <c r="BE140" s="238">
        <f>IFERROR(AF140/Y140,0)</f>
      </c>
      <c r="BF140" s="214">
        <f>IFERROR(AF140/X140,0)</f>
      </c>
      <c r="BG140" s="214">
        <f>IFERROR((X140/SUM(X$58:X$70)),0)</f>
      </c>
      <c r="BH140" s="214">
        <f>BC140/SUM(BC$3:BC337)</f>
      </c>
      <c r="BI140" s="217">
        <f>BC140/'R&amp;H Portfolio'!Q$10</f>
      </c>
      <c r="BJ140" s="215">
        <f>BF140*P140</f>
      </c>
      <c r="BK140" s="3"/>
      <c r="BL140" s="3"/>
      <c r="BM140" s="3"/>
    </row>
    <row x14ac:dyDescent="0.25" r="141" customHeight="1" ht="15">
      <c r="A141" s="17"/>
      <c r="B141" s="14"/>
      <c r="C141" s="3"/>
      <c r="D141" s="3"/>
      <c r="E141" s="3"/>
      <c r="F141" s="3"/>
      <c r="G141" s="16"/>
      <c r="H141" s="18"/>
      <c r="I141" s="18"/>
      <c r="J141" s="208">
        <f>H141+I141</f>
      </c>
      <c r="K141" s="1"/>
      <c r="L141" s="58">
        <f>K141*I141</f>
      </c>
      <c r="M141" s="58">
        <f>K141*J141</f>
      </c>
      <c r="N141" s="16"/>
      <c r="O141" s="16"/>
      <c r="P141" s="211">
        <f>IF(ISBLANK(N141),O141/4.3,N141/20)</f>
      </c>
      <c r="Q141" s="1"/>
      <c r="R141" s="3"/>
      <c r="S141" s="3"/>
      <c r="T141" s="213">
        <f>IF(ISBLANK(R141),0,X141)</f>
      </c>
      <c r="U141" s="213">
        <f>IF(ISBLANK(S141),0,X141)</f>
      </c>
      <c r="V141" s="214">
        <f>IFERROR(Q141/K141,0)</f>
      </c>
      <c r="W141" s="58">
        <f>IFERROR(L141*V141,0)</f>
      </c>
      <c r="X141" s="213">
        <f>IFERROR(Q141+W141,0)</f>
      </c>
      <c r="Y141" s="213">
        <f>IFERROR(M141*V141,0)</f>
      </c>
      <c r="Z141" s="213">
        <f>Y141-(Y141*$B$1)</f>
      </c>
      <c r="AA141" s="67">
        <f>IFERROR(Z141/X141,"")</f>
      </c>
      <c r="AB141" s="215">
        <f>IFERROR(IF(ISBLANK(N141),Y141/O141,Y141/N141),0)</f>
      </c>
      <c r="AC141" s="215">
        <f>IFERROR(-1*(AB141*B$1),0)</f>
      </c>
      <c r="AD141" s="215">
        <f>IFERROR(SUM(AB141:AC141),0)</f>
      </c>
      <c r="AE141" s="215">
        <f>IF(ISBLANK(N141),AD141,AD141*5)</f>
      </c>
      <c r="AF141" s="216">
        <f>SUM(AG141:BC141)</f>
      </c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8"/>
      <c r="BD141" s="215">
        <f>Z141-AF141</f>
      </c>
      <c r="BE141" s="238">
        <f>IFERROR(AF141/Y141,0)</f>
      </c>
      <c r="BF141" s="214">
        <f>IFERROR(AF141/X141,0)</f>
      </c>
      <c r="BG141" s="214">
        <f>IFERROR((X141/SUM(X$58:X$70)),0)</f>
      </c>
      <c r="BH141" s="214">
        <f>BC141/SUM(BC$3:BC338)</f>
      </c>
      <c r="BI141" s="217">
        <f>BC141/'R&amp;H Portfolio'!Q$10</f>
      </c>
      <c r="BJ141" s="215">
        <f>BF141*P141</f>
      </c>
      <c r="BK141" s="3"/>
      <c r="BL141" s="3"/>
      <c r="BM141" s="3"/>
    </row>
    <row x14ac:dyDescent="0.25" r="142" customHeight="1" ht="15">
      <c r="A142" s="17"/>
      <c r="B142" s="14"/>
      <c r="C142" s="3"/>
      <c r="D142" s="3"/>
      <c r="E142" s="3"/>
      <c r="F142" s="3"/>
      <c r="G142" s="16"/>
      <c r="H142" s="18"/>
      <c r="I142" s="18"/>
      <c r="J142" s="208">
        <f>H142+I142</f>
      </c>
      <c r="K142" s="1"/>
      <c r="L142" s="58">
        <f>K142*I142</f>
      </c>
      <c r="M142" s="58">
        <f>K142*J142</f>
      </c>
      <c r="N142" s="16"/>
      <c r="O142" s="16"/>
      <c r="P142" s="211">
        <f>IF(ISBLANK(N142),O142/4.3,N142/20)</f>
      </c>
      <c r="Q142" s="1"/>
      <c r="R142" s="3"/>
      <c r="S142" s="3"/>
      <c r="T142" s="213">
        <f>IF(ISBLANK(R142),0,X142)</f>
      </c>
      <c r="U142" s="213">
        <f>IF(ISBLANK(S142),0,X142)</f>
      </c>
      <c r="V142" s="214">
        <f>IFERROR(Q142/K142,0)</f>
      </c>
      <c r="W142" s="58">
        <f>IFERROR(L142*V142,0)</f>
      </c>
      <c r="X142" s="213">
        <f>IFERROR(Q142+W142,0)</f>
      </c>
      <c r="Y142" s="213">
        <f>IFERROR(M142*V142,0)</f>
      </c>
      <c r="Z142" s="213">
        <f>Y142-(Y142*$B$1)</f>
      </c>
      <c r="AA142" s="67">
        <f>IFERROR(Z142/X142,"")</f>
      </c>
      <c r="AB142" s="215">
        <f>IFERROR(IF(ISBLANK(N142),Y142/O142,Y142/N142),0)</f>
      </c>
      <c r="AC142" s="215">
        <f>IFERROR(-1*(AB142*B$1),0)</f>
      </c>
      <c r="AD142" s="215">
        <f>IFERROR(SUM(AB142:AC142),0)</f>
      </c>
      <c r="AE142" s="215">
        <f>IF(ISBLANK(N142),AD142,AD142*5)</f>
      </c>
      <c r="AF142" s="216">
        <f>SUM(AG142:BC142)</f>
      </c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8"/>
      <c r="BD142" s="215">
        <f>Z142-AF142</f>
      </c>
      <c r="BE142" s="238">
        <f>IFERROR(AF142/Y142,0)</f>
      </c>
      <c r="BF142" s="214">
        <f>IFERROR(AF142/X142,0)</f>
      </c>
      <c r="BG142" s="214">
        <f>IFERROR((X142/SUM(X$58:X$70)),0)</f>
      </c>
      <c r="BH142" s="214">
        <f>BC142/SUM(BC$3:BC339)</f>
      </c>
      <c r="BI142" s="217">
        <f>BC142/'R&amp;H Portfolio'!Q$10</f>
      </c>
      <c r="BJ142" s="215">
        <f>BF142*P142</f>
      </c>
      <c r="BK142" s="3"/>
      <c r="BL142" s="3"/>
      <c r="BM142" s="3"/>
    </row>
    <row x14ac:dyDescent="0.25" r="143" customHeight="1" ht="15">
      <c r="A143" s="17"/>
      <c r="B143" s="14"/>
      <c r="C143" s="3"/>
      <c r="D143" s="3"/>
      <c r="E143" s="3"/>
      <c r="F143" s="3"/>
      <c r="G143" s="16"/>
      <c r="H143" s="18"/>
      <c r="I143" s="18"/>
      <c r="J143" s="208">
        <f>H143+I143</f>
      </c>
      <c r="K143" s="1"/>
      <c r="L143" s="58">
        <f>K143*I143</f>
      </c>
      <c r="M143" s="58">
        <f>K143*J143</f>
      </c>
      <c r="N143" s="16"/>
      <c r="O143" s="16"/>
      <c r="P143" s="211">
        <f>IF(ISBLANK(N143),O143/4.3,N143/20)</f>
      </c>
      <c r="Q143" s="1"/>
      <c r="R143" s="3"/>
      <c r="S143" s="3"/>
      <c r="T143" s="213">
        <f>IF(ISBLANK(R143),0,X143)</f>
      </c>
      <c r="U143" s="213">
        <f>IF(ISBLANK(S143),0,X143)</f>
      </c>
      <c r="V143" s="214">
        <f>IFERROR(Q143/K143,0)</f>
      </c>
      <c r="W143" s="58">
        <f>IFERROR(L143*V143,0)</f>
      </c>
      <c r="X143" s="213">
        <f>IFERROR(Q143+W143,0)</f>
      </c>
      <c r="Y143" s="213">
        <f>IFERROR(M143*V143,0)</f>
      </c>
      <c r="Z143" s="213">
        <f>Y143-(Y143*$B$1)</f>
      </c>
      <c r="AA143" s="67">
        <f>IFERROR(Z143/X143,"")</f>
      </c>
      <c r="AB143" s="215">
        <f>IFERROR(IF(ISBLANK(N143),Y143/O143,Y143/N143),0)</f>
      </c>
      <c r="AC143" s="215">
        <f>IFERROR(-1*(AB143*B$1),0)</f>
      </c>
      <c r="AD143" s="215">
        <f>IFERROR(SUM(AB143:AC143),0)</f>
      </c>
      <c r="AE143" s="215">
        <f>IF(ISBLANK(N143),AD143,AD143*5)</f>
      </c>
      <c r="AF143" s="216">
        <f>SUM(AG143:BC143)</f>
      </c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8"/>
      <c r="BD143" s="215">
        <f>Z143-AF143</f>
      </c>
      <c r="BE143" s="238">
        <f>IFERROR(AF143/Y143,0)</f>
      </c>
      <c r="BF143" s="214">
        <f>IFERROR(AF143/X143,0)</f>
      </c>
      <c r="BG143" s="214">
        <f>IFERROR((X143/SUM(X$58:X$70)),0)</f>
      </c>
      <c r="BH143" s="214">
        <f>BC143/SUM(BC$3:BC340)</f>
      </c>
      <c r="BI143" s="217">
        <f>BC143/'R&amp;H Portfolio'!Q$10</f>
      </c>
      <c r="BJ143" s="215">
        <f>BF143*P143</f>
      </c>
      <c r="BK143" s="3"/>
      <c r="BL143" s="3"/>
      <c r="BM143" s="3"/>
    </row>
    <row x14ac:dyDescent="0.25" r="144" customHeight="1" ht="15">
      <c r="A144" s="17"/>
      <c r="B144" s="14"/>
      <c r="C144" s="3"/>
      <c r="D144" s="3"/>
      <c r="E144" s="3"/>
      <c r="F144" s="3"/>
      <c r="G144" s="16"/>
      <c r="H144" s="18"/>
      <c r="I144" s="18"/>
      <c r="J144" s="208">
        <f>H144+I144</f>
      </c>
      <c r="K144" s="1"/>
      <c r="L144" s="58">
        <f>K144*I144</f>
      </c>
      <c r="M144" s="58">
        <f>K144*J144</f>
      </c>
      <c r="N144" s="16"/>
      <c r="O144" s="16"/>
      <c r="P144" s="211">
        <f>IF(ISBLANK(N144),O144/4.3,N144/20)</f>
      </c>
      <c r="Q144" s="1"/>
      <c r="R144" s="3"/>
      <c r="S144" s="3"/>
      <c r="T144" s="213">
        <f>IF(ISBLANK(R144),0,X144)</f>
      </c>
      <c r="U144" s="213">
        <f>IF(ISBLANK(S144),0,X144)</f>
      </c>
      <c r="V144" s="214">
        <f>IFERROR(Q144/K144,0)</f>
      </c>
      <c r="W144" s="58">
        <f>IFERROR(L144*V144,0)</f>
      </c>
      <c r="X144" s="213">
        <f>IFERROR(Q144+W144,0)</f>
      </c>
      <c r="Y144" s="213">
        <f>IFERROR(M144*V144,0)</f>
      </c>
      <c r="Z144" s="213">
        <f>Y144-(Y144*$B$1)</f>
      </c>
      <c r="AA144" s="67">
        <f>IFERROR(Z144/X144,"")</f>
      </c>
      <c r="AB144" s="215">
        <f>IFERROR(IF(ISBLANK(N144),Y144/O144,Y144/N144),0)</f>
      </c>
      <c r="AC144" s="215">
        <f>IFERROR(-1*(AB144*B$1),0)</f>
      </c>
      <c r="AD144" s="215">
        <f>IFERROR(SUM(AB144:AC144),0)</f>
      </c>
      <c r="AE144" s="215">
        <f>IF(ISBLANK(N144),AD144,AD144*5)</f>
      </c>
      <c r="AF144" s="216">
        <f>SUM(AG144:BC144)</f>
      </c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8"/>
      <c r="BD144" s="215">
        <f>Z144-AF144</f>
      </c>
      <c r="BE144" s="238">
        <f>IFERROR(AF144/Y144,0)</f>
      </c>
      <c r="BF144" s="214">
        <f>IFERROR(AF144/X144,0)</f>
      </c>
      <c r="BG144" s="214">
        <f>IFERROR((X144/SUM(X$58:X$70)),0)</f>
      </c>
      <c r="BH144" s="214">
        <f>BC144/SUM(BC$3:BC341)</f>
      </c>
      <c r="BI144" s="217">
        <f>BC144/'R&amp;H Portfolio'!Q$10</f>
      </c>
      <c r="BJ144" s="215">
        <f>BF144*P144</f>
      </c>
      <c r="BK144" s="3"/>
      <c r="BL144" s="3"/>
      <c r="BM144" s="3"/>
    </row>
    <row x14ac:dyDescent="0.25" r="145" customHeight="1" ht="15">
      <c r="A145" s="17"/>
      <c r="B145" s="14"/>
      <c r="C145" s="3"/>
      <c r="D145" s="3"/>
      <c r="E145" s="3"/>
      <c r="F145" s="3"/>
      <c r="G145" s="16"/>
      <c r="H145" s="18"/>
      <c r="I145" s="18"/>
      <c r="J145" s="208">
        <f>H145+I145</f>
      </c>
      <c r="K145" s="1"/>
      <c r="L145" s="58">
        <f>K145*I145</f>
      </c>
      <c r="M145" s="58">
        <f>K145*J145</f>
      </c>
      <c r="N145" s="16"/>
      <c r="O145" s="16"/>
      <c r="P145" s="211">
        <f>IF(ISBLANK(N145),O145/4.3,N145/20)</f>
      </c>
      <c r="Q145" s="1"/>
      <c r="R145" s="3"/>
      <c r="S145" s="3"/>
      <c r="T145" s="213">
        <f>IF(ISBLANK(R145),0,X145)</f>
      </c>
      <c r="U145" s="213">
        <f>IF(ISBLANK(S145),0,X145)</f>
      </c>
      <c r="V145" s="214">
        <f>IFERROR(Q145/K145,0)</f>
      </c>
      <c r="W145" s="58">
        <f>IFERROR(L145*V145,0)</f>
      </c>
      <c r="X145" s="213">
        <f>IFERROR(Q145+W145,0)</f>
      </c>
      <c r="Y145" s="213">
        <f>IFERROR(M145*V145,0)</f>
      </c>
      <c r="Z145" s="213">
        <f>Y145-(Y145*$B$1)</f>
      </c>
      <c r="AA145" s="67">
        <f>IFERROR(Z145/X145,"")</f>
      </c>
      <c r="AB145" s="215">
        <f>IFERROR(IF(ISBLANK(N145),Y145/O145,Y145/N145),0)</f>
      </c>
      <c r="AC145" s="215">
        <f>IFERROR(-1*(AB145*B$1),0)</f>
      </c>
      <c r="AD145" s="215">
        <f>IFERROR(SUM(AB145:AC145),0)</f>
      </c>
      <c r="AE145" s="215">
        <f>IF(ISBLANK(N145),AD145,AD145*5)</f>
      </c>
      <c r="AF145" s="216">
        <f>SUM(AG145:BC145)</f>
      </c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8"/>
      <c r="BD145" s="215">
        <f>Z145-AF145</f>
      </c>
      <c r="BE145" s="238">
        <f>IFERROR(AF145/Y145,0)</f>
      </c>
      <c r="BF145" s="214">
        <f>IFERROR(AF145/X145,0)</f>
      </c>
      <c r="BG145" s="214">
        <f>IFERROR((X145/SUM(X$58:X$70)),0)</f>
      </c>
      <c r="BH145" s="214">
        <f>BC145/SUM(BC$3:BC342)</f>
      </c>
      <c r="BI145" s="217">
        <f>BC145/'R&amp;H Portfolio'!Q$10</f>
      </c>
      <c r="BJ145" s="215">
        <f>BF145*P145</f>
      </c>
      <c r="BK145" s="3"/>
      <c r="BL145" s="3"/>
      <c r="BM145" s="3"/>
    </row>
    <row x14ac:dyDescent="0.25" r="146" customHeight="1" ht="15">
      <c r="A146" s="17"/>
      <c r="B146" s="14"/>
      <c r="C146" s="3"/>
      <c r="D146" s="3"/>
      <c r="E146" s="3"/>
      <c r="F146" s="3"/>
      <c r="G146" s="16"/>
      <c r="H146" s="18"/>
      <c r="I146" s="18"/>
      <c r="J146" s="208">
        <f>H146+I146</f>
      </c>
      <c r="K146" s="1"/>
      <c r="L146" s="58">
        <f>K146*I146</f>
      </c>
      <c r="M146" s="58">
        <f>K146*J146</f>
      </c>
      <c r="N146" s="16"/>
      <c r="O146" s="16"/>
      <c r="P146" s="211">
        <f>IF(ISBLANK(N146),O146/4.3,N146/20)</f>
      </c>
      <c r="Q146" s="1"/>
      <c r="R146" s="3"/>
      <c r="S146" s="3"/>
      <c r="T146" s="213">
        <f>IF(ISBLANK(R146),0,X146)</f>
      </c>
      <c r="U146" s="213">
        <f>IF(ISBLANK(S146),0,X146)</f>
      </c>
      <c r="V146" s="214">
        <f>IFERROR(Q146/K146,0)</f>
      </c>
      <c r="W146" s="58">
        <f>IFERROR(L146*V146,0)</f>
      </c>
      <c r="X146" s="213">
        <f>IFERROR(Q146+W146,0)</f>
      </c>
      <c r="Y146" s="213">
        <f>IFERROR(M146*V146,0)</f>
      </c>
      <c r="Z146" s="213">
        <f>Y146-(Y146*$B$1)</f>
      </c>
      <c r="AA146" s="67">
        <f>IFERROR(Z146/X146,"")</f>
      </c>
      <c r="AB146" s="215">
        <f>IFERROR(IF(ISBLANK(N146),Y146/O146,Y146/N146),0)</f>
      </c>
      <c r="AC146" s="215">
        <f>IFERROR(-1*(AB146*B$1),0)</f>
      </c>
      <c r="AD146" s="215">
        <f>IFERROR(SUM(AB146:AC146),0)</f>
      </c>
      <c r="AE146" s="215">
        <f>IF(ISBLANK(N146),AD146,AD146*5)</f>
      </c>
      <c r="AF146" s="216">
        <f>SUM(AG146:BC146)</f>
      </c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8"/>
      <c r="BD146" s="215">
        <f>Z146-AF146</f>
      </c>
      <c r="BE146" s="238">
        <f>IFERROR(AF146/Y146,0)</f>
      </c>
      <c r="BF146" s="214">
        <f>IFERROR(AF146/X146,0)</f>
      </c>
      <c r="BG146" s="214">
        <f>IFERROR((X146/SUM(X$58:X$70)),0)</f>
      </c>
      <c r="BH146" s="214">
        <f>BC146/SUM(BC$3:BC343)</f>
      </c>
      <c r="BI146" s="217">
        <f>BC146/'R&amp;H Portfolio'!Q$10</f>
      </c>
      <c r="BJ146" s="215">
        <f>BF146*P146</f>
      </c>
      <c r="BK146" s="3"/>
      <c r="BL146" s="3"/>
      <c r="BM146" s="3"/>
    </row>
    <row x14ac:dyDescent="0.25" r="147" customHeight="1" ht="15">
      <c r="A147" s="17"/>
      <c r="B147" s="14"/>
      <c r="C147" s="3"/>
      <c r="D147" s="3"/>
      <c r="E147" s="3"/>
      <c r="F147" s="3"/>
      <c r="G147" s="16"/>
      <c r="H147" s="18"/>
      <c r="I147" s="18"/>
      <c r="J147" s="208">
        <f>H147+I147</f>
      </c>
      <c r="K147" s="1"/>
      <c r="L147" s="58">
        <f>K147*I147</f>
      </c>
      <c r="M147" s="58">
        <f>K147*J147</f>
      </c>
      <c r="N147" s="16"/>
      <c r="O147" s="16"/>
      <c r="P147" s="211">
        <f>IF(ISBLANK(N147),O147/4.3,N147/20)</f>
      </c>
      <c r="Q147" s="1"/>
      <c r="R147" s="3"/>
      <c r="S147" s="3"/>
      <c r="T147" s="213">
        <f>IF(ISBLANK(R147),0,X147)</f>
      </c>
      <c r="U147" s="213">
        <f>IF(ISBLANK(S147),0,X147)</f>
      </c>
      <c r="V147" s="214">
        <f>IFERROR(Q147/K147,0)</f>
      </c>
      <c r="W147" s="58">
        <f>IFERROR(L147*V147,0)</f>
      </c>
      <c r="X147" s="213">
        <f>IFERROR(Q147+W147,0)</f>
      </c>
      <c r="Y147" s="213">
        <f>IFERROR(M147*V147,0)</f>
      </c>
      <c r="Z147" s="213">
        <f>Y147-(Y147*$B$1)</f>
      </c>
      <c r="AA147" s="67">
        <f>IFERROR(Z147/X147,"")</f>
      </c>
      <c r="AB147" s="215">
        <f>IFERROR(IF(ISBLANK(N147),Y147/O147,Y147/N147),0)</f>
      </c>
      <c r="AC147" s="215">
        <f>IFERROR(-1*(AB147*B$1),0)</f>
      </c>
      <c r="AD147" s="215">
        <f>IFERROR(SUM(AB147:AC147),0)</f>
      </c>
      <c r="AE147" s="215">
        <f>IF(ISBLANK(N147),AD147,AD147*5)</f>
      </c>
      <c r="AF147" s="216">
        <f>SUM(AG147:BC147)</f>
      </c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8"/>
      <c r="BD147" s="215">
        <f>Z147-AF147</f>
      </c>
      <c r="BE147" s="238">
        <f>IFERROR(AF147/Y147,0)</f>
      </c>
      <c r="BF147" s="214">
        <f>IFERROR(AF147/X147,0)</f>
      </c>
      <c r="BG147" s="214">
        <f>IFERROR((X147/SUM(X$58:X$70)),0)</f>
      </c>
      <c r="BH147" s="214">
        <f>BC147/SUM(BC$3:BC344)</f>
      </c>
      <c r="BI147" s="217">
        <f>BC147/'R&amp;H Portfolio'!Q$10</f>
      </c>
      <c r="BJ147" s="215">
        <f>BF147*P147</f>
      </c>
      <c r="BK147" s="3"/>
      <c r="BL147" s="3"/>
      <c r="BM147" s="3"/>
    </row>
    <row x14ac:dyDescent="0.25" r="148" customHeight="1" ht="15">
      <c r="A148" s="17"/>
      <c r="B148" s="14"/>
      <c r="C148" s="3"/>
      <c r="D148" s="3"/>
      <c r="E148" s="3"/>
      <c r="F148" s="3"/>
      <c r="G148" s="16"/>
      <c r="H148" s="18"/>
      <c r="I148" s="18"/>
      <c r="J148" s="208">
        <f>H148+I148</f>
      </c>
      <c r="K148" s="1"/>
      <c r="L148" s="58">
        <f>K148*I148</f>
      </c>
      <c r="M148" s="58">
        <f>K148*J148</f>
      </c>
      <c r="N148" s="16"/>
      <c r="O148" s="16"/>
      <c r="P148" s="211">
        <f>IF(ISBLANK(N148),O148/4.3,N148/20)</f>
      </c>
      <c r="Q148" s="1"/>
      <c r="R148" s="3"/>
      <c r="S148" s="3"/>
      <c r="T148" s="213">
        <f>IF(ISBLANK(R148),0,X148)</f>
      </c>
      <c r="U148" s="213">
        <f>IF(ISBLANK(S148),0,X148)</f>
      </c>
      <c r="V148" s="214">
        <f>IFERROR(Q148/K148,0)</f>
      </c>
      <c r="W148" s="58">
        <f>IFERROR(L148*V148,0)</f>
      </c>
      <c r="X148" s="213">
        <f>IFERROR(Q148+W148,0)</f>
      </c>
      <c r="Y148" s="213">
        <f>IFERROR(M148*V148,0)</f>
      </c>
      <c r="Z148" s="213">
        <f>Y148-(Y148*$B$1)</f>
      </c>
      <c r="AA148" s="67">
        <f>IFERROR(Z148/X148,"")</f>
      </c>
      <c r="AB148" s="215">
        <f>IFERROR(IF(ISBLANK(N148),Y148/O148,Y148/N148),0)</f>
      </c>
      <c r="AC148" s="215">
        <f>IFERROR(-1*(AB148*B$1),0)</f>
      </c>
      <c r="AD148" s="215">
        <f>IFERROR(SUM(AB148:AC148),0)</f>
      </c>
      <c r="AE148" s="215">
        <f>IF(ISBLANK(N148),AD148,AD148*5)</f>
      </c>
      <c r="AF148" s="216">
        <f>SUM(AG148:BC148)</f>
      </c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8"/>
      <c r="BD148" s="215">
        <f>Z148-AF148</f>
      </c>
      <c r="BE148" s="238">
        <f>IFERROR(AF148/Y148,0)</f>
      </c>
      <c r="BF148" s="214">
        <f>IFERROR(AF148/X148,0)</f>
      </c>
      <c r="BG148" s="214">
        <f>IFERROR((X148/SUM(X$58:X$70)),0)</f>
      </c>
      <c r="BH148" s="214">
        <f>BC148/SUM(BC$3:BC345)</f>
      </c>
      <c r="BI148" s="217">
        <f>BC148/'R&amp;H Portfolio'!Q$10</f>
      </c>
      <c r="BJ148" s="215">
        <f>BF148*P148</f>
      </c>
      <c r="BK148" s="3"/>
      <c r="BL148" s="3"/>
      <c r="BM148" s="3"/>
    </row>
    <row x14ac:dyDescent="0.25" r="149" customHeight="1" ht="15">
      <c r="A149" s="17"/>
      <c r="B149" s="14"/>
      <c r="C149" s="3"/>
      <c r="D149" s="3"/>
      <c r="E149" s="3"/>
      <c r="F149" s="3"/>
      <c r="G149" s="16"/>
      <c r="H149" s="18"/>
      <c r="I149" s="18"/>
      <c r="J149" s="208">
        <f>H149+I149</f>
      </c>
      <c r="K149" s="1"/>
      <c r="L149" s="58">
        <f>K149*I149</f>
      </c>
      <c r="M149" s="58">
        <f>K149*J149</f>
      </c>
      <c r="N149" s="16"/>
      <c r="O149" s="16"/>
      <c r="P149" s="211">
        <f>IF(ISBLANK(N149),O149/4.3,N149/20)</f>
      </c>
      <c r="Q149" s="1"/>
      <c r="R149" s="3"/>
      <c r="S149" s="3"/>
      <c r="T149" s="213">
        <f>IF(ISBLANK(R149),0,X149)</f>
      </c>
      <c r="U149" s="213">
        <f>IF(ISBLANK(S149),0,X149)</f>
      </c>
      <c r="V149" s="214">
        <f>IFERROR(Q149/K149,0)</f>
      </c>
      <c r="W149" s="58">
        <f>IFERROR(L149*V149,0)</f>
      </c>
      <c r="X149" s="213">
        <f>IFERROR(Q149+W149,0)</f>
      </c>
      <c r="Y149" s="213">
        <f>IFERROR(M149*V149,0)</f>
      </c>
      <c r="Z149" s="213">
        <f>Y149-(Y149*$B$1)</f>
      </c>
      <c r="AA149" s="67">
        <f>IFERROR(Z149/X149,"")</f>
      </c>
      <c r="AB149" s="215">
        <f>IFERROR(IF(ISBLANK(N149),Y149/O149,Y149/N149),0)</f>
      </c>
      <c r="AC149" s="215">
        <f>IFERROR(-1*(AB149*B$1),0)</f>
      </c>
      <c r="AD149" s="215">
        <f>IFERROR(SUM(AB149:AC149),0)</f>
      </c>
      <c r="AE149" s="215">
        <f>IF(ISBLANK(N149),AD149,AD149*5)</f>
      </c>
      <c r="AF149" s="216">
        <f>SUM(AG149:BC149)</f>
      </c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8"/>
      <c r="BD149" s="215">
        <f>Z149-AF149</f>
      </c>
      <c r="BE149" s="238">
        <f>IFERROR(AF149/Y149,0)</f>
      </c>
      <c r="BF149" s="214">
        <f>IFERROR(AF149/X149,0)</f>
      </c>
      <c r="BG149" s="214">
        <f>IFERROR((X149/SUM(X$58:X$70)),0)</f>
      </c>
      <c r="BH149" s="214">
        <f>BC149/SUM(BC$3:BC346)</f>
      </c>
      <c r="BI149" s="217">
        <f>BC149/'R&amp;H Portfolio'!Q$10</f>
      </c>
      <c r="BJ149" s="215">
        <f>BF149*P149</f>
      </c>
      <c r="BK149" s="3"/>
      <c r="BL149" s="3"/>
      <c r="BM149" s="3"/>
    </row>
    <row x14ac:dyDescent="0.25" r="150" customHeight="1" ht="15">
      <c r="A150" s="17"/>
      <c r="B150" s="14"/>
      <c r="C150" s="3"/>
      <c r="D150" s="3"/>
      <c r="E150" s="3"/>
      <c r="F150" s="3"/>
      <c r="G150" s="16"/>
      <c r="H150" s="18"/>
      <c r="I150" s="18"/>
      <c r="J150" s="208">
        <f>H150+I150</f>
      </c>
      <c r="K150" s="1"/>
      <c r="L150" s="58">
        <f>K150*I150</f>
      </c>
      <c r="M150" s="58">
        <f>K150*J150</f>
      </c>
      <c r="N150" s="16"/>
      <c r="O150" s="16"/>
      <c r="P150" s="211">
        <f>IF(ISBLANK(N150),O150/4.3,N150/20)</f>
      </c>
      <c r="Q150" s="1"/>
      <c r="R150" s="3"/>
      <c r="S150" s="3"/>
      <c r="T150" s="213">
        <f>IF(ISBLANK(R150),0,X150)</f>
      </c>
      <c r="U150" s="213">
        <f>IF(ISBLANK(S150),0,X150)</f>
      </c>
      <c r="V150" s="214">
        <f>IFERROR(Q150/K150,0)</f>
      </c>
      <c r="W150" s="58">
        <f>IFERROR(L150*V150,0)</f>
      </c>
      <c r="X150" s="213">
        <f>IFERROR(Q150+W150,0)</f>
      </c>
      <c r="Y150" s="213">
        <f>IFERROR(M150*V150,0)</f>
      </c>
      <c r="Z150" s="213">
        <f>Y150-(Y150*$B$1)</f>
      </c>
      <c r="AA150" s="67">
        <f>IFERROR(Z150/X150,"")</f>
      </c>
      <c r="AB150" s="215">
        <f>IFERROR(IF(ISBLANK(N150),Y150/O150,Y150/N150),0)</f>
      </c>
      <c r="AC150" s="215">
        <f>IFERROR(-1*(AB150*B$1),0)</f>
      </c>
      <c r="AD150" s="215">
        <f>IFERROR(SUM(AB150:AC150),0)</f>
      </c>
      <c r="AE150" s="215">
        <f>IF(ISBLANK(N150),AD150,AD150*5)</f>
      </c>
      <c r="AF150" s="216">
        <f>SUM(AG150:BC150)</f>
      </c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8"/>
      <c r="BD150" s="215">
        <f>Z150-AF150</f>
      </c>
      <c r="BE150" s="238">
        <f>IFERROR(AF150/Y150,0)</f>
      </c>
      <c r="BF150" s="214">
        <f>IFERROR(AF150/X150,0)</f>
      </c>
      <c r="BG150" s="214">
        <f>IFERROR((X150/SUM(X$58:X$70)),0)</f>
      </c>
      <c r="BH150" s="214">
        <f>BC150/SUM(BC$3:BC347)</f>
      </c>
      <c r="BI150" s="217">
        <f>BC150/'R&amp;H Portfolio'!Q$10</f>
      </c>
      <c r="BJ150" s="215">
        <f>BF150*P150</f>
      </c>
      <c r="BK150" s="3"/>
      <c r="BL150" s="3"/>
      <c r="BM150" s="3"/>
    </row>
    <row x14ac:dyDescent="0.25" r="151" customHeight="1" ht="15">
      <c r="A151" s="17"/>
      <c r="B151" s="14"/>
      <c r="C151" s="3"/>
      <c r="D151" s="3"/>
      <c r="E151" s="3"/>
      <c r="F151" s="3"/>
      <c r="G151" s="16"/>
      <c r="H151" s="18"/>
      <c r="I151" s="18"/>
      <c r="J151" s="208">
        <f>H151+I151</f>
      </c>
      <c r="K151" s="1"/>
      <c r="L151" s="58">
        <f>K151*I151</f>
      </c>
      <c r="M151" s="58">
        <f>K151*J151</f>
      </c>
      <c r="N151" s="16"/>
      <c r="O151" s="16"/>
      <c r="P151" s="211">
        <f>IF(ISBLANK(N151),O151/4.3,N151/20)</f>
      </c>
      <c r="Q151" s="1"/>
      <c r="R151" s="3"/>
      <c r="S151" s="3"/>
      <c r="T151" s="213">
        <f>IF(ISBLANK(R151),0,X151)</f>
      </c>
      <c r="U151" s="213">
        <f>IF(ISBLANK(S151),0,X151)</f>
      </c>
      <c r="V151" s="214">
        <f>IFERROR(Q151/K151,0)</f>
      </c>
      <c r="W151" s="58">
        <f>IFERROR(L151*V151,0)</f>
      </c>
      <c r="X151" s="213">
        <f>IFERROR(Q151+W151,0)</f>
      </c>
      <c r="Y151" s="213">
        <f>IFERROR(M151*V151,0)</f>
      </c>
      <c r="Z151" s="213">
        <f>Y151-(Y151*$B$1)</f>
      </c>
      <c r="AA151" s="67">
        <f>IFERROR(Z151/X151,"")</f>
      </c>
      <c r="AB151" s="215">
        <f>IFERROR(IF(ISBLANK(N151),Y151/O151,Y151/N151),0)</f>
      </c>
      <c r="AC151" s="215">
        <f>IFERROR(-1*(AB151*B$1),0)</f>
      </c>
      <c r="AD151" s="215">
        <f>IFERROR(SUM(AB151:AC151),0)</f>
      </c>
      <c r="AE151" s="215">
        <f>IF(ISBLANK(N151),AD151,AD151*5)</f>
      </c>
      <c r="AF151" s="216">
        <f>SUM(AG151:BC151)</f>
      </c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8"/>
      <c r="BD151" s="215">
        <f>Z151-AF151</f>
      </c>
      <c r="BE151" s="238">
        <f>IFERROR(AF151/Y151,0)</f>
      </c>
      <c r="BF151" s="214">
        <f>IFERROR(AF151/X151,0)</f>
      </c>
      <c r="BG151" s="214">
        <f>IFERROR((X151/SUM(X$58:X$70)),0)</f>
      </c>
      <c r="BH151" s="214">
        <f>BC151/SUM(BC$3:BC348)</f>
      </c>
      <c r="BI151" s="217">
        <f>BC151/'R&amp;H Portfolio'!Q$10</f>
      </c>
      <c r="BJ151" s="215">
        <f>BF151*P151</f>
      </c>
      <c r="BK151" s="3"/>
      <c r="BL151" s="3"/>
      <c r="BM151" s="3"/>
    </row>
    <row x14ac:dyDescent="0.25" r="152" customHeight="1" ht="15">
      <c r="A152" s="17"/>
      <c r="B152" s="14"/>
      <c r="C152" s="3"/>
      <c r="D152" s="3"/>
      <c r="E152" s="3"/>
      <c r="F152" s="3"/>
      <c r="G152" s="16"/>
      <c r="H152" s="18"/>
      <c r="I152" s="18"/>
      <c r="J152" s="208">
        <f>H152+I152</f>
      </c>
      <c r="K152" s="1"/>
      <c r="L152" s="58">
        <f>K152*I152</f>
      </c>
      <c r="M152" s="58">
        <f>K152*J152</f>
      </c>
      <c r="N152" s="16"/>
      <c r="O152" s="16"/>
      <c r="P152" s="211">
        <f>IF(ISBLANK(N152),O152/4.3,N152/20)</f>
      </c>
      <c r="Q152" s="1"/>
      <c r="R152" s="3"/>
      <c r="S152" s="3"/>
      <c r="T152" s="213">
        <f>IF(ISBLANK(R152),0,X152)</f>
      </c>
      <c r="U152" s="213">
        <f>IF(ISBLANK(S152),0,X152)</f>
      </c>
      <c r="V152" s="214">
        <f>IFERROR(Q152/K152,0)</f>
      </c>
      <c r="W152" s="58">
        <f>IFERROR(L152*V152,0)</f>
      </c>
      <c r="X152" s="213">
        <f>IFERROR(Q152+W152,0)</f>
      </c>
      <c r="Y152" s="213">
        <f>IFERROR(M152*V152,0)</f>
      </c>
      <c r="Z152" s="213">
        <f>Y152-(Y152*$B$1)</f>
      </c>
      <c r="AA152" s="67">
        <f>IFERROR(Z152/X152,"")</f>
      </c>
      <c r="AB152" s="215">
        <f>IFERROR(IF(ISBLANK(N152),Y152/O152,Y152/N152),0)</f>
      </c>
      <c r="AC152" s="215">
        <f>IFERROR(-1*(AB152*B$1),0)</f>
      </c>
      <c r="AD152" s="215">
        <f>IFERROR(SUM(AB152:AC152),0)</f>
      </c>
      <c r="AE152" s="215">
        <f>IF(ISBLANK(N152),AD152,AD152*5)</f>
      </c>
      <c r="AF152" s="216">
        <f>SUM(AG152:BC152)</f>
      </c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8"/>
      <c r="BD152" s="215">
        <f>Z152-AF152</f>
      </c>
      <c r="BE152" s="238">
        <f>IFERROR(AF152/Y152,0)</f>
      </c>
      <c r="BF152" s="214">
        <f>IFERROR(AF152/X152,0)</f>
      </c>
      <c r="BG152" s="214">
        <f>IFERROR((X152/SUM(X$58:X$70)),0)</f>
      </c>
      <c r="BH152" s="214">
        <f>BC152/SUM(BC$3:BC349)</f>
      </c>
      <c r="BI152" s="217">
        <f>BC152/'R&amp;H Portfolio'!Q$10</f>
      </c>
      <c r="BJ152" s="215">
        <f>BF152*P152</f>
      </c>
      <c r="BK152" s="3"/>
      <c r="BL152" s="3"/>
      <c r="BM152" s="3"/>
    </row>
    <row x14ac:dyDescent="0.25" r="153" customHeight="1" ht="15">
      <c r="A153" s="17"/>
      <c r="B153" s="14"/>
      <c r="C153" s="3"/>
      <c r="D153" s="3"/>
      <c r="E153" s="3"/>
      <c r="F153" s="3"/>
      <c r="G153" s="16"/>
      <c r="H153" s="18"/>
      <c r="I153" s="18"/>
      <c r="J153" s="208">
        <f>H153+I153</f>
      </c>
      <c r="K153" s="1"/>
      <c r="L153" s="58">
        <f>K153*I153</f>
      </c>
      <c r="M153" s="58">
        <f>K153*J153</f>
      </c>
      <c r="N153" s="16"/>
      <c r="O153" s="16"/>
      <c r="P153" s="211">
        <f>IF(ISBLANK(N153),O153/4.3,N153/20)</f>
      </c>
      <c r="Q153" s="1"/>
      <c r="R153" s="3"/>
      <c r="S153" s="3"/>
      <c r="T153" s="213">
        <f>IF(ISBLANK(R153),0,X153)</f>
      </c>
      <c r="U153" s="213">
        <f>IF(ISBLANK(S153),0,X153)</f>
      </c>
      <c r="V153" s="214">
        <f>IFERROR(Q153/K153,0)</f>
      </c>
      <c r="W153" s="58">
        <f>IFERROR(L153*V153,0)</f>
      </c>
      <c r="X153" s="213">
        <f>IFERROR(Q153+W153,0)</f>
      </c>
      <c r="Y153" s="213">
        <f>IFERROR(M153*V153,0)</f>
      </c>
      <c r="Z153" s="213">
        <f>Y153-(Y153*$B$1)</f>
      </c>
      <c r="AA153" s="67">
        <f>IFERROR(Z153/X153,"")</f>
      </c>
      <c r="AB153" s="215">
        <f>IFERROR(IF(ISBLANK(N153),Y153/O153,Y153/N153),0)</f>
      </c>
      <c r="AC153" s="215">
        <f>IFERROR(-1*(AB153*B$1),0)</f>
      </c>
      <c r="AD153" s="215">
        <f>IFERROR(SUM(AB153:AC153),0)</f>
      </c>
      <c r="AE153" s="215">
        <f>IF(ISBLANK(N153),AD153,AD153*5)</f>
      </c>
      <c r="AF153" s="216">
        <f>SUM(AG153:BC153)</f>
      </c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8"/>
      <c r="BD153" s="215">
        <f>Z153-AF153</f>
      </c>
      <c r="BE153" s="238">
        <f>IFERROR(AF153/Y153,0)</f>
      </c>
      <c r="BF153" s="214">
        <f>IFERROR(AF153/X153,0)</f>
      </c>
      <c r="BG153" s="214">
        <f>IFERROR((X153/SUM(X$58:X$70)),0)</f>
      </c>
      <c r="BH153" s="214">
        <f>BC153/SUM(BC$3:BC350)</f>
      </c>
      <c r="BI153" s="217">
        <f>BC153/'R&amp;H Portfolio'!Q$10</f>
      </c>
      <c r="BJ153" s="215">
        <f>BF153*P153</f>
      </c>
      <c r="BK153" s="3"/>
      <c r="BL153" s="3"/>
      <c r="BM153" s="3"/>
    </row>
    <row x14ac:dyDescent="0.25" r="154" customHeight="1" ht="15">
      <c r="A154" s="17"/>
      <c r="B154" s="14"/>
      <c r="C154" s="3"/>
      <c r="D154" s="3"/>
      <c r="E154" s="3"/>
      <c r="F154" s="3"/>
      <c r="G154" s="16"/>
      <c r="H154" s="18"/>
      <c r="I154" s="18"/>
      <c r="J154" s="208">
        <f>H154+I154</f>
      </c>
      <c r="K154" s="1"/>
      <c r="L154" s="58">
        <f>K154*I154</f>
      </c>
      <c r="M154" s="58">
        <f>K154*J154</f>
      </c>
      <c r="N154" s="16"/>
      <c r="O154" s="16"/>
      <c r="P154" s="211">
        <f>IF(ISBLANK(N154),O154/4.3,N154/20)</f>
      </c>
      <c r="Q154" s="1"/>
      <c r="R154" s="3"/>
      <c r="S154" s="3"/>
      <c r="T154" s="213">
        <f>IF(ISBLANK(R154),0,X154)</f>
      </c>
      <c r="U154" s="213">
        <f>IF(ISBLANK(S154),0,X154)</f>
      </c>
      <c r="V154" s="214">
        <f>IFERROR(Q154/K154,0)</f>
      </c>
      <c r="W154" s="58">
        <f>IFERROR(L154*V154,0)</f>
      </c>
      <c r="X154" s="213">
        <f>IFERROR(Q154+W154,0)</f>
      </c>
      <c r="Y154" s="213">
        <f>IFERROR(M154*V154,0)</f>
      </c>
      <c r="Z154" s="213">
        <f>Y154-(Y154*$B$1)</f>
      </c>
      <c r="AA154" s="67">
        <f>IFERROR(Z154/X154,"")</f>
      </c>
      <c r="AB154" s="215">
        <f>IFERROR(IF(ISBLANK(N154),Y154/O154,Y154/N154),0)</f>
      </c>
      <c r="AC154" s="215">
        <f>IFERROR(-1*(AB154*B$1),0)</f>
      </c>
      <c r="AD154" s="215">
        <f>IFERROR(SUM(AB154:AC154),0)</f>
      </c>
      <c r="AE154" s="215">
        <f>IF(ISBLANK(N154),AD154,AD154*5)</f>
      </c>
      <c r="AF154" s="216">
        <f>SUM(AG154:BC154)</f>
      </c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8"/>
      <c r="BD154" s="215">
        <f>Z154-AF154</f>
      </c>
      <c r="BE154" s="238">
        <f>IFERROR(AF154/Y154,0)</f>
      </c>
      <c r="BF154" s="214">
        <f>IFERROR(AF154/X154,0)</f>
      </c>
      <c r="BG154" s="214">
        <f>IFERROR((X154/SUM(X$58:X$70)),0)</f>
      </c>
      <c r="BH154" s="214">
        <f>BC154/SUM(BC$3:BC351)</f>
      </c>
      <c r="BI154" s="217">
        <f>BC154/'R&amp;H Portfolio'!Q$10</f>
      </c>
      <c r="BJ154" s="215">
        <f>BF154*P154</f>
      </c>
      <c r="BK154" s="3"/>
      <c r="BL154" s="3"/>
      <c r="BM154" s="3"/>
    </row>
    <row x14ac:dyDescent="0.25" r="155" customHeight="1" ht="15">
      <c r="A155" s="17"/>
      <c r="B155" s="14"/>
      <c r="C155" s="3"/>
      <c r="D155" s="3"/>
      <c r="E155" s="3"/>
      <c r="F155" s="3"/>
      <c r="G155" s="16"/>
      <c r="H155" s="18"/>
      <c r="I155" s="18"/>
      <c r="J155" s="208">
        <f>H155+I155</f>
      </c>
      <c r="K155" s="1"/>
      <c r="L155" s="58">
        <f>K155*I155</f>
      </c>
      <c r="M155" s="58">
        <f>K155*J155</f>
      </c>
      <c r="N155" s="16"/>
      <c r="O155" s="16"/>
      <c r="P155" s="211">
        <f>IF(ISBLANK(N155),O155/4.3,N155/20)</f>
      </c>
      <c r="Q155" s="1"/>
      <c r="R155" s="3"/>
      <c r="S155" s="3"/>
      <c r="T155" s="213">
        <f>IF(ISBLANK(R155),0,X155)</f>
      </c>
      <c r="U155" s="213">
        <f>IF(ISBLANK(S155),0,X155)</f>
      </c>
      <c r="V155" s="214">
        <f>IFERROR(Q155/K155,0)</f>
      </c>
      <c r="W155" s="58">
        <f>IFERROR(L155*V155,0)</f>
      </c>
      <c r="X155" s="213">
        <f>IFERROR(Q155+W155,0)</f>
      </c>
      <c r="Y155" s="213">
        <f>IFERROR(M155*V155,0)</f>
      </c>
      <c r="Z155" s="213">
        <f>Y155-(Y155*$B$1)</f>
      </c>
      <c r="AA155" s="67">
        <f>IFERROR(Z155/X155,"")</f>
      </c>
      <c r="AB155" s="215">
        <f>IFERROR(IF(ISBLANK(N155),Y155/O155,Y155/N155),0)</f>
      </c>
      <c r="AC155" s="215">
        <f>IFERROR(-1*(AB155*B$1),0)</f>
      </c>
      <c r="AD155" s="215">
        <f>IFERROR(SUM(AB155:AC155),0)</f>
      </c>
      <c r="AE155" s="215">
        <f>IF(ISBLANK(N155),AD155,AD155*5)</f>
      </c>
      <c r="AF155" s="216">
        <f>SUM(AG155:BC155)</f>
      </c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8"/>
      <c r="BD155" s="215">
        <f>Z155-AF155</f>
      </c>
      <c r="BE155" s="238">
        <f>IFERROR(AF155/Y155,0)</f>
      </c>
      <c r="BF155" s="214">
        <f>IFERROR(AF155/X155,0)</f>
      </c>
      <c r="BG155" s="214">
        <f>IFERROR((X155/SUM(X$58:X$70)),0)</f>
      </c>
      <c r="BH155" s="214">
        <f>BC155/SUM(BC$3:BC352)</f>
      </c>
      <c r="BI155" s="217">
        <f>BC155/'R&amp;H Portfolio'!Q$10</f>
      </c>
      <c r="BJ155" s="215">
        <f>BF155*P155</f>
      </c>
      <c r="BK155" s="3"/>
      <c r="BL155" s="3"/>
      <c r="BM155" s="3"/>
    </row>
    <row x14ac:dyDescent="0.25" r="156" customHeight="1" ht="15">
      <c r="A156" s="17"/>
      <c r="B156" s="14"/>
      <c r="C156" s="3"/>
      <c r="D156" s="3"/>
      <c r="E156" s="3"/>
      <c r="F156" s="3"/>
      <c r="G156" s="16"/>
      <c r="H156" s="18"/>
      <c r="I156" s="18"/>
      <c r="J156" s="208">
        <f>H156+I156</f>
      </c>
      <c r="K156" s="1"/>
      <c r="L156" s="58">
        <f>K156*I156</f>
      </c>
      <c r="M156" s="58">
        <f>K156*J156</f>
      </c>
      <c r="N156" s="16"/>
      <c r="O156" s="16"/>
      <c r="P156" s="211">
        <f>IF(ISBLANK(N156),O156/4.3,N156/20)</f>
      </c>
      <c r="Q156" s="1"/>
      <c r="R156" s="3"/>
      <c r="S156" s="3"/>
      <c r="T156" s="213">
        <f>IF(ISBLANK(R156),0,X156)</f>
      </c>
      <c r="U156" s="213">
        <f>IF(ISBLANK(S156),0,X156)</f>
      </c>
      <c r="V156" s="214">
        <f>IFERROR(Q156/K156,0)</f>
      </c>
      <c r="W156" s="58">
        <f>IFERROR(L156*V156,0)</f>
      </c>
      <c r="X156" s="213">
        <f>IFERROR(Q156+W156,0)</f>
      </c>
      <c r="Y156" s="213">
        <f>IFERROR(M156*V156,0)</f>
      </c>
      <c r="Z156" s="213">
        <f>Y156-(Y156*$B$1)</f>
      </c>
      <c r="AA156" s="67">
        <f>IFERROR(Z156/X156,"")</f>
      </c>
      <c r="AB156" s="215">
        <f>IFERROR(IF(ISBLANK(N156),Y156/O156,Y156/N156),0)</f>
      </c>
      <c r="AC156" s="215">
        <f>IFERROR(-1*(AB156*B$1),0)</f>
      </c>
      <c r="AD156" s="215">
        <f>IFERROR(SUM(AB156:AC156),0)</f>
      </c>
      <c r="AE156" s="215">
        <f>IF(ISBLANK(N156),AD156,AD156*5)</f>
      </c>
      <c r="AF156" s="216">
        <f>SUM(AG156:BC156)</f>
      </c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8"/>
      <c r="BD156" s="215">
        <f>Z156-AF156</f>
      </c>
      <c r="BE156" s="238">
        <f>IFERROR(AF156/Y156,0)</f>
      </c>
      <c r="BF156" s="214">
        <f>IFERROR(AF156/X156,0)</f>
      </c>
      <c r="BG156" s="214">
        <f>IFERROR((X156/SUM(X$58:X$70)),0)</f>
      </c>
      <c r="BH156" s="214">
        <f>BC156/SUM(BC$3:BC353)</f>
      </c>
      <c r="BI156" s="217">
        <f>BC156/'R&amp;H Portfolio'!Q$10</f>
      </c>
      <c r="BJ156" s="215">
        <f>BF156*P156</f>
      </c>
      <c r="BK156" s="3"/>
      <c r="BL156" s="3"/>
      <c r="BM156" s="3"/>
    </row>
    <row x14ac:dyDescent="0.25" r="157" customHeight="1" ht="15">
      <c r="A157" s="17"/>
      <c r="B157" s="14"/>
      <c r="C157" s="3"/>
      <c r="D157" s="3"/>
      <c r="E157" s="3"/>
      <c r="F157" s="3"/>
      <c r="G157" s="16"/>
      <c r="H157" s="18"/>
      <c r="I157" s="18"/>
      <c r="J157" s="208">
        <f>H157+I157</f>
      </c>
      <c r="K157" s="1"/>
      <c r="L157" s="58">
        <f>K157*I157</f>
      </c>
      <c r="M157" s="58">
        <f>K157*J157</f>
      </c>
      <c r="N157" s="16"/>
      <c r="O157" s="16"/>
      <c r="P157" s="211">
        <f>IF(ISBLANK(N157),O157/4.3,N157/20)</f>
      </c>
      <c r="Q157" s="1"/>
      <c r="R157" s="3"/>
      <c r="S157" s="3"/>
      <c r="T157" s="213">
        <f>IF(ISBLANK(R157),0,X157)</f>
      </c>
      <c r="U157" s="213">
        <f>IF(ISBLANK(S157),0,X157)</f>
      </c>
      <c r="V157" s="214">
        <f>IFERROR(Q157/K157,0)</f>
      </c>
      <c r="W157" s="58">
        <f>IFERROR(L157*V157,0)</f>
      </c>
      <c r="X157" s="213">
        <f>IFERROR(Q157+W157,0)</f>
      </c>
      <c r="Y157" s="213">
        <f>IFERROR(M157*V157,0)</f>
      </c>
      <c r="Z157" s="213">
        <f>Y157-(Y157*$B$1)</f>
      </c>
      <c r="AA157" s="67">
        <f>IFERROR(Z157/X157,"")</f>
      </c>
      <c r="AB157" s="215">
        <f>IFERROR(IF(ISBLANK(N157),Y157/O157,Y157/N157),0)</f>
      </c>
      <c r="AC157" s="215">
        <f>IFERROR(-1*(AB157*B$1),0)</f>
      </c>
      <c r="AD157" s="215">
        <f>IFERROR(SUM(AB157:AC157),0)</f>
      </c>
      <c r="AE157" s="215">
        <f>IF(ISBLANK(N157),AD157,AD157*5)</f>
      </c>
      <c r="AF157" s="216">
        <f>SUM(AG157:BC157)</f>
      </c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8"/>
      <c r="BD157" s="215">
        <f>Z157-AF157</f>
      </c>
      <c r="BE157" s="238">
        <f>IFERROR(AF157/Y157,0)</f>
      </c>
      <c r="BF157" s="214">
        <f>IFERROR(AF157/X157,0)</f>
      </c>
      <c r="BG157" s="214">
        <f>IFERROR((X157/SUM(X$58:X$70)),0)</f>
      </c>
      <c r="BH157" s="214">
        <f>BC157/SUM(BC$3:BC354)</f>
      </c>
      <c r="BI157" s="217">
        <f>BC157/'R&amp;H Portfolio'!Q$10</f>
      </c>
      <c r="BJ157" s="215">
        <f>BF157*P157</f>
      </c>
      <c r="BK157" s="3"/>
      <c r="BL157" s="3"/>
      <c r="BM157" s="3"/>
    </row>
    <row x14ac:dyDescent="0.25" r="158" customHeight="1" ht="15">
      <c r="A158" s="17"/>
      <c r="B158" s="14"/>
      <c r="C158" s="3"/>
      <c r="D158" s="3"/>
      <c r="E158" s="3"/>
      <c r="F158" s="3"/>
      <c r="G158" s="16"/>
      <c r="H158" s="18"/>
      <c r="I158" s="18"/>
      <c r="J158" s="208">
        <f>H158+I158</f>
      </c>
      <c r="K158" s="1"/>
      <c r="L158" s="58">
        <f>K158*I158</f>
      </c>
      <c r="M158" s="58">
        <f>K158*J158</f>
      </c>
      <c r="N158" s="16"/>
      <c r="O158" s="16"/>
      <c r="P158" s="211">
        <f>IF(ISBLANK(N158),O158/4.3,N158/20)</f>
      </c>
      <c r="Q158" s="1"/>
      <c r="R158" s="3"/>
      <c r="S158" s="3"/>
      <c r="T158" s="213">
        <f>IF(ISBLANK(R158),0,X158)</f>
      </c>
      <c r="U158" s="213">
        <f>IF(ISBLANK(S158),0,X158)</f>
      </c>
      <c r="V158" s="214">
        <f>IFERROR(Q158/K158,0)</f>
      </c>
      <c r="W158" s="58">
        <f>IFERROR(L158*V158,0)</f>
      </c>
      <c r="X158" s="213">
        <f>IFERROR(Q158+W158,0)</f>
      </c>
      <c r="Y158" s="213">
        <f>IFERROR(M158*V158,0)</f>
      </c>
      <c r="Z158" s="213">
        <f>Y158-(Y158*$B$1)</f>
      </c>
      <c r="AA158" s="67">
        <f>IFERROR(Z158/X158,"")</f>
      </c>
      <c r="AB158" s="215">
        <f>IFERROR(IF(ISBLANK(N158),Y158/O158,Y158/N158),0)</f>
      </c>
      <c r="AC158" s="215">
        <f>IFERROR(-1*(AB158*B$1),0)</f>
      </c>
      <c r="AD158" s="215">
        <f>IFERROR(SUM(AB158:AC158),0)</f>
      </c>
      <c r="AE158" s="215">
        <f>IF(ISBLANK(N158),AD158,AD158*5)</f>
      </c>
      <c r="AF158" s="216">
        <f>SUM(AG158:BC158)</f>
      </c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8"/>
      <c r="BD158" s="215">
        <f>Z158-AF158</f>
      </c>
      <c r="BE158" s="238">
        <f>IFERROR(AF158/Y158,0)</f>
      </c>
      <c r="BF158" s="214">
        <f>IFERROR(AF158/X158,0)</f>
      </c>
      <c r="BG158" s="214">
        <f>IFERROR((X158/SUM(X$58:X$70)),0)</f>
      </c>
      <c r="BH158" s="214">
        <f>BC158/SUM(BC$3:BC355)</f>
      </c>
      <c r="BI158" s="217">
        <f>BC158/'R&amp;H Portfolio'!Q$10</f>
      </c>
      <c r="BJ158" s="215">
        <f>BF158*P158</f>
      </c>
      <c r="BK158" s="3"/>
      <c r="BL158" s="3"/>
      <c r="BM158" s="3"/>
    </row>
    <row x14ac:dyDescent="0.25" r="159" customHeight="1" ht="15">
      <c r="A159" s="17"/>
      <c r="B159" s="14"/>
      <c r="C159" s="3"/>
      <c r="D159" s="3"/>
      <c r="E159" s="3"/>
      <c r="F159" s="3"/>
      <c r="G159" s="16"/>
      <c r="H159" s="18"/>
      <c r="I159" s="18"/>
      <c r="J159" s="208">
        <f>H159+I159</f>
      </c>
      <c r="K159" s="1"/>
      <c r="L159" s="58">
        <f>K159*I159</f>
      </c>
      <c r="M159" s="58">
        <f>K159*J159</f>
      </c>
      <c r="N159" s="16"/>
      <c r="O159" s="16"/>
      <c r="P159" s="211">
        <f>IF(ISBLANK(N159),O159/4.3,N159/20)</f>
      </c>
      <c r="Q159" s="1"/>
      <c r="R159" s="3"/>
      <c r="S159" s="3"/>
      <c r="T159" s="213">
        <f>IF(ISBLANK(R159),0,X159)</f>
      </c>
      <c r="U159" s="213">
        <f>IF(ISBLANK(S159),0,X159)</f>
      </c>
      <c r="V159" s="214">
        <f>IFERROR(Q159/K159,0)</f>
      </c>
      <c r="W159" s="58">
        <f>IFERROR(L159*V159,0)</f>
      </c>
      <c r="X159" s="213">
        <f>IFERROR(Q159+W159,0)</f>
      </c>
      <c r="Y159" s="213">
        <f>IFERROR(M159*V159,0)</f>
      </c>
      <c r="Z159" s="213">
        <f>Y159-(Y159*$B$1)</f>
      </c>
      <c r="AA159" s="67">
        <f>IFERROR(Z159/X159,"")</f>
      </c>
      <c r="AB159" s="215">
        <f>IFERROR(IF(ISBLANK(N159),Y159/O159,Y159/N159),0)</f>
      </c>
      <c r="AC159" s="215">
        <f>IFERROR(-1*(AB159*B$1),0)</f>
      </c>
      <c r="AD159" s="215">
        <f>IFERROR(SUM(AB159:AC159),0)</f>
      </c>
      <c r="AE159" s="215">
        <f>IF(ISBLANK(N159),AD159,AD159*5)</f>
      </c>
      <c r="AF159" s="216">
        <f>SUM(AG159:BC159)</f>
      </c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8"/>
      <c r="BD159" s="215">
        <f>Z159-AF159</f>
      </c>
      <c r="BE159" s="238">
        <f>IFERROR(AF159/Y159,0)</f>
      </c>
      <c r="BF159" s="214">
        <f>IFERROR(AF159/X159,0)</f>
      </c>
      <c r="BG159" s="214">
        <f>IFERROR((X159/SUM(X$58:X$70)),0)</f>
      </c>
      <c r="BH159" s="214">
        <f>BC159/SUM(BC$3:BC356)</f>
      </c>
      <c r="BI159" s="217">
        <f>BC159/'R&amp;H Portfolio'!Q$10</f>
      </c>
      <c r="BJ159" s="215">
        <f>BF159*P159</f>
      </c>
      <c r="BK159" s="3"/>
      <c r="BL159" s="3"/>
      <c r="BM159" s="3"/>
    </row>
    <row x14ac:dyDescent="0.25" r="160" customHeight="1" ht="15">
      <c r="A160" s="17"/>
      <c r="B160" s="14"/>
      <c r="C160" s="3"/>
      <c r="D160" s="3"/>
      <c r="E160" s="3"/>
      <c r="F160" s="3"/>
      <c r="G160" s="16"/>
      <c r="H160" s="18"/>
      <c r="I160" s="18"/>
      <c r="J160" s="208">
        <f>H160+I160</f>
      </c>
      <c r="K160" s="1"/>
      <c r="L160" s="58">
        <f>K160*I160</f>
      </c>
      <c r="M160" s="58">
        <f>K160*J160</f>
      </c>
      <c r="N160" s="16"/>
      <c r="O160" s="16"/>
      <c r="P160" s="211">
        <f>IF(ISBLANK(N160),O160/4.3,N160/20)</f>
      </c>
      <c r="Q160" s="1"/>
      <c r="R160" s="3"/>
      <c r="S160" s="3"/>
      <c r="T160" s="213">
        <f>IF(ISBLANK(R160),0,X160)</f>
      </c>
      <c r="U160" s="213">
        <f>IF(ISBLANK(S160),0,X160)</f>
      </c>
      <c r="V160" s="214">
        <f>IFERROR(Q160/K160,0)</f>
      </c>
      <c r="W160" s="58">
        <f>IFERROR(L160*V160,0)</f>
      </c>
      <c r="X160" s="213">
        <f>IFERROR(Q160+W160,0)</f>
      </c>
      <c r="Y160" s="213">
        <f>IFERROR(M160*V160,0)</f>
      </c>
      <c r="Z160" s="213">
        <f>Y160-(Y160*$B$1)</f>
      </c>
      <c r="AA160" s="67">
        <f>IFERROR(Z160/X160,"")</f>
      </c>
      <c r="AB160" s="215">
        <f>IFERROR(IF(ISBLANK(N160),Y160/O160,Y160/N160),0)</f>
      </c>
      <c r="AC160" s="215">
        <f>IFERROR(-1*(AB160*B$1),0)</f>
      </c>
      <c r="AD160" s="215">
        <f>IFERROR(SUM(AB160:AC160),0)</f>
      </c>
      <c r="AE160" s="215">
        <f>IF(ISBLANK(N160),AD160,AD160*5)</f>
      </c>
      <c r="AF160" s="216">
        <f>SUM(AG160:BC160)</f>
      </c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8"/>
      <c r="BD160" s="215">
        <f>Z160-AF160</f>
      </c>
      <c r="BE160" s="238">
        <f>IFERROR(AF160/Y160,0)</f>
      </c>
      <c r="BF160" s="214">
        <f>IFERROR(AF160/X160,0)</f>
      </c>
      <c r="BG160" s="214">
        <f>IFERROR((X160/SUM(X$58:X$70)),0)</f>
      </c>
      <c r="BH160" s="214">
        <f>BC160/SUM(BC$3:BC357)</f>
      </c>
      <c r="BI160" s="217">
        <f>BC160/'R&amp;H Portfolio'!Q$10</f>
      </c>
      <c r="BJ160" s="215">
        <f>BF160*P160</f>
      </c>
      <c r="BK160" s="3"/>
      <c r="BL160" s="3"/>
      <c r="BM160" s="3"/>
    </row>
    <row x14ac:dyDescent="0.25" r="161" customHeight="1" ht="15">
      <c r="A161" s="17"/>
      <c r="B161" s="14"/>
      <c r="C161" s="3"/>
      <c r="D161" s="3"/>
      <c r="E161" s="3"/>
      <c r="F161" s="3"/>
      <c r="G161" s="16"/>
      <c r="H161" s="18"/>
      <c r="I161" s="18"/>
      <c r="J161" s="208">
        <f>H161+I161</f>
      </c>
      <c r="K161" s="1"/>
      <c r="L161" s="58">
        <f>K161*I161</f>
      </c>
      <c r="M161" s="58">
        <f>K161*J161</f>
      </c>
      <c r="N161" s="16"/>
      <c r="O161" s="16"/>
      <c r="P161" s="211">
        <f>IF(ISBLANK(N161),O161/4.3,N161/20)</f>
      </c>
      <c r="Q161" s="1"/>
      <c r="R161" s="3"/>
      <c r="S161" s="3"/>
      <c r="T161" s="213">
        <f>IF(ISBLANK(R161),0,X161)</f>
      </c>
      <c r="U161" s="213">
        <f>IF(ISBLANK(S161),0,X161)</f>
      </c>
      <c r="V161" s="214">
        <f>IFERROR(Q161/K161,0)</f>
      </c>
      <c r="W161" s="58">
        <f>IFERROR(L161*V161,0)</f>
      </c>
      <c r="X161" s="213">
        <f>IFERROR(Q161+W161,0)</f>
      </c>
      <c r="Y161" s="213">
        <f>IFERROR(M161*V161,0)</f>
      </c>
      <c r="Z161" s="213">
        <f>Y161-(Y161*$B$1)</f>
      </c>
      <c r="AA161" s="67">
        <f>IFERROR(Z161/X161,"")</f>
      </c>
      <c r="AB161" s="215">
        <f>IFERROR(IF(ISBLANK(N161),Y161/O161,Y161/N161),0)</f>
      </c>
      <c r="AC161" s="215">
        <f>IFERROR(-1*(AB161*B$1),0)</f>
      </c>
      <c r="AD161" s="215">
        <f>IFERROR(SUM(AB161:AC161),0)</f>
      </c>
      <c r="AE161" s="215">
        <f>IF(ISBLANK(N161),AD161,AD161*5)</f>
      </c>
      <c r="AF161" s="216">
        <f>SUM(AG161:BC161)</f>
      </c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8"/>
      <c r="BD161" s="215">
        <f>Z161-AF161</f>
      </c>
      <c r="BE161" s="238">
        <f>IFERROR(AF161/Y161,0)</f>
      </c>
      <c r="BF161" s="214">
        <f>IFERROR(AF161/X161,0)</f>
      </c>
      <c r="BG161" s="214">
        <f>IFERROR((X161/SUM(X$58:X$70)),0)</f>
      </c>
      <c r="BH161" s="214">
        <f>BC161/SUM(BC$3:BC358)</f>
      </c>
      <c r="BI161" s="217">
        <f>BC161/'R&amp;H Portfolio'!Q$10</f>
      </c>
      <c r="BJ161" s="215">
        <f>BF161*P161</f>
      </c>
      <c r="BK161" s="3"/>
      <c r="BL161" s="3"/>
      <c r="BM161" s="3"/>
    </row>
    <row x14ac:dyDescent="0.25" r="162" customHeight="1" ht="15">
      <c r="A162" s="17"/>
      <c r="B162" s="14"/>
      <c r="C162" s="3"/>
      <c r="D162" s="3"/>
      <c r="E162" s="3"/>
      <c r="F162" s="3"/>
      <c r="G162" s="16"/>
      <c r="H162" s="18"/>
      <c r="I162" s="18"/>
      <c r="J162" s="208">
        <f>H162+I162</f>
      </c>
      <c r="K162" s="1"/>
      <c r="L162" s="58">
        <f>K162*I162</f>
      </c>
      <c r="M162" s="58">
        <f>K162*J162</f>
      </c>
      <c r="N162" s="16"/>
      <c r="O162" s="16"/>
      <c r="P162" s="211">
        <f>IF(ISBLANK(N162),O162/4.3,N162/20)</f>
      </c>
      <c r="Q162" s="1"/>
      <c r="R162" s="3"/>
      <c r="S162" s="3"/>
      <c r="T162" s="213">
        <f>IF(ISBLANK(R162),0,X162)</f>
      </c>
      <c r="U162" s="213">
        <f>IF(ISBLANK(S162),0,X162)</f>
      </c>
      <c r="V162" s="214">
        <f>IFERROR(Q162/K162,0)</f>
      </c>
      <c r="W162" s="58">
        <f>IFERROR(L162*V162,0)</f>
      </c>
      <c r="X162" s="213">
        <f>IFERROR(Q162+W162,0)</f>
      </c>
      <c r="Y162" s="213">
        <f>IFERROR(M162*V162,0)</f>
      </c>
      <c r="Z162" s="213">
        <f>Y162-(Y162*$B$1)</f>
      </c>
      <c r="AA162" s="67">
        <f>IFERROR(Z162/X162,"")</f>
      </c>
      <c r="AB162" s="215">
        <f>IFERROR(IF(ISBLANK(N162),Y162/O162,Y162/N162),0)</f>
      </c>
      <c r="AC162" s="215">
        <f>IFERROR(-1*(AB162*B$1),0)</f>
      </c>
      <c r="AD162" s="215">
        <f>IFERROR(SUM(AB162:AC162),0)</f>
      </c>
      <c r="AE162" s="215">
        <f>IF(ISBLANK(N162),AD162,AD162*5)</f>
      </c>
      <c r="AF162" s="216">
        <f>SUM(AG162:BC162)</f>
      </c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8"/>
      <c r="BD162" s="215">
        <f>Z162-AF162</f>
      </c>
      <c r="BE162" s="238">
        <f>IFERROR(AF162/Y162,0)</f>
      </c>
      <c r="BF162" s="214">
        <f>IFERROR(AF162/X162,0)</f>
      </c>
      <c r="BG162" s="214">
        <f>IFERROR((X162/SUM(X$58:X$70)),0)</f>
      </c>
      <c r="BH162" s="214">
        <f>BC162/SUM(BC$3:BC359)</f>
      </c>
      <c r="BI162" s="217">
        <f>BC162/'R&amp;H Portfolio'!Q$10</f>
      </c>
      <c r="BJ162" s="215">
        <f>BF162*P162</f>
      </c>
      <c r="BK162" s="3"/>
      <c r="BL162" s="3"/>
      <c r="BM162" s="3"/>
    </row>
    <row x14ac:dyDescent="0.25" r="163" customHeight="1" ht="15">
      <c r="A163" s="17"/>
      <c r="B163" s="14"/>
      <c r="C163" s="3"/>
      <c r="D163" s="3"/>
      <c r="E163" s="3"/>
      <c r="F163" s="3"/>
      <c r="G163" s="16"/>
      <c r="H163" s="18"/>
      <c r="I163" s="18"/>
      <c r="J163" s="208">
        <f>H163+I163</f>
      </c>
      <c r="K163" s="1"/>
      <c r="L163" s="58">
        <f>K163*I163</f>
      </c>
      <c r="M163" s="58">
        <f>K163*J163</f>
      </c>
      <c r="N163" s="16"/>
      <c r="O163" s="16"/>
      <c r="P163" s="211">
        <f>IF(ISBLANK(N163),O163/4.3,N163/20)</f>
      </c>
      <c r="Q163" s="1"/>
      <c r="R163" s="3"/>
      <c r="S163" s="3"/>
      <c r="T163" s="213">
        <f>IF(ISBLANK(R163),0,X163)</f>
      </c>
      <c r="U163" s="213">
        <f>IF(ISBLANK(S163),0,X163)</f>
      </c>
      <c r="V163" s="214">
        <f>IFERROR(Q163/K163,0)</f>
      </c>
      <c r="W163" s="58">
        <f>IFERROR(L163*V163,0)</f>
      </c>
      <c r="X163" s="213">
        <f>IFERROR(Q163+W163,0)</f>
      </c>
      <c r="Y163" s="213">
        <f>IFERROR(M163*V163,0)</f>
      </c>
      <c r="Z163" s="213">
        <f>Y163-(Y163*$B$1)</f>
      </c>
      <c r="AA163" s="67">
        <f>IFERROR(Z163/X163,"")</f>
      </c>
      <c r="AB163" s="215">
        <f>IFERROR(IF(ISBLANK(N163),Y163/O163,Y163/N163),0)</f>
      </c>
      <c r="AC163" s="215">
        <f>IFERROR(-1*(AB163*B$1),0)</f>
      </c>
      <c r="AD163" s="215">
        <f>IFERROR(SUM(AB163:AC163),0)</f>
      </c>
      <c r="AE163" s="215">
        <f>IF(ISBLANK(N163),AD163,AD163*5)</f>
      </c>
      <c r="AF163" s="216">
        <f>SUM(AG163:BC163)</f>
      </c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8"/>
      <c r="BD163" s="215">
        <f>Z163-AF163</f>
      </c>
      <c r="BE163" s="238">
        <f>IFERROR(AF163/Y163,0)</f>
      </c>
      <c r="BF163" s="214">
        <f>IFERROR(AF163/X163,0)</f>
      </c>
      <c r="BG163" s="214">
        <f>IFERROR((X163/SUM(X$58:X$70)),0)</f>
      </c>
      <c r="BH163" s="214">
        <f>BC163/SUM(BC$3:BC360)</f>
      </c>
      <c r="BI163" s="217">
        <f>BC163/'R&amp;H Portfolio'!Q$10</f>
      </c>
      <c r="BJ163" s="215">
        <f>BF163*P163</f>
      </c>
      <c r="BK163" s="3"/>
      <c r="BL163" s="3"/>
      <c r="BM163" s="3"/>
    </row>
    <row x14ac:dyDescent="0.25" r="164" customHeight="1" ht="15">
      <c r="A164" s="17"/>
      <c r="B164" s="14"/>
      <c r="C164" s="3"/>
      <c r="D164" s="3"/>
      <c r="E164" s="3"/>
      <c r="F164" s="3"/>
      <c r="G164" s="16"/>
      <c r="H164" s="18"/>
      <c r="I164" s="18"/>
      <c r="J164" s="208">
        <f>H164+I164</f>
      </c>
      <c r="K164" s="1"/>
      <c r="L164" s="58">
        <f>K164*I164</f>
      </c>
      <c r="M164" s="58">
        <f>K164*J164</f>
      </c>
      <c r="N164" s="16"/>
      <c r="O164" s="16"/>
      <c r="P164" s="211">
        <f>IF(ISBLANK(N164),O164/4.3,N164/20)</f>
      </c>
      <c r="Q164" s="1"/>
      <c r="R164" s="3"/>
      <c r="S164" s="3"/>
      <c r="T164" s="213">
        <f>IF(ISBLANK(R164),0,X164)</f>
      </c>
      <c r="U164" s="213">
        <f>IF(ISBLANK(S164),0,X164)</f>
      </c>
      <c r="V164" s="214">
        <f>IFERROR(Q164/K164,0)</f>
      </c>
      <c r="W164" s="58">
        <f>IFERROR(L164*V164,0)</f>
      </c>
      <c r="X164" s="213">
        <f>IFERROR(Q164+W164,0)</f>
      </c>
      <c r="Y164" s="213">
        <f>IFERROR(M164*V164,0)</f>
      </c>
      <c r="Z164" s="213">
        <f>Y164-(Y164*$B$1)</f>
      </c>
      <c r="AA164" s="67">
        <f>IFERROR(Z164/X164,"")</f>
      </c>
      <c r="AB164" s="215">
        <f>IFERROR(IF(ISBLANK(N164),Y164/O164,Y164/N164),0)</f>
      </c>
      <c r="AC164" s="215">
        <f>IFERROR(-1*(AB164*B$1),0)</f>
      </c>
      <c r="AD164" s="215">
        <f>IFERROR(SUM(AB164:AC164),0)</f>
      </c>
      <c r="AE164" s="215">
        <f>IF(ISBLANK(N164),AD164,AD164*5)</f>
      </c>
      <c r="AF164" s="216">
        <f>SUM(AG164:BC164)</f>
      </c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8"/>
      <c r="BD164" s="215">
        <f>Z164-AF164</f>
      </c>
      <c r="BE164" s="238">
        <f>IFERROR(AF164/Y164,0)</f>
      </c>
      <c r="BF164" s="214">
        <f>IFERROR(AF164/X164,0)</f>
      </c>
      <c r="BG164" s="214">
        <f>IFERROR((X164/SUM(X$58:X$70)),0)</f>
      </c>
      <c r="BH164" s="214">
        <f>BC164/SUM(BC$3:BC361)</f>
      </c>
      <c r="BI164" s="217">
        <f>BC164/'R&amp;H Portfolio'!Q$10</f>
      </c>
      <c r="BJ164" s="215">
        <f>BF164*P164</f>
      </c>
      <c r="BK164" s="3"/>
      <c r="BL164" s="3"/>
      <c r="BM164" s="3"/>
    </row>
    <row x14ac:dyDescent="0.25" r="165" customHeight="1" ht="15">
      <c r="A165" s="17"/>
      <c r="B165" s="14"/>
      <c r="C165" s="3"/>
      <c r="D165" s="3"/>
      <c r="E165" s="3"/>
      <c r="F165" s="3"/>
      <c r="G165" s="16"/>
      <c r="H165" s="18"/>
      <c r="I165" s="18"/>
      <c r="J165" s="208">
        <f>H165+I165</f>
      </c>
      <c r="K165" s="1"/>
      <c r="L165" s="58">
        <f>K165*I165</f>
      </c>
      <c r="M165" s="58">
        <f>K165*J165</f>
      </c>
      <c r="N165" s="16"/>
      <c r="O165" s="16"/>
      <c r="P165" s="211">
        <f>IF(ISBLANK(N165),O165/4.3,N165/20)</f>
      </c>
      <c r="Q165" s="1"/>
      <c r="R165" s="3"/>
      <c r="S165" s="3"/>
      <c r="T165" s="213">
        <f>IF(ISBLANK(R165),0,X165)</f>
      </c>
      <c r="U165" s="213">
        <f>IF(ISBLANK(S165),0,X165)</f>
      </c>
      <c r="V165" s="214">
        <f>IFERROR(Q165/K165,0)</f>
      </c>
      <c r="W165" s="58">
        <f>IFERROR(L165*V165,0)</f>
      </c>
      <c r="X165" s="213">
        <f>IFERROR(Q165+W165,0)</f>
      </c>
      <c r="Y165" s="213">
        <f>IFERROR(M165*V165,0)</f>
      </c>
      <c r="Z165" s="213">
        <f>Y165-(Y165*$B$1)</f>
      </c>
      <c r="AA165" s="67">
        <f>IFERROR(Z165/X165,"")</f>
      </c>
      <c r="AB165" s="215">
        <f>IFERROR(IF(ISBLANK(N165),Y165/O165,Y165/N165),0)</f>
      </c>
      <c r="AC165" s="215">
        <f>IFERROR(-1*(AB165*B$1),0)</f>
      </c>
      <c r="AD165" s="215">
        <f>IFERROR(SUM(AB165:AC165),0)</f>
      </c>
      <c r="AE165" s="215">
        <f>IF(ISBLANK(N165),AD165,AD165*5)</f>
      </c>
      <c r="AF165" s="216">
        <f>SUM(AG165:BC165)</f>
      </c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8"/>
      <c r="BD165" s="215">
        <f>Z165-AF165</f>
      </c>
      <c r="BE165" s="238">
        <f>IFERROR(AF165/Y165,0)</f>
      </c>
      <c r="BF165" s="214">
        <f>IFERROR(AF165/X165,0)</f>
      </c>
      <c r="BG165" s="214">
        <f>IFERROR((X165/SUM(X$58:X$70)),0)</f>
      </c>
      <c r="BH165" s="214">
        <f>BC165/SUM(BC$3:BC362)</f>
      </c>
      <c r="BI165" s="217">
        <f>BC165/'R&amp;H Portfolio'!Q$10</f>
      </c>
      <c r="BJ165" s="215">
        <f>BF165*P165</f>
      </c>
      <c r="BK165" s="3"/>
      <c r="BL165" s="3"/>
      <c r="BM165" s="3"/>
    </row>
    <row x14ac:dyDescent="0.25" r="166" customHeight="1" ht="15">
      <c r="A166" s="17"/>
      <c r="B166" s="14"/>
      <c r="C166" s="3"/>
      <c r="D166" s="3"/>
      <c r="E166" s="3"/>
      <c r="F166" s="3"/>
      <c r="G166" s="16"/>
      <c r="H166" s="18"/>
      <c r="I166" s="18"/>
      <c r="J166" s="208">
        <f>H166+I166</f>
      </c>
      <c r="K166" s="1"/>
      <c r="L166" s="58">
        <f>K166*I166</f>
      </c>
      <c r="M166" s="58">
        <f>K166*J166</f>
      </c>
      <c r="N166" s="16"/>
      <c r="O166" s="16"/>
      <c r="P166" s="211">
        <f>IF(ISBLANK(N166),O166/4.3,N166/20)</f>
      </c>
      <c r="Q166" s="1"/>
      <c r="R166" s="3"/>
      <c r="S166" s="3"/>
      <c r="T166" s="213">
        <f>IF(ISBLANK(R166),0,X166)</f>
      </c>
      <c r="U166" s="213">
        <f>IF(ISBLANK(S166),0,X166)</f>
      </c>
      <c r="V166" s="214">
        <f>IFERROR(Q166/K166,0)</f>
      </c>
      <c r="W166" s="58">
        <f>IFERROR(L166*V166,0)</f>
      </c>
      <c r="X166" s="213">
        <f>IFERROR(Q166+W166,0)</f>
      </c>
      <c r="Y166" s="213">
        <f>IFERROR(M166*V166,0)</f>
      </c>
      <c r="Z166" s="213">
        <f>Y166-(Y166*$B$1)</f>
      </c>
      <c r="AA166" s="67">
        <f>IFERROR(Z166/X166,"")</f>
      </c>
      <c r="AB166" s="215">
        <f>IFERROR(IF(ISBLANK(N166),Y166/O166,Y166/N166),0)</f>
      </c>
      <c r="AC166" s="215">
        <f>IFERROR(-1*(AB166*B$1),0)</f>
      </c>
      <c r="AD166" s="215">
        <f>IFERROR(SUM(AB166:AC166),0)</f>
      </c>
      <c r="AE166" s="215">
        <f>IF(ISBLANK(N166),AD166,AD166*5)</f>
      </c>
      <c r="AF166" s="216">
        <f>SUM(AG166:BC166)</f>
      </c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8"/>
      <c r="BD166" s="215">
        <f>Z166-AF166</f>
      </c>
      <c r="BE166" s="238">
        <f>IFERROR(AF166/Y166,0)</f>
      </c>
      <c r="BF166" s="214">
        <f>IFERROR(AF166/X166,0)</f>
      </c>
      <c r="BG166" s="214">
        <f>IFERROR((X166/SUM(X$58:X$70)),0)</f>
      </c>
      <c r="BH166" s="214">
        <f>BC166/SUM(BC$3:BC363)</f>
      </c>
      <c r="BI166" s="217">
        <f>BC166/'R&amp;H Portfolio'!Q$10</f>
      </c>
      <c r="BJ166" s="215">
        <f>BF166*P166</f>
      </c>
      <c r="BK166" s="3"/>
      <c r="BL166" s="3"/>
      <c r="BM166" s="3"/>
    </row>
    <row x14ac:dyDescent="0.25" r="167" customHeight="1" ht="15">
      <c r="A167" s="17"/>
      <c r="B167" s="14"/>
      <c r="C167" s="3"/>
      <c r="D167" s="3"/>
      <c r="E167" s="3"/>
      <c r="F167" s="3"/>
      <c r="G167" s="16"/>
      <c r="H167" s="18"/>
      <c r="I167" s="18"/>
      <c r="J167" s="208">
        <f>H167+I167</f>
      </c>
      <c r="K167" s="1"/>
      <c r="L167" s="58">
        <f>K167*I167</f>
      </c>
      <c r="M167" s="58">
        <f>K167*J167</f>
      </c>
      <c r="N167" s="16"/>
      <c r="O167" s="16"/>
      <c r="P167" s="211">
        <f>IF(ISBLANK(N167),O167/4.3,N167/20)</f>
      </c>
      <c r="Q167" s="1"/>
      <c r="R167" s="3"/>
      <c r="S167" s="3"/>
      <c r="T167" s="213">
        <f>IF(ISBLANK(R167),0,X167)</f>
      </c>
      <c r="U167" s="213">
        <f>IF(ISBLANK(S167),0,X167)</f>
      </c>
      <c r="V167" s="214">
        <f>IFERROR(Q167/K167,0)</f>
      </c>
      <c r="W167" s="58">
        <f>IFERROR(L167*V167,0)</f>
      </c>
      <c r="X167" s="213">
        <f>IFERROR(Q167+W167,0)</f>
      </c>
      <c r="Y167" s="213">
        <f>IFERROR(M167*V167,0)</f>
      </c>
      <c r="Z167" s="213">
        <f>Y167-(Y167*$B$1)</f>
      </c>
      <c r="AA167" s="67">
        <f>IFERROR(Z167/X167,"")</f>
      </c>
      <c r="AB167" s="215">
        <f>IFERROR(IF(ISBLANK(N167),Y167/O167,Y167/N167),0)</f>
      </c>
      <c r="AC167" s="215">
        <f>IFERROR(-1*(AB167*B$1),0)</f>
      </c>
      <c r="AD167" s="215">
        <f>IFERROR(SUM(AB167:AC167),0)</f>
      </c>
      <c r="AE167" s="215">
        <f>IF(ISBLANK(N167),AD167,AD167*5)</f>
      </c>
      <c r="AF167" s="216">
        <f>SUM(AG167:BC167)</f>
      </c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8"/>
      <c r="BD167" s="215">
        <f>Z167-AF167</f>
      </c>
      <c r="BE167" s="238">
        <f>IFERROR(AF167/Y167,0)</f>
      </c>
      <c r="BF167" s="214">
        <f>IFERROR(AF167/X167,0)</f>
      </c>
      <c r="BG167" s="214">
        <f>IFERROR((X167/SUM(X$58:X$70)),0)</f>
      </c>
      <c r="BH167" s="214">
        <f>BC167/SUM(BC$3:BC364)</f>
      </c>
      <c r="BI167" s="217">
        <f>BC167/'R&amp;H Portfolio'!Q$10</f>
      </c>
      <c r="BJ167" s="215">
        <f>BF167*P167</f>
      </c>
      <c r="BK167" s="3"/>
      <c r="BL167" s="3"/>
      <c r="BM167" s="3"/>
    </row>
    <row x14ac:dyDescent="0.25" r="168" customHeight="1" ht="15">
      <c r="A168" s="17"/>
      <c r="B168" s="14"/>
      <c r="C168" s="3"/>
      <c r="D168" s="3"/>
      <c r="E168" s="3"/>
      <c r="F168" s="3"/>
      <c r="G168" s="16"/>
      <c r="H168" s="18"/>
      <c r="I168" s="18"/>
      <c r="J168" s="208">
        <f>H168+I168</f>
      </c>
      <c r="K168" s="1"/>
      <c r="L168" s="58">
        <f>K168*I168</f>
      </c>
      <c r="M168" s="58">
        <f>K168*J168</f>
      </c>
      <c r="N168" s="16"/>
      <c r="O168" s="16"/>
      <c r="P168" s="211">
        <f>IF(ISBLANK(N168),O168/4.3,N168/20)</f>
      </c>
      <c r="Q168" s="1"/>
      <c r="R168" s="3"/>
      <c r="S168" s="3"/>
      <c r="T168" s="213">
        <f>IF(ISBLANK(R168),0,X168)</f>
      </c>
      <c r="U168" s="213">
        <f>IF(ISBLANK(S168),0,X168)</f>
      </c>
      <c r="V168" s="214">
        <f>IFERROR(Q168/K168,0)</f>
      </c>
      <c r="W168" s="58">
        <f>IFERROR(L168*V168,0)</f>
      </c>
      <c r="X168" s="213">
        <f>IFERROR(Q168+W168,0)</f>
      </c>
      <c r="Y168" s="213">
        <f>IFERROR(M168*V168,0)</f>
      </c>
      <c r="Z168" s="213">
        <f>Y168-(Y168*$B$1)</f>
      </c>
      <c r="AA168" s="67">
        <f>IFERROR(Z168/X168,"")</f>
      </c>
      <c r="AB168" s="215">
        <f>IFERROR(IF(ISBLANK(N168),Y168/O168,Y168/N168),0)</f>
      </c>
      <c r="AC168" s="215">
        <f>IFERROR(-1*(AB168*B$1),0)</f>
      </c>
      <c r="AD168" s="215">
        <f>IFERROR(SUM(AB168:AC168),0)</f>
      </c>
      <c r="AE168" s="215">
        <f>IF(ISBLANK(N168),AD168,AD168*5)</f>
      </c>
      <c r="AF168" s="216">
        <f>SUM(AG168:BC168)</f>
      </c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8"/>
      <c r="BD168" s="215">
        <f>Z168-AF168</f>
      </c>
      <c r="BE168" s="238">
        <f>IFERROR(AF168/Y168,0)</f>
      </c>
      <c r="BF168" s="214">
        <f>IFERROR(AF168/X168,0)</f>
      </c>
      <c r="BG168" s="214">
        <f>IFERROR((X168/SUM(X$58:X$70)),0)</f>
      </c>
      <c r="BH168" s="214">
        <f>BC168/SUM(BC$3:BC365)</f>
      </c>
      <c r="BI168" s="217">
        <f>BC168/'R&amp;H Portfolio'!Q$10</f>
      </c>
      <c r="BJ168" s="215">
        <f>BF168*P168</f>
      </c>
      <c r="BK168" s="3"/>
      <c r="BL168" s="3"/>
      <c r="BM168" s="3"/>
    </row>
    <row x14ac:dyDescent="0.25" r="169" customHeight="1" ht="15">
      <c r="A169" s="17"/>
      <c r="B169" s="14"/>
      <c r="C169" s="3"/>
      <c r="D169" s="3"/>
      <c r="E169" s="3"/>
      <c r="F169" s="3"/>
      <c r="G169" s="16"/>
      <c r="H169" s="18"/>
      <c r="I169" s="18"/>
      <c r="J169" s="208">
        <f>H169+I169</f>
      </c>
      <c r="K169" s="1"/>
      <c r="L169" s="58">
        <f>K169*I169</f>
      </c>
      <c r="M169" s="58">
        <f>K169*J169</f>
      </c>
      <c r="N169" s="16"/>
      <c r="O169" s="16"/>
      <c r="P169" s="211">
        <f>IF(ISBLANK(N169),O169/4.3,N169/20)</f>
      </c>
      <c r="Q169" s="1"/>
      <c r="R169" s="3"/>
      <c r="S169" s="3"/>
      <c r="T169" s="213">
        <f>IF(ISBLANK(R169),0,X169)</f>
      </c>
      <c r="U169" s="213">
        <f>IF(ISBLANK(S169),0,X169)</f>
      </c>
      <c r="V169" s="214">
        <f>IFERROR(Q169/K169,0)</f>
      </c>
      <c r="W169" s="58">
        <f>IFERROR(L169*V169,0)</f>
      </c>
      <c r="X169" s="213">
        <f>IFERROR(Q169+W169,0)</f>
      </c>
      <c r="Y169" s="213">
        <f>IFERROR(M169*V169,0)</f>
      </c>
      <c r="Z169" s="213">
        <f>Y169-(Y169*$B$1)</f>
      </c>
      <c r="AA169" s="67">
        <f>IFERROR(Z169/X169,"")</f>
      </c>
      <c r="AB169" s="215">
        <f>IFERROR(IF(ISBLANK(N169),Y169/O169,Y169/N169),0)</f>
      </c>
      <c r="AC169" s="215">
        <f>IFERROR(-1*(AB169*B$1),0)</f>
      </c>
      <c r="AD169" s="215">
        <f>IFERROR(SUM(AB169:AC169),0)</f>
      </c>
      <c r="AE169" s="215">
        <f>IF(ISBLANK(N169),AD169,AD169*5)</f>
      </c>
      <c r="AF169" s="216">
        <f>SUM(AG169:BC169)</f>
      </c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8"/>
      <c r="BD169" s="215">
        <f>Z169-AF169</f>
      </c>
      <c r="BE169" s="238">
        <f>IFERROR(AF169/Y169,0)</f>
      </c>
      <c r="BF169" s="214">
        <f>IFERROR(AF169/X169,0)</f>
      </c>
      <c r="BG169" s="214">
        <f>IFERROR((X169/SUM(X$58:X$70)),0)</f>
      </c>
      <c r="BH169" s="214">
        <f>BC169/SUM(BC$3:BC366)</f>
      </c>
      <c r="BI169" s="217">
        <f>BC169/'R&amp;H Portfolio'!Q$10</f>
      </c>
      <c r="BJ169" s="215">
        <f>BF169*P169</f>
      </c>
      <c r="BK169" s="3"/>
      <c r="BL169" s="3"/>
      <c r="BM169" s="3"/>
    </row>
    <row x14ac:dyDescent="0.25" r="170" customHeight="1" ht="15">
      <c r="A170" s="17"/>
      <c r="B170" s="14"/>
      <c r="C170" s="3"/>
      <c r="D170" s="3"/>
      <c r="E170" s="3"/>
      <c r="F170" s="3"/>
      <c r="G170" s="16"/>
      <c r="H170" s="18"/>
      <c r="I170" s="18"/>
      <c r="J170" s="208">
        <f>H170+I170</f>
      </c>
      <c r="K170" s="1"/>
      <c r="L170" s="58">
        <f>K170*I170</f>
      </c>
      <c r="M170" s="58">
        <f>K170*J170</f>
      </c>
      <c r="N170" s="16"/>
      <c r="O170" s="16"/>
      <c r="P170" s="211">
        <f>IF(ISBLANK(N170),O170/4.3,N170/20)</f>
      </c>
      <c r="Q170" s="1"/>
      <c r="R170" s="3"/>
      <c r="S170" s="3"/>
      <c r="T170" s="213">
        <f>IF(ISBLANK(R170),0,X170)</f>
      </c>
      <c r="U170" s="213">
        <f>IF(ISBLANK(S170),0,X170)</f>
      </c>
      <c r="V170" s="214">
        <f>IFERROR(Q170/K170,0)</f>
      </c>
      <c r="W170" s="58">
        <f>IFERROR(L170*V170,0)</f>
      </c>
      <c r="X170" s="213">
        <f>IFERROR(Q170+W170,0)</f>
      </c>
      <c r="Y170" s="213">
        <f>IFERROR(M170*V170,0)</f>
      </c>
      <c r="Z170" s="213">
        <f>Y170-(Y170*$B$1)</f>
      </c>
      <c r="AA170" s="67">
        <f>IFERROR(Z170/X170,"")</f>
      </c>
      <c r="AB170" s="215">
        <f>IFERROR(IF(ISBLANK(N170),Y170/O170,Y170/N170),0)</f>
      </c>
      <c r="AC170" s="215">
        <f>IFERROR(-1*(AB170*B$1),0)</f>
      </c>
      <c r="AD170" s="215">
        <f>IFERROR(SUM(AB170:AC170),0)</f>
      </c>
      <c r="AE170" s="215">
        <f>IF(ISBLANK(N170),AD170,AD170*5)</f>
      </c>
      <c r="AF170" s="216">
        <f>SUM(AG170:BC170)</f>
      </c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8"/>
      <c r="BD170" s="215">
        <f>Z170-AF170</f>
      </c>
      <c r="BE170" s="238">
        <f>IFERROR(AF170/Y170,0)</f>
      </c>
      <c r="BF170" s="214">
        <f>IFERROR(AF170/X170,0)</f>
      </c>
      <c r="BG170" s="214">
        <f>IFERROR((X170/SUM(X$58:X$70)),0)</f>
      </c>
      <c r="BH170" s="214">
        <f>BC170/SUM(BC$3:BC367)</f>
      </c>
      <c r="BI170" s="217">
        <f>BC170/'R&amp;H Portfolio'!Q$10</f>
      </c>
      <c r="BJ170" s="215">
        <f>BF170*P170</f>
      </c>
      <c r="BK170" s="3"/>
      <c r="BL170" s="3"/>
      <c r="BM170" s="3"/>
    </row>
    <row x14ac:dyDescent="0.25" r="171" customHeight="1" ht="15">
      <c r="A171" s="17"/>
      <c r="B171" s="14"/>
      <c r="C171" s="3"/>
      <c r="D171" s="3"/>
      <c r="E171" s="3"/>
      <c r="F171" s="3"/>
      <c r="G171" s="16"/>
      <c r="H171" s="18"/>
      <c r="I171" s="18"/>
      <c r="J171" s="208">
        <f>H171+I171</f>
      </c>
      <c r="K171" s="1"/>
      <c r="L171" s="58">
        <f>K171*I171</f>
      </c>
      <c r="M171" s="58">
        <f>K171*J171</f>
      </c>
      <c r="N171" s="16"/>
      <c r="O171" s="16"/>
      <c r="P171" s="211">
        <f>IF(ISBLANK(N171),O171/4.3,N171/20)</f>
      </c>
      <c r="Q171" s="1"/>
      <c r="R171" s="3"/>
      <c r="S171" s="3"/>
      <c r="T171" s="213">
        <f>IF(ISBLANK(R171),0,X171)</f>
      </c>
      <c r="U171" s="213">
        <f>IF(ISBLANK(S171),0,X171)</f>
      </c>
      <c r="V171" s="214">
        <f>IFERROR(Q171/K171,0)</f>
      </c>
      <c r="W171" s="58">
        <f>IFERROR(L171*V171,0)</f>
      </c>
      <c r="X171" s="213">
        <f>IFERROR(Q171+W171,0)</f>
      </c>
      <c r="Y171" s="213">
        <f>IFERROR(M171*V171,0)</f>
      </c>
      <c r="Z171" s="213">
        <f>Y171-(Y171*$B$1)</f>
      </c>
      <c r="AA171" s="67">
        <f>IFERROR(Z171/X171,"")</f>
      </c>
      <c r="AB171" s="215">
        <f>IFERROR(IF(ISBLANK(N171),Y171/O171,Y171/N171),0)</f>
      </c>
      <c r="AC171" s="215">
        <f>IFERROR(-1*(AB171*B$1),0)</f>
      </c>
      <c r="AD171" s="215">
        <f>IFERROR(SUM(AB171:AC171),0)</f>
      </c>
      <c r="AE171" s="215">
        <f>IF(ISBLANK(N171),AD171,AD171*5)</f>
      </c>
      <c r="AF171" s="216">
        <f>SUM(AG171:BC171)</f>
      </c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8"/>
      <c r="BD171" s="215">
        <f>Z171-AF171</f>
      </c>
      <c r="BE171" s="238">
        <f>IFERROR(AF171/Y171,0)</f>
      </c>
      <c r="BF171" s="214">
        <f>IFERROR(AF171/X171,0)</f>
      </c>
      <c r="BG171" s="214">
        <f>IFERROR((X171/SUM(X$58:X$70)),0)</f>
      </c>
      <c r="BH171" s="214">
        <f>BC171/SUM(BC$3:BC368)</f>
      </c>
      <c r="BI171" s="217">
        <f>BC171/'R&amp;H Portfolio'!Q$10</f>
      </c>
      <c r="BJ171" s="215">
        <f>BF171*P171</f>
      </c>
      <c r="BK171" s="3"/>
      <c r="BL171" s="3"/>
      <c r="BM171" s="3"/>
    </row>
    <row x14ac:dyDescent="0.25" r="172" customHeight="1" ht="15">
      <c r="A172" s="17"/>
      <c r="B172" s="14"/>
      <c r="C172" s="3"/>
      <c r="D172" s="3"/>
      <c r="E172" s="3"/>
      <c r="F172" s="3"/>
      <c r="G172" s="16"/>
      <c r="H172" s="18"/>
      <c r="I172" s="18"/>
      <c r="J172" s="208">
        <f>H172+I172</f>
      </c>
      <c r="K172" s="1"/>
      <c r="L172" s="58">
        <f>K172*I172</f>
      </c>
      <c r="M172" s="58">
        <f>K172*J172</f>
      </c>
      <c r="N172" s="16"/>
      <c r="O172" s="16"/>
      <c r="P172" s="211">
        <f>IF(ISBLANK(N172),O172/4.3,N172/20)</f>
      </c>
      <c r="Q172" s="1"/>
      <c r="R172" s="3"/>
      <c r="S172" s="3"/>
      <c r="T172" s="213">
        <f>IF(ISBLANK(R172),0,X172)</f>
      </c>
      <c r="U172" s="213">
        <f>IF(ISBLANK(S172),0,X172)</f>
      </c>
      <c r="V172" s="214">
        <f>IFERROR(Q172/K172,0)</f>
      </c>
      <c r="W172" s="58">
        <f>IFERROR(L172*V172,0)</f>
      </c>
      <c r="X172" s="213">
        <f>IFERROR(Q172+W172,0)</f>
      </c>
      <c r="Y172" s="213">
        <f>IFERROR(M172*V172,0)</f>
      </c>
      <c r="Z172" s="213">
        <f>Y172-(Y172*$B$1)</f>
      </c>
      <c r="AA172" s="67">
        <f>IFERROR(Z172/X172,"")</f>
      </c>
      <c r="AB172" s="215">
        <f>IFERROR(IF(ISBLANK(N172),Y172/O172,Y172/N172),0)</f>
      </c>
      <c r="AC172" s="215">
        <f>IFERROR(-1*(AB172*B$1),0)</f>
      </c>
      <c r="AD172" s="215">
        <f>IFERROR(SUM(AB172:AC172),0)</f>
      </c>
      <c r="AE172" s="215">
        <f>IF(ISBLANK(N172),AD172,AD172*5)</f>
      </c>
      <c r="AF172" s="216">
        <f>SUM(AG172:BC172)</f>
      </c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8"/>
      <c r="BD172" s="215">
        <f>Z172-AF172</f>
      </c>
      <c r="BE172" s="238">
        <f>IFERROR(AF172/Y172,0)</f>
      </c>
      <c r="BF172" s="214">
        <f>IFERROR(AF172/X172,0)</f>
      </c>
      <c r="BG172" s="214">
        <f>IFERROR((X172/SUM(X$58:X$70)),0)</f>
      </c>
      <c r="BH172" s="214">
        <f>BC172/SUM(BC$3:BC369)</f>
      </c>
      <c r="BI172" s="217">
        <f>BC172/'R&amp;H Portfolio'!Q$10</f>
      </c>
      <c r="BJ172" s="215">
        <f>BF172*P172</f>
      </c>
      <c r="BK172" s="3"/>
      <c r="BL172" s="3"/>
      <c r="BM172" s="3"/>
    </row>
    <row x14ac:dyDescent="0.25" r="173" customHeight="1" ht="15">
      <c r="A173" s="17"/>
      <c r="B173" s="14"/>
      <c r="C173" s="3"/>
      <c r="D173" s="3"/>
      <c r="E173" s="3"/>
      <c r="F173" s="3"/>
      <c r="G173" s="16"/>
      <c r="H173" s="18"/>
      <c r="I173" s="18"/>
      <c r="J173" s="208">
        <f>H173+I173</f>
      </c>
      <c r="K173" s="1"/>
      <c r="L173" s="58">
        <f>K173*I173</f>
      </c>
      <c r="M173" s="58">
        <f>K173*J173</f>
      </c>
      <c r="N173" s="16"/>
      <c r="O173" s="16"/>
      <c r="P173" s="211">
        <f>IF(ISBLANK(N173),O173/4.3,N173/20)</f>
      </c>
      <c r="Q173" s="1"/>
      <c r="R173" s="3"/>
      <c r="S173" s="3"/>
      <c r="T173" s="213">
        <f>IF(ISBLANK(R173),0,X173)</f>
      </c>
      <c r="U173" s="213">
        <f>IF(ISBLANK(S173),0,X173)</f>
      </c>
      <c r="V173" s="214">
        <f>IFERROR(Q173/K173,0)</f>
      </c>
      <c r="W173" s="58">
        <f>IFERROR(L173*V173,0)</f>
      </c>
      <c r="X173" s="213">
        <f>IFERROR(Q173+W173,0)</f>
      </c>
      <c r="Y173" s="213">
        <f>IFERROR(M173*V173,0)</f>
      </c>
      <c r="Z173" s="213">
        <f>Y173-(Y173*$B$1)</f>
      </c>
      <c r="AA173" s="67">
        <f>IFERROR(Z173/X173,"")</f>
      </c>
      <c r="AB173" s="215">
        <f>IFERROR(IF(ISBLANK(N173),Y173/O173,Y173/N173),0)</f>
      </c>
      <c r="AC173" s="215">
        <f>IFERROR(-1*(AB173*B$1),0)</f>
      </c>
      <c r="AD173" s="215">
        <f>IFERROR(SUM(AB173:AC173),0)</f>
      </c>
      <c r="AE173" s="215">
        <f>IF(ISBLANK(N173),AD173,AD173*5)</f>
      </c>
      <c r="AF173" s="216">
        <f>SUM(AG173:BC173)</f>
      </c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8"/>
      <c r="BD173" s="215">
        <f>Z173-AF173</f>
      </c>
      <c r="BE173" s="238">
        <f>IFERROR(AF173/Y173,0)</f>
      </c>
      <c r="BF173" s="214">
        <f>IFERROR(AF173/X173,0)</f>
      </c>
      <c r="BG173" s="214">
        <f>IFERROR((X173/SUM(X$58:X$70)),0)</f>
      </c>
      <c r="BH173" s="214">
        <f>BC173/SUM(BC$3:BC370)</f>
      </c>
      <c r="BI173" s="217">
        <f>BC173/'R&amp;H Portfolio'!Q$10</f>
      </c>
      <c r="BJ173" s="215">
        <f>BF173*P173</f>
      </c>
      <c r="BK173" s="3"/>
      <c r="BL173" s="3"/>
      <c r="BM173" s="3"/>
    </row>
    <row x14ac:dyDescent="0.25" r="174" customHeight="1" ht="15">
      <c r="A174" s="17"/>
      <c r="B174" s="14"/>
      <c r="C174" s="3"/>
      <c r="D174" s="3"/>
      <c r="E174" s="3"/>
      <c r="F174" s="3"/>
      <c r="G174" s="16"/>
      <c r="H174" s="18"/>
      <c r="I174" s="18"/>
      <c r="J174" s="208">
        <f>H174+I174</f>
      </c>
      <c r="K174" s="1"/>
      <c r="L174" s="58">
        <f>K174*I174</f>
      </c>
      <c r="M174" s="58">
        <f>K174*J174</f>
      </c>
      <c r="N174" s="16"/>
      <c r="O174" s="16"/>
      <c r="P174" s="211">
        <f>IF(ISBLANK(N174),O174/4.3,N174/20)</f>
      </c>
      <c r="Q174" s="1"/>
      <c r="R174" s="3"/>
      <c r="S174" s="3"/>
      <c r="T174" s="213">
        <f>IF(ISBLANK(R174),0,X174)</f>
      </c>
      <c r="U174" s="213">
        <f>IF(ISBLANK(S174),0,X174)</f>
      </c>
      <c r="V174" s="214">
        <f>IFERROR(Q174/K174,0)</f>
      </c>
      <c r="W174" s="58">
        <f>IFERROR(L174*V174,0)</f>
      </c>
      <c r="X174" s="213">
        <f>IFERROR(Q174+W174,0)</f>
      </c>
      <c r="Y174" s="213">
        <f>IFERROR(M174*V174,0)</f>
      </c>
      <c r="Z174" s="213">
        <f>Y174-(Y174*$B$1)</f>
      </c>
      <c r="AA174" s="67">
        <f>IFERROR(Z174/X174,"")</f>
      </c>
      <c r="AB174" s="215">
        <f>IFERROR(IF(ISBLANK(N174),Y174/O174,Y174/N174),0)</f>
      </c>
      <c r="AC174" s="215">
        <f>IFERROR(-1*(AB174*B$1),0)</f>
      </c>
      <c r="AD174" s="215">
        <f>IFERROR(SUM(AB174:AC174),0)</f>
      </c>
      <c r="AE174" s="215">
        <f>IF(ISBLANK(N174),AD174,AD174*5)</f>
      </c>
      <c r="AF174" s="216">
        <f>SUM(AG174:BC174)</f>
      </c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8"/>
      <c r="BD174" s="215">
        <f>Z174-AF174</f>
      </c>
      <c r="BE174" s="238">
        <f>IFERROR(AF174/Y174,0)</f>
      </c>
      <c r="BF174" s="214">
        <f>IFERROR(AF174/X174,0)</f>
      </c>
      <c r="BG174" s="214">
        <f>IFERROR((X174/SUM(X$58:X$70)),0)</f>
      </c>
      <c r="BH174" s="214">
        <f>BC174/SUM(BC$3:BC371)</f>
      </c>
      <c r="BI174" s="217">
        <f>BC174/'R&amp;H Portfolio'!Q$10</f>
      </c>
      <c r="BJ174" s="215">
        <f>BF174*P174</f>
      </c>
      <c r="BK174" s="3"/>
      <c r="BL174" s="3"/>
      <c r="BM174" s="3"/>
    </row>
    <row x14ac:dyDescent="0.25" r="175" customHeight="1" ht="15">
      <c r="A175" s="17"/>
      <c r="B175" s="14"/>
      <c r="C175" s="3"/>
      <c r="D175" s="3"/>
      <c r="E175" s="3"/>
      <c r="F175" s="3"/>
      <c r="G175" s="16"/>
      <c r="H175" s="18"/>
      <c r="I175" s="18"/>
      <c r="J175" s="208">
        <f>H175+I175</f>
      </c>
      <c r="K175" s="1"/>
      <c r="L175" s="58">
        <f>K175*I175</f>
      </c>
      <c r="M175" s="58">
        <f>K175*J175</f>
      </c>
      <c r="N175" s="16"/>
      <c r="O175" s="16"/>
      <c r="P175" s="211">
        <f>IF(ISBLANK(N175),O175/4.3,N175/20)</f>
      </c>
      <c r="Q175" s="1"/>
      <c r="R175" s="3"/>
      <c r="S175" s="3"/>
      <c r="T175" s="213">
        <f>IF(ISBLANK(R175),0,X175)</f>
      </c>
      <c r="U175" s="213">
        <f>IF(ISBLANK(S175),0,X175)</f>
      </c>
      <c r="V175" s="214">
        <f>IFERROR(Q175/K175,0)</f>
      </c>
      <c r="W175" s="58">
        <f>IFERROR(L175*V175,0)</f>
      </c>
      <c r="X175" s="213">
        <f>IFERROR(Q175+W175,0)</f>
      </c>
      <c r="Y175" s="213">
        <f>IFERROR(M175*V175,0)</f>
      </c>
      <c r="Z175" s="213">
        <f>Y175-(Y175*$B$1)</f>
      </c>
      <c r="AA175" s="67">
        <f>IFERROR(Z175/X175,"")</f>
      </c>
      <c r="AB175" s="215">
        <f>IFERROR(IF(ISBLANK(N175),Y175/O175,Y175/N175),0)</f>
      </c>
      <c r="AC175" s="215">
        <f>IFERROR(-1*(AB175*B$1),0)</f>
      </c>
      <c r="AD175" s="215">
        <f>IFERROR(SUM(AB175:AC175),0)</f>
      </c>
      <c r="AE175" s="215">
        <f>IF(ISBLANK(N175),AD175,AD175*5)</f>
      </c>
      <c r="AF175" s="216">
        <f>SUM(AG175:BC175)</f>
      </c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8"/>
      <c r="BD175" s="215">
        <f>Z175-AF175</f>
      </c>
      <c r="BE175" s="238">
        <f>IFERROR(AF175/Y175,0)</f>
      </c>
      <c r="BF175" s="214">
        <f>IFERROR(AF175/X175,0)</f>
      </c>
      <c r="BG175" s="214">
        <f>IFERROR((X175/SUM(X$58:X$70)),0)</f>
      </c>
      <c r="BH175" s="214">
        <f>BC175/SUM(BC$3:BC372)</f>
      </c>
      <c r="BI175" s="217">
        <f>BC175/'R&amp;H Portfolio'!Q$10</f>
      </c>
      <c r="BJ175" s="215">
        <f>BF175*P175</f>
      </c>
      <c r="BK175" s="3"/>
      <c r="BL175" s="3"/>
      <c r="BM175" s="3"/>
    </row>
    <row x14ac:dyDescent="0.25" r="176" customHeight="1" ht="15">
      <c r="A176" s="17"/>
      <c r="B176" s="14"/>
      <c r="C176" s="3"/>
      <c r="D176" s="3"/>
      <c r="E176" s="3"/>
      <c r="F176" s="3"/>
      <c r="G176" s="16"/>
      <c r="H176" s="18"/>
      <c r="I176" s="18"/>
      <c r="J176" s="208">
        <f>H176+I176</f>
      </c>
      <c r="K176" s="1"/>
      <c r="L176" s="58">
        <f>K176*I176</f>
      </c>
      <c r="M176" s="58">
        <f>K176*J176</f>
      </c>
      <c r="N176" s="16"/>
      <c r="O176" s="16"/>
      <c r="P176" s="211">
        <f>IF(ISBLANK(N176),O176/4.3,N176/20)</f>
      </c>
      <c r="Q176" s="1"/>
      <c r="R176" s="3"/>
      <c r="S176" s="3"/>
      <c r="T176" s="213">
        <f>IF(ISBLANK(R176),0,X176)</f>
      </c>
      <c r="U176" s="213">
        <f>IF(ISBLANK(S176),0,X176)</f>
      </c>
      <c r="V176" s="214">
        <f>IFERROR(Q176/K176,0)</f>
      </c>
      <c r="W176" s="58">
        <f>IFERROR(L176*V176,0)</f>
      </c>
      <c r="X176" s="213">
        <f>IFERROR(Q176+W176,0)</f>
      </c>
      <c r="Y176" s="213">
        <f>IFERROR(M176*V176,0)</f>
      </c>
      <c r="Z176" s="213">
        <f>Y176-(Y176*$B$1)</f>
      </c>
      <c r="AA176" s="67">
        <f>IFERROR(Z176/X176,"")</f>
      </c>
      <c r="AB176" s="215">
        <f>IFERROR(IF(ISBLANK(N176),Y176/O176,Y176/N176),0)</f>
      </c>
      <c r="AC176" s="215">
        <f>IFERROR(-1*(AB176*B$1),0)</f>
      </c>
      <c r="AD176" s="215">
        <f>IFERROR(SUM(AB176:AC176),0)</f>
      </c>
      <c r="AE176" s="215">
        <f>IF(ISBLANK(N176),AD176,AD176*5)</f>
      </c>
      <c r="AF176" s="216">
        <f>SUM(AG176:BC176)</f>
      </c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8"/>
      <c r="BD176" s="215">
        <f>Z176-AF176</f>
      </c>
      <c r="BE176" s="238">
        <f>IFERROR(AF176/Y176,0)</f>
      </c>
      <c r="BF176" s="214">
        <f>IFERROR(AF176/X176,0)</f>
      </c>
      <c r="BG176" s="214">
        <f>IFERROR((X176/SUM(X$58:X$70)),0)</f>
      </c>
      <c r="BH176" s="214">
        <f>BC176/SUM(BC$3:BC373)</f>
      </c>
      <c r="BI176" s="217">
        <f>BC176/'R&amp;H Portfolio'!Q$10</f>
      </c>
      <c r="BJ176" s="215">
        <f>BF176*P176</f>
      </c>
      <c r="BK176" s="3"/>
      <c r="BL176" s="3"/>
      <c r="BM176" s="3"/>
    </row>
    <row x14ac:dyDescent="0.25" r="177" customHeight="1" ht="15">
      <c r="A177" s="17"/>
      <c r="B177" s="14"/>
      <c r="C177" s="3"/>
      <c r="D177" s="3"/>
      <c r="E177" s="3"/>
      <c r="F177" s="3"/>
      <c r="G177" s="16"/>
      <c r="H177" s="18"/>
      <c r="I177" s="18"/>
      <c r="J177" s="208">
        <f>H177+I177</f>
      </c>
      <c r="K177" s="1"/>
      <c r="L177" s="58">
        <f>K177*I177</f>
      </c>
      <c r="M177" s="58">
        <f>K177*J177</f>
      </c>
      <c r="N177" s="16"/>
      <c r="O177" s="16"/>
      <c r="P177" s="211">
        <f>IF(ISBLANK(N177),O177/4.3,N177/20)</f>
      </c>
      <c r="Q177" s="1"/>
      <c r="R177" s="3"/>
      <c r="S177" s="3"/>
      <c r="T177" s="213">
        <f>IF(ISBLANK(R177),0,X177)</f>
      </c>
      <c r="U177" s="213">
        <f>IF(ISBLANK(S177),0,X177)</f>
      </c>
      <c r="V177" s="214">
        <f>IFERROR(Q177/K177,0)</f>
      </c>
      <c r="W177" s="58">
        <f>IFERROR(L177*V177,0)</f>
      </c>
      <c r="X177" s="213">
        <f>IFERROR(Q177+W177,0)</f>
      </c>
      <c r="Y177" s="213">
        <f>IFERROR(M177*V177,0)</f>
      </c>
      <c r="Z177" s="213">
        <f>Y177-(Y177*$B$1)</f>
      </c>
      <c r="AA177" s="67">
        <f>IFERROR(Z177/X177,"")</f>
      </c>
      <c r="AB177" s="215">
        <f>IFERROR(IF(ISBLANK(N177),Y177/O177,Y177/N177),0)</f>
      </c>
      <c r="AC177" s="215">
        <f>IFERROR(-1*(AB177*B$1),0)</f>
      </c>
      <c r="AD177" s="215">
        <f>IFERROR(SUM(AB177:AC177),0)</f>
      </c>
      <c r="AE177" s="215">
        <f>IF(ISBLANK(N177),AD177,AD177*5)</f>
      </c>
      <c r="AF177" s="216">
        <f>SUM(AG177:BC177)</f>
      </c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8"/>
      <c r="BD177" s="215">
        <f>Z177-AF177</f>
      </c>
      <c r="BE177" s="238">
        <f>IFERROR(AF177/Y177,0)</f>
      </c>
      <c r="BF177" s="214">
        <f>IFERROR(AF177/X177,0)</f>
      </c>
      <c r="BG177" s="214">
        <f>IFERROR((X177/SUM(X$58:X$70)),0)</f>
      </c>
      <c r="BH177" s="214">
        <f>BC177/SUM(BC$3:BC374)</f>
      </c>
      <c r="BI177" s="217">
        <f>BC177/'R&amp;H Portfolio'!Q$10</f>
      </c>
      <c r="BJ177" s="215">
        <f>BF177*P177</f>
      </c>
      <c r="BK177" s="3"/>
      <c r="BL177" s="3"/>
      <c r="BM177" s="3"/>
    </row>
    <row x14ac:dyDescent="0.25" r="178" customHeight="1" ht="15">
      <c r="A178" s="17"/>
      <c r="B178" s="14"/>
      <c r="C178" s="3"/>
      <c r="D178" s="3"/>
      <c r="E178" s="3"/>
      <c r="F178" s="3"/>
      <c r="G178" s="16"/>
      <c r="H178" s="18"/>
      <c r="I178" s="18"/>
      <c r="J178" s="208">
        <f>H178+I178</f>
      </c>
      <c r="K178" s="1"/>
      <c r="L178" s="58">
        <f>K178*I178</f>
      </c>
      <c r="M178" s="58">
        <f>K178*J178</f>
      </c>
      <c r="N178" s="16"/>
      <c r="O178" s="16"/>
      <c r="P178" s="211">
        <f>IF(ISBLANK(N178),O178/4.3,N178/20)</f>
      </c>
      <c r="Q178" s="1"/>
      <c r="R178" s="3"/>
      <c r="S178" s="3"/>
      <c r="T178" s="213">
        <f>IF(ISBLANK(R178),0,X178)</f>
      </c>
      <c r="U178" s="213">
        <f>IF(ISBLANK(S178),0,X178)</f>
      </c>
      <c r="V178" s="214">
        <f>IFERROR(Q178/K178,0)</f>
      </c>
      <c r="W178" s="58">
        <f>IFERROR(L178*V178,0)</f>
      </c>
      <c r="X178" s="213">
        <f>IFERROR(Q178+W178,0)</f>
      </c>
      <c r="Y178" s="213">
        <f>IFERROR(M178*V178,0)</f>
      </c>
      <c r="Z178" s="213">
        <f>Y178-(Y178*$B$1)</f>
      </c>
      <c r="AA178" s="67">
        <f>IFERROR(Z178/X178,"")</f>
      </c>
      <c r="AB178" s="215">
        <f>IFERROR(IF(ISBLANK(N178),Y178/O178,Y178/N178),0)</f>
      </c>
      <c r="AC178" s="215">
        <f>IFERROR(-1*(AB178*B$1),0)</f>
      </c>
      <c r="AD178" s="215">
        <f>IFERROR(SUM(AB178:AC178),0)</f>
      </c>
      <c r="AE178" s="215">
        <f>IF(ISBLANK(N178),AD178,AD178*5)</f>
      </c>
      <c r="AF178" s="216">
        <f>SUM(AG178:BC178)</f>
      </c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8"/>
      <c r="BD178" s="215">
        <f>Z178-AF178</f>
      </c>
      <c r="BE178" s="238">
        <f>IFERROR(AF178/Y178,0)</f>
      </c>
      <c r="BF178" s="214">
        <f>IFERROR(AF178/X178,0)</f>
      </c>
      <c r="BG178" s="214">
        <f>IFERROR((X178/SUM(X$58:X$70)),0)</f>
      </c>
      <c r="BH178" s="214">
        <f>BC178/SUM(BC$3:BC375)</f>
      </c>
      <c r="BI178" s="217">
        <f>BC178/'R&amp;H Portfolio'!Q$10</f>
      </c>
      <c r="BJ178" s="215">
        <f>BF178*P178</f>
      </c>
      <c r="BK178" s="3"/>
      <c r="BL178" s="3"/>
      <c r="BM178" s="3"/>
    </row>
    <row x14ac:dyDescent="0.25" r="179" customHeight="1" ht="15">
      <c r="A179" s="17"/>
      <c r="B179" s="14"/>
      <c r="C179" s="3"/>
      <c r="D179" s="3"/>
      <c r="E179" s="3"/>
      <c r="F179" s="3"/>
      <c r="G179" s="16"/>
      <c r="H179" s="18"/>
      <c r="I179" s="18"/>
      <c r="J179" s="208">
        <f>H179+I179</f>
      </c>
      <c r="K179" s="1"/>
      <c r="L179" s="58">
        <f>K179*I179</f>
      </c>
      <c r="M179" s="58">
        <f>K179*J179</f>
      </c>
      <c r="N179" s="16"/>
      <c r="O179" s="16"/>
      <c r="P179" s="211">
        <f>IF(ISBLANK(N179),O179/4.3,N179/20)</f>
      </c>
      <c r="Q179" s="1"/>
      <c r="R179" s="3"/>
      <c r="S179" s="3"/>
      <c r="T179" s="213">
        <f>IF(ISBLANK(R179),0,X179)</f>
      </c>
      <c r="U179" s="213">
        <f>IF(ISBLANK(S179),0,X179)</f>
      </c>
      <c r="V179" s="214">
        <f>IFERROR(Q179/K179,0)</f>
      </c>
      <c r="W179" s="58">
        <f>IFERROR(L179*V179,0)</f>
      </c>
      <c r="X179" s="213">
        <f>IFERROR(Q179+W179,0)</f>
      </c>
      <c r="Y179" s="213">
        <f>IFERROR(M179*V179,0)</f>
      </c>
      <c r="Z179" s="213">
        <f>Y179-(Y179*$B$1)</f>
      </c>
      <c r="AA179" s="67">
        <f>IFERROR(Z179/X179,"")</f>
      </c>
      <c r="AB179" s="215">
        <f>IFERROR(IF(ISBLANK(N179),Y179/O179,Y179/N179),0)</f>
      </c>
      <c r="AC179" s="215">
        <f>IFERROR(-1*(AB179*B$1),0)</f>
      </c>
      <c r="AD179" s="215">
        <f>IFERROR(SUM(AB179:AC179),0)</f>
      </c>
      <c r="AE179" s="215">
        <f>IF(ISBLANK(N179),AD179,AD179*5)</f>
      </c>
      <c r="AF179" s="216">
        <f>SUM(AG179:BC179)</f>
      </c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8"/>
      <c r="BD179" s="215">
        <f>Z179-AF179</f>
      </c>
      <c r="BE179" s="238">
        <f>IFERROR(AF179/Y179,0)</f>
      </c>
      <c r="BF179" s="214">
        <f>IFERROR(AF179/X179,0)</f>
      </c>
      <c r="BG179" s="214">
        <f>IFERROR((X179/SUM(X$58:X$70)),0)</f>
      </c>
      <c r="BH179" s="214">
        <f>BC179/SUM(BC$3:BC376)</f>
      </c>
      <c r="BI179" s="217">
        <f>BC179/'R&amp;H Portfolio'!Q$10</f>
      </c>
      <c r="BJ179" s="215">
        <f>BF179*P179</f>
      </c>
      <c r="BK179" s="3"/>
      <c r="BL179" s="3"/>
      <c r="BM179" s="3"/>
    </row>
    <row x14ac:dyDescent="0.25" r="180" customHeight="1" ht="15">
      <c r="A180" s="17"/>
      <c r="B180" s="14"/>
      <c r="C180" s="3"/>
      <c r="D180" s="3"/>
      <c r="E180" s="3"/>
      <c r="F180" s="3"/>
      <c r="G180" s="16"/>
      <c r="H180" s="18"/>
      <c r="I180" s="18"/>
      <c r="J180" s="208">
        <f>H180+I180</f>
      </c>
      <c r="K180" s="1"/>
      <c r="L180" s="58">
        <f>K180*I180</f>
      </c>
      <c r="M180" s="58">
        <f>K180*J180</f>
      </c>
      <c r="N180" s="16"/>
      <c r="O180" s="16"/>
      <c r="P180" s="211">
        <f>IF(ISBLANK(N180),O180/4.3,N180/20)</f>
      </c>
      <c r="Q180" s="1"/>
      <c r="R180" s="3"/>
      <c r="S180" s="3"/>
      <c r="T180" s="213">
        <f>IF(ISBLANK(R180),0,X180)</f>
      </c>
      <c r="U180" s="213">
        <f>IF(ISBLANK(S180),0,X180)</f>
      </c>
      <c r="V180" s="214">
        <f>IFERROR(Q180/K180,0)</f>
      </c>
      <c r="W180" s="58">
        <f>IFERROR(L180*V180,0)</f>
      </c>
      <c r="X180" s="213">
        <f>IFERROR(Q180+W180,0)</f>
      </c>
      <c r="Y180" s="213">
        <f>IFERROR(M180*V180,0)</f>
      </c>
      <c r="Z180" s="213">
        <f>Y180-(Y180*$B$1)</f>
      </c>
      <c r="AA180" s="67">
        <f>IFERROR(Z180/X180,"")</f>
      </c>
      <c r="AB180" s="215">
        <f>IFERROR(IF(ISBLANK(N180),Y180/O180,Y180/N180),0)</f>
      </c>
      <c r="AC180" s="215">
        <f>IFERROR(-1*(AB180*B$1),0)</f>
      </c>
      <c r="AD180" s="215">
        <f>IFERROR(SUM(AB180:AC180),0)</f>
      </c>
      <c r="AE180" s="215">
        <f>IF(ISBLANK(N180),AD180,AD180*5)</f>
      </c>
      <c r="AF180" s="216">
        <f>SUM(AG180:BC180)</f>
      </c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8"/>
      <c r="BD180" s="215">
        <f>Z180-AF180</f>
      </c>
      <c r="BE180" s="238">
        <f>IFERROR(AF180/Y180,0)</f>
      </c>
      <c r="BF180" s="214">
        <f>IFERROR(AF180/X180,0)</f>
      </c>
      <c r="BG180" s="214">
        <f>IFERROR((X180/SUM(X$58:X$70)),0)</f>
      </c>
      <c r="BH180" s="214">
        <f>BC180/SUM(BC$3:BC377)</f>
      </c>
      <c r="BI180" s="217">
        <f>BC180/'R&amp;H Portfolio'!Q$10</f>
      </c>
      <c r="BJ180" s="215">
        <f>BF180*P180</f>
      </c>
      <c r="BK180" s="3"/>
      <c r="BL180" s="3"/>
      <c r="BM180" s="3"/>
    </row>
    <row x14ac:dyDescent="0.25" r="181" customHeight="1" ht="15">
      <c r="A181" s="17"/>
      <c r="B181" s="14"/>
      <c r="C181" s="3"/>
      <c r="D181" s="3"/>
      <c r="E181" s="3"/>
      <c r="F181" s="3"/>
      <c r="G181" s="16"/>
      <c r="H181" s="18"/>
      <c r="I181" s="18"/>
      <c r="J181" s="208">
        <f>H181+I181</f>
      </c>
      <c r="K181" s="1"/>
      <c r="L181" s="58">
        <f>K181*I181</f>
      </c>
      <c r="M181" s="58">
        <f>K181*J181</f>
      </c>
      <c r="N181" s="16"/>
      <c r="O181" s="16"/>
      <c r="P181" s="211">
        <f>IF(ISBLANK(N181),O181/4.3,N181/20)</f>
      </c>
      <c r="Q181" s="1"/>
      <c r="R181" s="3"/>
      <c r="S181" s="3"/>
      <c r="T181" s="213">
        <f>IF(ISBLANK(R181),0,X181)</f>
      </c>
      <c r="U181" s="213">
        <f>IF(ISBLANK(S181),0,X181)</f>
      </c>
      <c r="V181" s="214">
        <f>IFERROR(Q181/K181,0)</f>
      </c>
      <c r="W181" s="58">
        <f>IFERROR(L181*V181,0)</f>
      </c>
      <c r="X181" s="213">
        <f>IFERROR(Q181+W181,0)</f>
      </c>
      <c r="Y181" s="213">
        <f>IFERROR(M181*V181,0)</f>
      </c>
      <c r="Z181" s="213">
        <f>Y181-(Y181*$B$1)</f>
      </c>
      <c r="AA181" s="67">
        <f>IFERROR(Z181/X181,"")</f>
      </c>
      <c r="AB181" s="215">
        <f>IFERROR(IF(ISBLANK(N181),Y181/O181,Y181/N181),0)</f>
      </c>
      <c r="AC181" s="215">
        <f>IFERROR(-1*(AB181*B$1),0)</f>
      </c>
      <c r="AD181" s="215">
        <f>IFERROR(SUM(AB181:AC181),0)</f>
      </c>
      <c r="AE181" s="215">
        <f>IF(ISBLANK(N181),AD181,AD181*5)</f>
      </c>
      <c r="AF181" s="216">
        <f>SUM(AG181:BC181)</f>
      </c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8"/>
      <c r="BD181" s="215">
        <f>Z181-AF181</f>
      </c>
      <c r="BE181" s="238">
        <f>IFERROR(AF181/Y181,0)</f>
      </c>
      <c r="BF181" s="214">
        <f>IFERROR(AF181/X181,0)</f>
      </c>
      <c r="BG181" s="214">
        <f>IFERROR((X181/SUM(X$58:X$70)),0)</f>
      </c>
      <c r="BH181" s="214">
        <f>BC181/SUM(BC$3:BC378)</f>
      </c>
      <c r="BI181" s="217">
        <f>BC181/'R&amp;H Portfolio'!Q$10</f>
      </c>
      <c r="BJ181" s="215">
        <f>BF181*P181</f>
      </c>
      <c r="BK181" s="3"/>
      <c r="BL181" s="3"/>
      <c r="BM181" s="3"/>
    </row>
    <row x14ac:dyDescent="0.25" r="182" customHeight="1" ht="15">
      <c r="A182" s="17"/>
      <c r="B182" s="14"/>
      <c r="C182" s="3"/>
      <c r="D182" s="3"/>
      <c r="E182" s="3"/>
      <c r="F182" s="3"/>
      <c r="G182" s="16"/>
      <c r="H182" s="18"/>
      <c r="I182" s="18"/>
      <c r="J182" s="208">
        <f>H182+I182</f>
      </c>
      <c r="K182" s="1"/>
      <c r="L182" s="58">
        <f>K182*I182</f>
      </c>
      <c r="M182" s="58">
        <f>K182*J182</f>
      </c>
      <c r="N182" s="16"/>
      <c r="O182" s="16"/>
      <c r="P182" s="211">
        <f>IF(ISBLANK(N182),O182/4.3,N182/20)</f>
      </c>
      <c r="Q182" s="1"/>
      <c r="R182" s="3"/>
      <c r="S182" s="3"/>
      <c r="T182" s="213">
        <f>IF(ISBLANK(R182),0,X182)</f>
      </c>
      <c r="U182" s="213">
        <f>IF(ISBLANK(S182),0,X182)</f>
      </c>
      <c r="V182" s="214">
        <f>IFERROR(Q182/K182,0)</f>
      </c>
      <c r="W182" s="58">
        <f>IFERROR(L182*V182,0)</f>
      </c>
      <c r="X182" s="213">
        <f>IFERROR(Q182+W182,0)</f>
      </c>
      <c r="Y182" s="213">
        <f>IFERROR(M182*V182,0)</f>
      </c>
      <c r="Z182" s="213">
        <f>Y182-(Y182*$B$1)</f>
      </c>
      <c r="AA182" s="67">
        <f>IFERROR(Z182/X182,"")</f>
      </c>
      <c r="AB182" s="215">
        <f>IFERROR(IF(ISBLANK(N182),Y182/O182,Y182/N182),0)</f>
      </c>
      <c r="AC182" s="215">
        <f>IFERROR(-1*(AB182*B$1),0)</f>
      </c>
      <c r="AD182" s="215">
        <f>IFERROR(SUM(AB182:AC182),0)</f>
      </c>
      <c r="AE182" s="215">
        <f>IF(ISBLANK(N182),AD182,AD182*5)</f>
      </c>
      <c r="AF182" s="216">
        <f>SUM(AG182:BC182)</f>
      </c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8"/>
      <c r="BD182" s="215">
        <f>Z182-AF182</f>
      </c>
      <c r="BE182" s="238">
        <f>IFERROR(AF182/Y182,0)</f>
      </c>
      <c r="BF182" s="214">
        <f>IFERROR(AF182/X182,0)</f>
      </c>
      <c r="BG182" s="214">
        <f>IFERROR((X182/SUM(X$58:X$70)),0)</f>
      </c>
      <c r="BH182" s="214">
        <f>BC182/SUM(BC$3:BC379)</f>
      </c>
      <c r="BI182" s="217">
        <f>BC182/'R&amp;H Portfolio'!Q$10</f>
      </c>
      <c r="BJ182" s="215">
        <f>BF182*P182</f>
      </c>
      <c r="BK182" s="3"/>
      <c r="BL182" s="3"/>
      <c r="BM182" s="3"/>
    </row>
    <row x14ac:dyDescent="0.25" r="183" customHeight="1" ht="15">
      <c r="A183" s="17"/>
      <c r="B183" s="14"/>
      <c r="C183" s="3"/>
      <c r="D183" s="3"/>
      <c r="E183" s="3"/>
      <c r="F183" s="3"/>
      <c r="G183" s="16"/>
      <c r="H183" s="18"/>
      <c r="I183" s="18"/>
      <c r="J183" s="208">
        <f>H183+I183</f>
      </c>
      <c r="K183" s="1"/>
      <c r="L183" s="58">
        <f>K183*I183</f>
      </c>
      <c r="M183" s="58">
        <f>K183*J183</f>
      </c>
      <c r="N183" s="16"/>
      <c r="O183" s="16"/>
      <c r="P183" s="211">
        <f>IF(ISBLANK(N183),O183/4.3,N183/20)</f>
      </c>
      <c r="Q183" s="1"/>
      <c r="R183" s="3"/>
      <c r="S183" s="3"/>
      <c r="T183" s="213">
        <f>IF(ISBLANK(R183),0,X183)</f>
      </c>
      <c r="U183" s="213">
        <f>IF(ISBLANK(S183),0,X183)</f>
      </c>
      <c r="V183" s="214">
        <f>IFERROR(Q183/K183,0)</f>
      </c>
      <c r="W183" s="58">
        <f>IFERROR(L183*V183,0)</f>
      </c>
      <c r="X183" s="213">
        <f>IFERROR(Q183+W183,0)</f>
      </c>
      <c r="Y183" s="213">
        <f>IFERROR(M183*V183,0)</f>
      </c>
      <c r="Z183" s="213">
        <f>Y183-(Y183*$B$1)</f>
      </c>
      <c r="AA183" s="67">
        <f>IFERROR(Z183/X183,"")</f>
      </c>
      <c r="AB183" s="215">
        <f>IFERROR(IF(ISBLANK(N183),Y183/O183,Y183/N183),0)</f>
      </c>
      <c r="AC183" s="215">
        <f>IFERROR(-1*(AB183*B$1),0)</f>
      </c>
      <c r="AD183" s="215">
        <f>IFERROR(SUM(AB183:AC183),0)</f>
      </c>
      <c r="AE183" s="215">
        <f>IF(ISBLANK(N183),AD183,AD183*5)</f>
      </c>
      <c r="AF183" s="216">
        <f>SUM(AG183:BC183)</f>
      </c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8"/>
      <c r="BD183" s="215">
        <f>Z183-AF183</f>
      </c>
      <c r="BE183" s="238">
        <f>IFERROR(AF183/Y183,0)</f>
      </c>
      <c r="BF183" s="214">
        <f>IFERROR(AF183/X183,0)</f>
      </c>
      <c r="BG183" s="214">
        <f>IFERROR((X183/SUM(X$58:X$70)),0)</f>
      </c>
      <c r="BH183" s="214">
        <f>BC183/SUM(BC$3:BC380)</f>
      </c>
      <c r="BI183" s="217">
        <f>BC183/'R&amp;H Portfolio'!Q$10</f>
      </c>
      <c r="BJ183" s="215">
        <f>BF183*P183</f>
      </c>
      <c r="BK183" s="3"/>
      <c r="BL183" s="3"/>
      <c r="BM183" s="3"/>
    </row>
    <row x14ac:dyDescent="0.25" r="184" customHeight="1" ht="15">
      <c r="A184" s="17"/>
      <c r="B184" s="14"/>
      <c r="C184" s="3"/>
      <c r="D184" s="3"/>
      <c r="E184" s="3"/>
      <c r="F184" s="3"/>
      <c r="G184" s="16"/>
      <c r="H184" s="18"/>
      <c r="I184" s="18"/>
      <c r="J184" s="208">
        <f>H184+I184</f>
      </c>
      <c r="K184" s="1"/>
      <c r="L184" s="58">
        <f>K184*I184</f>
      </c>
      <c r="M184" s="58">
        <f>K184*J184</f>
      </c>
      <c r="N184" s="16"/>
      <c r="O184" s="16"/>
      <c r="P184" s="211">
        <f>IF(ISBLANK(N184),O184/4.3,N184/20)</f>
      </c>
      <c r="Q184" s="1"/>
      <c r="R184" s="3"/>
      <c r="S184" s="3"/>
      <c r="T184" s="213">
        <f>IF(ISBLANK(R184),0,X184)</f>
      </c>
      <c r="U184" s="213">
        <f>IF(ISBLANK(S184),0,X184)</f>
      </c>
      <c r="V184" s="214">
        <f>IFERROR(Q184/K184,0)</f>
      </c>
      <c r="W184" s="58">
        <f>IFERROR(L184*V184,0)</f>
      </c>
      <c r="X184" s="213">
        <f>IFERROR(Q184+W184,0)</f>
      </c>
      <c r="Y184" s="213">
        <f>IFERROR(M184*V184,0)</f>
      </c>
      <c r="Z184" s="213">
        <f>Y184-(Y184*$B$1)</f>
      </c>
      <c r="AA184" s="67">
        <f>IFERROR(Z184/X184,"")</f>
      </c>
      <c r="AB184" s="215">
        <f>IFERROR(IF(ISBLANK(N184),Y184/O184,Y184/N184),0)</f>
      </c>
      <c r="AC184" s="215">
        <f>IFERROR(-1*(AB184*B$1),0)</f>
      </c>
      <c r="AD184" s="215">
        <f>IFERROR(SUM(AB184:AC184),0)</f>
      </c>
      <c r="AE184" s="215">
        <f>IF(ISBLANK(N184),AD184,AD184*5)</f>
      </c>
      <c r="AF184" s="216">
        <f>SUM(AG184:BC184)</f>
      </c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8"/>
      <c r="BD184" s="215">
        <f>Z184-AF184</f>
      </c>
      <c r="BE184" s="238">
        <f>IFERROR(AF184/Y184,0)</f>
      </c>
      <c r="BF184" s="214">
        <f>IFERROR(AF184/X184,0)</f>
      </c>
      <c r="BG184" s="214">
        <f>IFERROR((X184/SUM(X$58:X$70)),0)</f>
      </c>
      <c r="BH184" s="214">
        <f>BC184/SUM(BC$3:BC381)</f>
      </c>
      <c r="BI184" s="217">
        <f>BC184/'R&amp;H Portfolio'!Q$10</f>
      </c>
      <c r="BJ184" s="215">
        <f>BF184*P184</f>
      </c>
      <c r="BK184" s="3"/>
      <c r="BL184" s="3"/>
      <c r="BM184" s="3"/>
    </row>
    <row x14ac:dyDescent="0.25" r="185" customHeight="1" ht="15">
      <c r="A185" s="17"/>
      <c r="B185" s="14"/>
      <c r="C185" s="3"/>
      <c r="D185" s="3"/>
      <c r="E185" s="3"/>
      <c r="F185" s="3"/>
      <c r="G185" s="16"/>
      <c r="H185" s="18"/>
      <c r="I185" s="18"/>
      <c r="J185" s="208">
        <f>H185+I185</f>
      </c>
      <c r="K185" s="1"/>
      <c r="L185" s="58">
        <f>K185*I185</f>
      </c>
      <c r="M185" s="58">
        <f>K185*J185</f>
      </c>
      <c r="N185" s="16"/>
      <c r="O185" s="16"/>
      <c r="P185" s="211">
        <f>IF(ISBLANK(N185),O185/4.3,N185/20)</f>
      </c>
      <c r="Q185" s="1"/>
      <c r="R185" s="3"/>
      <c r="S185" s="3"/>
      <c r="T185" s="213">
        <f>IF(ISBLANK(R185),0,X185)</f>
      </c>
      <c r="U185" s="213">
        <f>IF(ISBLANK(S185),0,X185)</f>
      </c>
      <c r="V185" s="214">
        <f>IFERROR(Q185/K185,0)</f>
      </c>
      <c r="W185" s="58">
        <f>IFERROR(L185*V185,0)</f>
      </c>
      <c r="X185" s="213">
        <f>IFERROR(Q185+W185,0)</f>
      </c>
      <c r="Y185" s="213">
        <f>IFERROR(M185*V185,0)</f>
      </c>
      <c r="Z185" s="213">
        <f>Y185-(Y185*$B$1)</f>
      </c>
      <c r="AA185" s="67">
        <f>IFERROR(Z185/X185,"")</f>
      </c>
      <c r="AB185" s="215">
        <f>IFERROR(IF(ISBLANK(N185),Y185/O185,Y185/N185),0)</f>
      </c>
      <c r="AC185" s="215">
        <f>IFERROR(-1*(AB185*B$1),0)</f>
      </c>
      <c r="AD185" s="215">
        <f>IFERROR(SUM(AB185:AC185),0)</f>
      </c>
      <c r="AE185" s="215">
        <f>IF(ISBLANK(N185),AD185,AD185*5)</f>
      </c>
      <c r="AF185" s="216">
        <f>SUM(AG185:BC185)</f>
      </c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8"/>
      <c r="BD185" s="215">
        <f>Z185-AF185</f>
      </c>
      <c r="BE185" s="238">
        <f>IFERROR(AF185/Y185,0)</f>
      </c>
      <c r="BF185" s="214">
        <f>IFERROR(AF185/X185,0)</f>
      </c>
      <c r="BG185" s="214">
        <f>IFERROR((X185/SUM(X$58:X$70)),0)</f>
      </c>
      <c r="BH185" s="214">
        <f>BC185/SUM(BC$3:BC382)</f>
      </c>
      <c r="BI185" s="217">
        <f>BC185/'R&amp;H Portfolio'!Q$10</f>
      </c>
      <c r="BJ185" s="215">
        <f>BF185*P185</f>
      </c>
      <c r="BK185" s="3"/>
      <c r="BL185" s="3"/>
      <c r="BM185" s="3"/>
    </row>
    <row x14ac:dyDescent="0.25" r="186" customHeight="1" ht="15">
      <c r="A186" s="17"/>
      <c r="B186" s="14"/>
      <c r="C186" s="3"/>
      <c r="D186" s="3"/>
      <c r="E186" s="3"/>
      <c r="F186" s="3"/>
      <c r="G186" s="16"/>
      <c r="H186" s="18"/>
      <c r="I186" s="18"/>
      <c r="J186" s="208">
        <f>H186+I186</f>
      </c>
      <c r="K186" s="1"/>
      <c r="L186" s="58">
        <f>K186*I186</f>
      </c>
      <c r="M186" s="58">
        <f>K186*J186</f>
      </c>
      <c r="N186" s="16"/>
      <c r="O186" s="16"/>
      <c r="P186" s="211">
        <f>IF(ISBLANK(N186),O186/4.3,N186/20)</f>
      </c>
      <c r="Q186" s="1"/>
      <c r="R186" s="3"/>
      <c r="S186" s="3"/>
      <c r="T186" s="213">
        <f>IF(ISBLANK(R186),0,X186)</f>
      </c>
      <c r="U186" s="213">
        <f>IF(ISBLANK(S186),0,X186)</f>
      </c>
      <c r="V186" s="214">
        <f>IFERROR(Q186/K186,0)</f>
      </c>
      <c r="W186" s="58">
        <f>IFERROR(L186*V186,0)</f>
      </c>
      <c r="X186" s="213">
        <f>IFERROR(Q186+W186,0)</f>
      </c>
      <c r="Y186" s="213">
        <f>IFERROR(M186*V186,0)</f>
      </c>
      <c r="Z186" s="213">
        <f>Y186-(Y186*$B$1)</f>
      </c>
      <c r="AA186" s="67">
        <f>IFERROR(Z186/X186,"")</f>
      </c>
      <c r="AB186" s="215">
        <f>IFERROR(IF(ISBLANK(N186),Y186/O186,Y186/N186),0)</f>
      </c>
      <c r="AC186" s="215">
        <f>IFERROR(-1*(AB186*B$1),0)</f>
      </c>
      <c r="AD186" s="215">
        <f>IFERROR(SUM(AB186:AC186),0)</f>
      </c>
      <c r="AE186" s="215">
        <f>IF(ISBLANK(N186),AD186,AD186*5)</f>
      </c>
      <c r="AF186" s="216">
        <f>SUM(AG186:BC186)</f>
      </c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8"/>
      <c r="BD186" s="215">
        <f>Z186-AF186</f>
      </c>
      <c r="BE186" s="238">
        <f>IFERROR(AF186/Y186,0)</f>
      </c>
      <c r="BF186" s="214">
        <f>IFERROR(AF186/X186,0)</f>
      </c>
      <c r="BG186" s="214">
        <f>IFERROR((X186/SUM(X$58:X$70)),0)</f>
      </c>
      <c r="BH186" s="214">
        <f>BC186/SUM(BC$3:BC383)</f>
      </c>
      <c r="BI186" s="217">
        <f>BC186/'R&amp;H Portfolio'!Q$10</f>
      </c>
      <c r="BJ186" s="215">
        <f>BF186*P186</f>
      </c>
      <c r="BK186" s="3"/>
      <c r="BL186" s="3"/>
      <c r="BM186" s="3"/>
    </row>
    <row x14ac:dyDescent="0.25" r="187" customHeight="1" ht="15">
      <c r="A187" s="17"/>
      <c r="B187" s="14"/>
      <c r="C187" s="3"/>
      <c r="D187" s="3"/>
      <c r="E187" s="3"/>
      <c r="F187" s="3"/>
      <c r="G187" s="16"/>
      <c r="H187" s="18"/>
      <c r="I187" s="18"/>
      <c r="J187" s="208">
        <f>H187+I187</f>
      </c>
      <c r="K187" s="1"/>
      <c r="L187" s="58">
        <f>K187*I187</f>
      </c>
      <c r="M187" s="58">
        <f>K187*J187</f>
      </c>
      <c r="N187" s="16"/>
      <c r="O187" s="16"/>
      <c r="P187" s="211">
        <f>IF(ISBLANK(N187),O187/4.3,N187/20)</f>
      </c>
      <c r="Q187" s="1"/>
      <c r="R187" s="3"/>
      <c r="S187" s="3"/>
      <c r="T187" s="213">
        <f>IF(ISBLANK(R187),0,X187)</f>
      </c>
      <c r="U187" s="213">
        <f>IF(ISBLANK(S187),0,X187)</f>
      </c>
      <c r="V187" s="214">
        <f>IFERROR(Q187/K187,0)</f>
      </c>
      <c r="W187" s="58">
        <f>IFERROR(L187*V187,0)</f>
      </c>
      <c r="X187" s="213">
        <f>IFERROR(Q187+W187,0)</f>
      </c>
      <c r="Y187" s="213">
        <f>IFERROR(M187*V187,0)</f>
      </c>
      <c r="Z187" s="213">
        <f>Y187-(Y187*$B$1)</f>
      </c>
      <c r="AA187" s="67">
        <f>IFERROR(Z187/X187,"")</f>
      </c>
      <c r="AB187" s="215">
        <f>IFERROR(IF(ISBLANK(N187),Y187/O187,Y187/N187),0)</f>
      </c>
      <c r="AC187" s="215">
        <f>IFERROR(-1*(AB187*B$1),0)</f>
      </c>
      <c r="AD187" s="215">
        <f>IFERROR(SUM(AB187:AC187),0)</f>
      </c>
      <c r="AE187" s="215">
        <f>IF(ISBLANK(N187),AD187,AD187*5)</f>
      </c>
      <c r="AF187" s="216">
        <f>SUM(AG187:BC187)</f>
      </c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8"/>
      <c r="BD187" s="215">
        <f>Z187-AF187</f>
      </c>
      <c r="BE187" s="238">
        <f>IFERROR(AF187/Y187,0)</f>
      </c>
      <c r="BF187" s="214">
        <f>IFERROR(AF187/X187,0)</f>
      </c>
      <c r="BG187" s="214">
        <f>IFERROR((X187/SUM(X$58:X$70)),0)</f>
      </c>
      <c r="BH187" s="214">
        <f>BC187/SUM(BC$3:BC384)</f>
      </c>
      <c r="BI187" s="217">
        <f>BC187/'R&amp;H Portfolio'!Q$10</f>
      </c>
      <c r="BJ187" s="215">
        <f>BF187*P187</f>
      </c>
      <c r="BK187" s="3"/>
      <c r="BL187" s="3"/>
      <c r="BM187" s="3"/>
    </row>
    <row x14ac:dyDescent="0.25" r="188" customHeight="1" ht="15">
      <c r="A188" s="17"/>
      <c r="B188" s="14"/>
      <c r="C188" s="3"/>
      <c r="D188" s="3"/>
      <c r="E188" s="3"/>
      <c r="F188" s="3"/>
      <c r="G188" s="16"/>
      <c r="H188" s="18"/>
      <c r="I188" s="18"/>
      <c r="J188" s="208">
        <f>H188+I188</f>
      </c>
      <c r="K188" s="1"/>
      <c r="L188" s="58">
        <f>K188*I188</f>
      </c>
      <c r="M188" s="58">
        <f>K188*J188</f>
      </c>
      <c r="N188" s="16"/>
      <c r="O188" s="16"/>
      <c r="P188" s="211">
        <f>IF(ISBLANK(N188),O188/4.3,N188/20)</f>
      </c>
      <c r="Q188" s="1"/>
      <c r="R188" s="3"/>
      <c r="S188" s="3"/>
      <c r="T188" s="213">
        <f>IF(ISBLANK(R188),0,X188)</f>
      </c>
      <c r="U188" s="213">
        <f>IF(ISBLANK(S188),0,X188)</f>
      </c>
      <c r="V188" s="214">
        <f>IFERROR(Q188/K188,0)</f>
      </c>
      <c r="W188" s="58">
        <f>IFERROR(L188*V188,0)</f>
      </c>
      <c r="X188" s="213">
        <f>IFERROR(Q188+W188,0)</f>
      </c>
      <c r="Y188" s="213">
        <f>IFERROR(M188*V188,0)</f>
      </c>
      <c r="Z188" s="213">
        <f>Y188-(Y188*$B$1)</f>
      </c>
      <c r="AA188" s="67">
        <f>IFERROR(Z188/X188,"")</f>
      </c>
      <c r="AB188" s="215">
        <f>IFERROR(IF(ISBLANK(N188),Y188/O188,Y188/N188),0)</f>
      </c>
      <c r="AC188" s="215">
        <f>IFERROR(-1*(AB188*B$1),0)</f>
      </c>
      <c r="AD188" s="215">
        <f>IFERROR(SUM(AB188:AC188),0)</f>
      </c>
      <c r="AE188" s="215">
        <f>IF(ISBLANK(N188),AD188,AD188*5)</f>
      </c>
      <c r="AF188" s="216">
        <f>SUM(AG188:BC188)</f>
      </c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8"/>
      <c r="BD188" s="215">
        <f>Z188-AF188</f>
      </c>
      <c r="BE188" s="238">
        <f>IFERROR(AF188/Y188,0)</f>
      </c>
      <c r="BF188" s="214">
        <f>IFERROR(AF188/X188,0)</f>
      </c>
      <c r="BG188" s="214">
        <f>IFERROR((X188/SUM(X$58:X$70)),0)</f>
      </c>
      <c r="BH188" s="214">
        <f>BC188/SUM(BC$3:BC385)</f>
      </c>
      <c r="BI188" s="217">
        <f>BC188/'R&amp;H Portfolio'!Q$10</f>
      </c>
      <c r="BJ188" s="215">
        <f>BF188*P188</f>
      </c>
      <c r="BK188" s="3"/>
      <c r="BL188" s="3"/>
      <c r="BM188" s="3"/>
    </row>
    <row x14ac:dyDescent="0.25" r="189" customHeight="1" ht="15">
      <c r="A189" s="17"/>
      <c r="B189" s="14"/>
      <c r="C189" s="3"/>
      <c r="D189" s="3"/>
      <c r="E189" s="3"/>
      <c r="F189" s="3"/>
      <c r="G189" s="16"/>
      <c r="H189" s="18"/>
      <c r="I189" s="18"/>
      <c r="J189" s="208">
        <f>H189+I189</f>
      </c>
      <c r="K189" s="1"/>
      <c r="L189" s="58">
        <f>K189*I189</f>
      </c>
      <c r="M189" s="58">
        <f>K189*J189</f>
      </c>
      <c r="N189" s="16"/>
      <c r="O189" s="16"/>
      <c r="P189" s="211">
        <f>IF(ISBLANK(N189),O189/4.3,N189/20)</f>
      </c>
      <c r="Q189" s="1"/>
      <c r="R189" s="3"/>
      <c r="S189" s="3"/>
      <c r="T189" s="213">
        <f>IF(ISBLANK(R189),0,X189)</f>
      </c>
      <c r="U189" s="213">
        <f>IF(ISBLANK(S189),0,X189)</f>
      </c>
      <c r="V189" s="214">
        <f>IFERROR(Q189/K189,0)</f>
      </c>
      <c r="W189" s="58">
        <f>IFERROR(L189*V189,0)</f>
      </c>
      <c r="X189" s="213">
        <f>IFERROR(Q189+W189,0)</f>
      </c>
      <c r="Y189" s="213">
        <f>IFERROR(M189*V189,0)</f>
      </c>
      <c r="Z189" s="213">
        <f>Y189-(Y189*$B$1)</f>
      </c>
      <c r="AA189" s="67">
        <f>IFERROR(Z189/X189,"")</f>
      </c>
      <c r="AB189" s="215">
        <f>IFERROR(IF(ISBLANK(N189),Y189/O189,Y189/N189),0)</f>
      </c>
      <c r="AC189" s="215">
        <f>IFERROR(-1*(AB189*B$1),0)</f>
      </c>
      <c r="AD189" s="215">
        <f>IFERROR(SUM(AB189:AC189),0)</f>
      </c>
      <c r="AE189" s="215">
        <f>IF(ISBLANK(N189),AD189,AD189*5)</f>
      </c>
      <c r="AF189" s="216">
        <f>SUM(AG189:BC189)</f>
      </c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8"/>
      <c r="BD189" s="215">
        <f>Z189-AF189</f>
      </c>
      <c r="BE189" s="238">
        <f>IFERROR(AF189/Y189,0)</f>
      </c>
      <c r="BF189" s="214">
        <f>IFERROR(AF189/X189,0)</f>
      </c>
      <c r="BG189" s="214">
        <f>IFERROR((X189/SUM(X$58:X$70)),0)</f>
      </c>
      <c r="BH189" s="214">
        <f>BC189/SUM(BC$3:BC386)</f>
      </c>
      <c r="BI189" s="217">
        <f>BC189/'R&amp;H Portfolio'!Q$10</f>
      </c>
      <c r="BJ189" s="215">
        <f>BF189*P189</f>
      </c>
      <c r="BK189" s="3"/>
      <c r="BL189" s="3"/>
      <c r="BM189" s="3"/>
    </row>
    <row x14ac:dyDescent="0.25" r="190" customHeight="1" ht="15">
      <c r="A190" s="17"/>
      <c r="B190" s="14"/>
      <c r="C190" s="3"/>
      <c r="D190" s="3"/>
      <c r="E190" s="3"/>
      <c r="F190" s="3"/>
      <c r="G190" s="16"/>
      <c r="H190" s="18"/>
      <c r="I190" s="18"/>
      <c r="J190" s="208">
        <f>H190+I190</f>
      </c>
      <c r="K190" s="1"/>
      <c r="L190" s="58">
        <f>K190*I190</f>
      </c>
      <c r="M190" s="58">
        <f>K190*J190</f>
      </c>
      <c r="N190" s="16"/>
      <c r="O190" s="16"/>
      <c r="P190" s="211">
        <f>IF(ISBLANK(N190),O190/4.3,N190/20)</f>
      </c>
      <c r="Q190" s="1"/>
      <c r="R190" s="3"/>
      <c r="S190" s="3"/>
      <c r="T190" s="213">
        <f>IF(ISBLANK(R190),0,X190)</f>
      </c>
      <c r="U190" s="213">
        <f>IF(ISBLANK(S190),0,X190)</f>
      </c>
      <c r="V190" s="214">
        <f>IFERROR(Q190/K190,0)</f>
      </c>
      <c r="W190" s="58">
        <f>IFERROR(L190*V190,0)</f>
      </c>
      <c r="X190" s="213">
        <f>IFERROR(Q190+W190,0)</f>
      </c>
      <c r="Y190" s="213">
        <f>IFERROR(M190*V190,0)</f>
      </c>
      <c r="Z190" s="213">
        <f>Y190-(Y190*$B$1)</f>
      </c>
      <c r="AA190" s="67">
        <f>IFERROR(Z190/X190,"")</f>
      </c>
      <c r="AB190" s="215">
        <f>IFERROR(IF(ISBLANK(N190),Y190/O190,Y190/N190),0)</f>
      </c>
      <c r="AC190" s="215">
        <f>IFERROR(-1*(AB190*B$1),0)</f>
      </c>
      <c r="AD190" s="215">
        <f>IFERROR(SUM(AB190:AC190),0)</f>
      </c>
      <c r="AE190" s="215">
        <f>IF(ISBLANK(N190),AD190,AD190*5)</f>
      </c>
      <c r="AF190" s="216">
        <f>SUM(AG190:BC190)</f>
      </c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8"/>
      <c r="BD190" s="215">
        <f>Z190-AF190</f>
      </c>
      <c r="BE190" s="238">
        <f>IFERROR(AF190/Y190,0)</f>
      </c>
      <c r="BF190" s="214">
        <f>IFERROR(AF190/X190,0)</f>
      </c>
      <c r="BG190" s="214">
        <f>IFERROR((X190/SUM(X$58:X$70)),0)</f>
      </c>
      <c r="BH190" s="214">
        <f>BC190/SUM(BC$3:BC387)</f>
      </c>
      <c r="BI190" s="217">
        <f>BC190/'R&amp;H Portfolio'!Q$10</f>
      </c>
      <c r="BJ190" s="215">
        <f>BF190*P190</f>
      </c>
      <c r="BK190" s="3"/>
      <c r="BL190" s="3"/>
      <c r="BM190" s="3"/>
    </row>
    <row x14ac:dyDescent="0.25" r="191" customHeight="1" ht="15">
      <c r="A191" s="17"/>
      <c r="B191" s="14"/>
      <c r="C191" s="3"/>
      <c r="D191" s="3"/>
      <c r="E191" s="3"/>
      <c r="F191" s="3"/>
      <c r="G191" s="16"/>
      <c r="H191" s="18"/>
      <c r="I191" s="18"/>
      <c r="J191" s="208">
        <f>H191+I191</f>
      </c>
      <c r="K191" s="1"/>
      <c r="L191" s="58">
        <f>K191*I191</f>
      </c>
      <c r="M191" s="58">
        <f>K191*J191</f>
      </c>
      <c r="N191" s="16"/>
      <c r="O191" s="16"/>
      <c r="P191" s="211">
        <f>IF(ISBLANK(N191),O191/4.3,N191/20)</f>
      </c>
      <c r="Q191" s="1"/>
      <c r="R191" s="3"/>
      <c r="S191" s="3"/>
      <c r="T191" s="213">
        <f>IF(ISBLANK(R191),0,X191)</f>
      </c>
      <c r="U191" s="213">
        <f>IF(ISBLANK(S191),0,X191)</f>
      </c>
      <c r="V191" s="214">
        <f>IFERROR(Q191/K191,0)</f>
      </c>
      <c r="W191" s="58">
        <f>IFERROR(L191*V191,0)</f>
      </c>
      <c r="X191" s="213">
        <f>IFERROR(Q191+W191,0)</f>
      </c>
      <c r="Y191" s="213">
        <f>IFERROR(M191*V191,0)</f>
      </c>
      <c r="Z191" s="213">
        <f>Y191-(Y191*$B$1)</f>
      </c>
      <c r="AA191" s="67">
        <f>IFERROR(Z191/X191,"")</f>
      </c>
      <c r="AB191" s="215">
        <f>IFERROR(IF(ISBLANK(N191),Y191/O191,Y191/N191),0)</f>
      </c>
      <c r="AC191" s="215">
        <f>IFERROR(-1*(AB191*B$1),0)</f>
      </c>
      <c r="AD191" s="215">
        <f>IFERROR(SUM(AB191:AC191),0)</f>
      </c>
      <c r="AE191" s="215">
        <f>IF(ISBLANK(N191),AD191,AD191*5)</f>
      </c>
      <c r="AF191" s="216">
        <f>SUM(AG191:BC191)</f>
      </c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8"/>
      <c r="BD191" s="215">
        <f>Z191-AF191</f>
      </c>
      <c r="BE191" s="238">
        <f>IFERROR(AF191/Y191,0)</f>
      </c>
      <c r="BF191" s="214">
        <f>IFERROR(AF191/X191,0)</f>
      </c>
      <c r="BG191" s="214">
        <f>IFERROR((X191/SUM(X$58:X$70)),0)</f>
      </c>
      <c r="BH191" s="214">
        <f>BC191/SUM(BC$3:BC388)</f>
      </c>
      <c r="BI191" s="217">
        <f>BC191/'R&amp;H Portfolio'!Q$10</f>
      </c>
      <c r="BJ191" s="215">
        <f>BF191*P191</f>
      </c>
      <c r="BK191" s="3"/>
      <c r="BL191" s="3"/>
      <c r="BM191" s="3"/>
    </row>
    <row x14ac:dyDescent="0.25" r="192" customHeight="1" ht="15">
      <c r="A192" s="17"/>
      <c r="B192" s="14"/>
      <c r="C192" s="3"/>
      <c r="D192" s="3"/>
      <c r="E192" s="3"/>
      <c r="F192" s="3"/>
      <c r="G192" s="16"/>
      <c r="H192" s="18"/>
      <c r="I192" s="18"/>
      <c r="J192" s="208">
        <f>H192+I192</f>
      </c>
      <c r="K192" s="1"/>
      <c r="L192" s="58">
        <f>K192*I192</f>
      </c>
      <c r="M192" s="58">
        <f>K192*J192</f>
      </c>
      <c r="N192" s="16"/>
      <c r="O192" s="16"/>
      <c r="P192" s="211">
        <f>IF(ISBLANK(N192),O192/4.3,N192/20)</f>
      </c>
      <c r="Q192" s="1"/>
      <c r="R192" s="3"/>
      <c r="S192" s="3"/>
      <c r="T192" s="213">
        <f>IF(ISBLANK(R192),0,X192)</f>
      </c>
      <c r="U192" s="213">
        <f>IF(ISBLANK(S192),0,X192)</f>
      </c>
      <c r="V192" s="214">
        <f>IFERROR(Q192/K192,0)</f>
      </c>
      <c r="W192" s="58">
        <f>IFERROR(L192*V192,0)</f>
      </c>
      <c r="X192" s="213">
        <f>IFERROR(Q192+W192,0)</f>
      </c>
      <c r="Y192" s="213">
        <f>IFERROR(M192*V192,0)</f>
      </c>
      <c r="Z192" s="213">
        <f>Y192-(Y192*$B$1)</f>
      </c>
      <c r="AA192" s="67">
        <f>IFERROR(Z192/X192,"")</f>
      </c>
      <c r="AB192" s="215">
        <f>IFERROR(IF(ISBLANK(N192),Y192/O192,Y192/N192),0)</f>
      </c>
      <c r="AC192" s="215">
        <f>IFERROR(-1*(AB192*B$1),0)</f>
      </c>
      <c r="AD192" s="215">
        <f>IFERROR(SUM(AB192:AC192),0)</f>
      </c>
      <c r="AE192" s="215">
        <f>IF(ISBLANK(N192),AD192,AD192*5)</f>
      </c>
      <c r="AF192" s="216">
        <f>SUM(AG192:BC192)</f>
      </c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8"/>
      <c r="BD192" s="215">
        <f>Z192-AF192</f>
      </c>
      <c r="BE192" s="238">
        <f>IFERROR(AF192/Y192,0)</f>
      </c>
      <c r="BF192" s="214">
        <f>IFERROR(AF192/X192,0)</f>
      </c>
      <c r="BG192" s="214">
        <f>IFERROR((X192/SUM(X$58:X$70)),0)</f>
      </c>
      <c r="BH192" s="214">
        <f>BC192/SUM(BC$3:BC389)</f>
      </c>
      <c r="BI192" s="217">
        <f>BC192/'R&amp;H Portfolio'!Q$10</f>
      </c>
      <c r="BJ192" s="215">
        <f>BF192*P192</f>
      </c>
      <c r="BK192" s="3"/>
      <c r="BL192" s="3"/>
      <c r="BM192" s="3"/>
    </row>
    <row x14ac:dyDescent="0.25" r="193" customHeight="1" ht="15">
      <c r="A193" s="17"/>
      <c r="B193" s="14"/>
      <c r="C193" s="3"/>
      <c r="D193" s="3"/>
      <c r="E193" s="3"/>
      <c r="F193" s="3"/>
      <c r="G193" s="16"/>
      <c r="H193" s="18"/>
      <c r="I193" s="18"/>
      <c r="J193" s="208">
        <f>H193+I193</f>
      </c>
      <c r="K193" s="1"/>
      <c r="L193" s="58">
        <f>K193*I193</f>
      </c>
      <c r="M193" s="58">
        <f>K193*J193</f>
      </c>
      <c r="N193" s="16"/>
      <c r="O193" s="16"/>
      <c r="P193" s="211">
        <f>IF(ISBLANK(N193),O193/4.3,N193/20)</f>
      </c>
      <c r="Q193" s="1"/>
      <c r="R193" s="3"/>
      <c r="S193" s="3"/>
      <c r="T193" s="213">
        <f>IF(ISBLANK(R193),0,X193)</f>
      </c>
      <c r="U193" s="213">
        <f>IF(ISBLANK(S193),0,X193)</f>
      </c>
      <c r="V193" s="214">
        <f>IFERROR(Q193/K193,0)</f>
      </c>
      <c r="W193" s="58">
        <f>IFERROR(L193*V193,0)</f>
      </c>
      <c r="X193" s="213">
        <f>IFERROR(Q193+W193,0)</f>
      </c>
      <c r="Y193" s="213">
        <f>IFERROR(M193*V193,0)</f>
      </c>
      <c r="Z193" s="213">
        <f>Y193-(Y193*$B$1)</f>
      </c>
      <c r="AA193" s="67">
        <f>IFERROR(Z193/X193,"")</f>
      </c>
      <c r="AB193" s="215">
        <f>IFERROR(IF(ISBLANK(N193),Y193/O193,Y193/N193),0)</f>
      </c>
      <c r="AC193" s="215">
        <f>IFERROR(-1*(AB193*B$1),0)</f>
      </c>
      <c r="AD193" s="215">
        <f>IFERROR(SUM(AB193:AC193),0)</f>
      </c>
      <c r="AE193" s="215">
        <f>IF(ISBLANK(N193),AD193,AD193*5)</f>
      </c>
      <c r="AF193" s="216">
        <f>SUM(AG193:BC193)</f>
      </c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8"/>
      <c r="BD193" s="215">
        <f>Z193-AF193</f>
      </c>
      <c r="BE193" s="238">
        <f>IFERROR(AF193/Y193,0)</f>
      </c>
      <c r="BF193" s="214">
        <f>IFERROR(AF193/X193,0)</f>
      </c>
      <c r="BG193" s="214">
        <f>IFERROR((X193/SUM(X$58:X$70)),0)</f>
      </c>
      <c r="BH193" s="214">
        <f>BC193/SUM(BC$3:BC390)</f>
      </c>
      <c r="BI193" s="217">
        <f>BC193/'R&amp;H Portfolio'!Q$10</f>
      </c>
      <c r="BJ193" s="215">
        <f>BF193*P193</f>
      </c>
      <c r="BK193" s="3"/>
      <c r="BL193" s="3"/>
      <c r="BM193" s="3"/>
    </row>
    <row x14ac:dyDescent="0.25" r="194" customHeight="1" ht="15">
      <c r="A194" s="17"/>
      <c r="B194" s="14"/>
      <c r="C194" s="3"/>
      <c r="D194" s="3"/>
      <c r="E194" s="3"/>
      <c r="F194" s="3"/>
      <c r="G194" s="16"/>
      <c r="H194" s="18"/>
      <c r="I194" s="18"/>
      <c r="J194" s="208">
        <f>H194+I194</f>
      </c>
      <c r="K194" s="1"/>
      <c r="L194" s="58">
        <f>K194*I194</f>
      </c>
      <c r="M194" s="58">
        <f>K194*J194</f>
      </c>
      <c r="N194" s="16"/>
      <c r="O194" s="16"/>
      <c r="P194" s="211">
        <f>IF(ISBLANK(N194),O194/4.3,N194/20)</f>
      </c>
      <c r="Q194" s="1"/>
      <c r="R194" s="3"/>
      <c r="S194" s="3"/>
      <c r="T194" s="213">
        <f>IF(ISBLANK(R194),0,X194)</f>
      </c>
      <c r="U194" s="213">
        <f>IF(ISBLANK(S194),0,X194)</f>
      </c>
      <c r="V194" s="214">
        <f>IFERROR(Q194/K194,0)</f>
      </c>
      <c r="W194" s="58">
        <f>IFERROR(L194*V194,0)</f>
      </c>
      <c r="X194" s="213">
        <f>IFERROR(Q194+W194,0)</f>
      </c>
      <c r="Y194" s="213">
        <f>IFERROR(M194*V194,0)</f>
      </c>
      <c r="Z194" s="213">
        <f>Y194-(Y194*$B$1)</f>
      </c>
      <c r="AA194" s="67">
        <f>IFERROR(Z194/X194,"")</f>
      </c>
      <c r="AB194" s="215">
        <f>IFERROR(IF(ISBLANK(N194),Y194/O194,Y194/N194),0)</f>
      </c>
      <c r="AC194" s="215">
        <f>IFERROR(-1*(AB194*B$1),0)</f>
      </c>
      <c r="AD194" s="215">
        <f>IFERROR(SUM(AB194:AC194),0)</f>
      </c>
      <c r="AE194" s="215">
        <f>IF(ISBLANK(N194),AD194,AD194*5)</f>
      </c>
      <c r="AF194" s="216">
        <f>SUM(AG194:BC194)</f>
      </c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8"/>
      <c r="BD194" s="215">
        <f>Z194-AF194</f>
      </c>
      <c r="BE194" s="238">
        <f>IFERROR(AF194/Y194,0)</f>
      </c>
      <c r="BF194" s="214">
        <f>IFERROR(AF194/X194,0)</f>
      </c>
      <c r="BG194" s="214">
        <f>IFERROR((X194/SUM(X$58:X$70)),0)</f>
      </c>
      <c r="BH194" s="214">
        <f>BC194/SUM(BC$3:BC391)</f>
      </c>
      <c r="BI194" s="217">
        <f>BC194/'R&amp;H Portfolio'!Q$10</f>
      </c>
      <c r="BJ194" s="215">
        <f>BF194*P194</f>
      </c>
      <c r="BK194" s="3"/>
      <c r="BL194" s="3"/>
      <c r="BM194" s="3"/>
    </row>
    <row x14ac:dyDescent="0.25" r="195" customHeight="1" ht="15">
      <c r="A195" s="17"/>
      <c r="B195" s="14"/>
      <c r="C195" s="3"/>
      <c r="D195" s="3"/>
      <c r="E195" s="3"/>
      <c r="F195" s="3"/>
      <c r="G195" s="16"/>
      <c r="H195" s="18"/>
      <c r="I195" s="18"/>
      <c r="J195" s="208">
        <f>H195+I195</f>
      </c>
      <c r="K195" s="1"/>
      <c r="L195" s="58">
        <f>K195*I195</f>
      </c>
      <c r="M195" s="58">
        <f>K195*J195</f>
      </c>
      <c r="N195" s="16"/>
      <c r="O195" s="16"/>
      <c r="P195" s="211">
        <f>IF(ISBLANK(N195),O195/4.3,N195/20)</f>
      </c>
      <c r="Q195" s="1"/>
      <c r="R195" s="3"/>
      <c r="S195" s="3"/>
      <c r="T195" s="213">
        <f>IF(ISBLANK(R195),0,X195)</f>
      </c>
      <c r="U195" s="213">
        <f>IF(ISBLANK(S195),0,X195)</f>
      </c>
      <c r="V195" s="214">
        <f>IFERROR(Q195/K195,0)</f>
      </c>
      <c r="W195" s="58">
        <f>IFERROR(L195*V195,0)</f>
      </c>
      <c r="X195" s="213">
        <f>IFERROR(Q195+W195,0)</f>
      </c>
      <c r="Y195" s="213">
        <f>IFERROR(M195*V195,0)</f>
      </c>
      <c r="Z195" s="213">
        <f>Y195-(Y195*$B$1)</f>
      </c>
      <c r="AA195" s="67">
        <f>IFERROR(Z195/X195,"")</f>
      </c>
      <c r="AB195" s="215">
        <f>IFERROR(IF(ISBLANK(N195),Y195/O195,Y195/N195),0)</f>
      </c>
      <c r="AC195" s="215">
        <f>IFERROR(-1*(AB195*B$1),0)</f>
      </c>
      <c r="AD195" s="215">
        <f>IFERROR(SUM(AB195:AC195),0)</f>
      </c>
      <c r="AE195" s="215">
        <f>IF(ISBLANK(N195),AD195,AD195*5)</f>
      </c>
      <c r="AF195" s="216">
        <f>SUM(AG195:BC195)</f>
      </c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8"/>
      <c r="BD195" s="215">
        <f>Z195-AF195</f>
      </c>
      <c r="BE195" s="238">
        <f>IFERROR(AF195/Y195,0)</f>
      </c>
      <c r="BF195" s="214">
        <f>IFERROR(AF195/X195,0)</f>
      </c>
      <c r="BG195" s="214">
        <f>IFERROR((X195/SUM(X$58:X$70)),0)</f>
      </c>
      <c r="BH195" s="214">
        <f>BC195/SUM(BC$3:BC392)</f>
      </c>
      <c r="BI195" s="217">
        <f>BC195/'R&amp;H Portfolio'!Q$10</f>
      </c>
      <c r="BJ195" s="215">
        <f>BF195*P195</f>
      </c>
      <c r="BK195" s="3"/>
      <c r="BL195" s="3"/>
      <c r="BM195" s="3"/>
    </row>
    <row x14ac:dyDescent="0.25" r="196" customHeight="1" ht="15">
      <c r="A196" s="17"/>
      <c r="B196" s="14"/>
      <c r="C196" s="3"/>
      <c r="D196" s="3"/>
      <c r="E196" s="3"/>
      <c r="F196" s="3"/>
      <c r="G196" s="16"/>
      <c r="H196" s="18"/>
      <c r="I196" s="18"/>
      <c r="J196" s="208">
        <f>H196+I196</f>
      </c>
      <c r="K196" s="1"/>
      <c r="L196" s="58">
        <f>K196*I196</f>
      </c>
      <c r="M196" s="58">
        <f>K196*J196</f>
      </c>
      <c r="N196" s="16"/>
      <c r="O196" s="16"/>
      <c r="P196" s="211">
        <f>IF(ISBLANK(N196),O196/4.3,N196/20)</f>
      </c>
      <c r="Q196" s="1"/>
      <c r="R196" s="3"/>
      <c r="S196" s="3"/>
      <c r="T196" s="213">
        <f>IF(ISBLANK(R196),0,X196)</f>
      </c>
      <c r="U196" s="213">
        <f>IF(ISBLANK(S196),0,X196)</f>
      </c>
      <c r="V196" s="214">
        <f>IFERROR(Q196/K196,0)</f>
      </c>
      <c r="W196" s="58">
        <f>IFERROR(L196*V196,0)</f>
      </c>
      <c r="X196" s="213">
        <f>IFERROR(Q196+W196,0)</f>
      </c>
      <c r="Y196" s="213">
        <f>IFERROR(M196*V196,0)</f>
      </c>
      <c r="Z196" s="213">
        <f>Y196-(Y196*$B$1)</f>
      </c>
      <c r="AA196" s="67">
        <f>IFERROR(Z196/X196,"")</f>
      </c>
      <c r="AB196" s="215">
        <f>IFERROR(IF(ISBLANK(N196),Y196/O196,Y196/N196),0)</f>
      </c>
      <c r="AC196" s="215">
        <f>IFERROR(-1*(AB196*B$1),0)</f>
      </c>
      <c r="AD196" s="215">
        <f>IFERROR(SUM(AB196:AC196),0)</f>
      </c>
      <c r="AE196" s="215">
        <f>IF(ISBLANK(N196),AD196,AD196*5)</f>
      </c>
      <c r="AF196" s="216">
        <f>SUM(AG196:BC196)</f>
      </c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8"/>
      <c r="BD196" s="215">
        <f>Z196-AF196</f>
      </c>
      <c r="BE196" s="238">
        <f>IFERROR(AF196/Y196,0)</f>
      </c>
      <c r="BF196" s="214">
        <f>IFERROR(AF196/X196,0)</f>
      </c>
      <c r="BG196" s="214">
        <f>IFERROR((X196/SUM(X$58:X$70)),0)</f>
      </c>
      <c r="BH196" s="214">
        <f>BC196/SUM(BC$3:BC393)</f>
      </c>
      <c r="BI196" s="217">
        <f>BC196/'R&amp;H Portfolio'!Q$10</f>
      </c>
      <c r="BJ196" s="215">
        <f>BF196*P196</f>
      </c>
      <c r="BK196" s="3"/>
      <c r="BL196" s="3"/>
      <c r="BM196" s="3"/>
    </row>
    <row x14ac:dyDescent="0.25" r="197" customHeight="1" ht="15">
      <c r="A197" s="17"/>
      <c r="B197" s="14"/>
      <c r="C197" s="3"/>
      <c r="D197" s="3"/>
      <c r="E197" s="3"/>
      <c r="F197" s="3"/>
      <c r="G197" s="16"/>
      <c r="H197" s="18"/>
      <c r="I197" s="18"/>
      <c r="J197" s="208">
        <f>H197+I197</f>
      </c>
      <c r="K197" s="1"/>
      <c r="L197" s="58">
        <f>K197*I197</f>
      </c>
      <c r="M197" s="58">
        <f>K197*J197</f>
      </c>
      <c r="N197" s="16"/>
      <c r="O197" s="16"/>
      <c r="P197" s="211">
        <f>IF(ISBLANK(N197),O197/4.3,N197/20)</f>
      </c>
      <c r="Q197" s="1"/>
      <c r="R197" s="3"/>
      <c r="S197" s="3"/>
      <c r="T197" s="213">
        <f>IF(ISBLANK(R197),0,X197)</f>
      </c>
      <c r="U197" s="213">
        <f>IF(ISBLANK(S197),0,X197)</f>
      </c>
      <c r="V197" s="214">
        <f>IFERROR(Q197/K197,0)</f>
      </c>
      <c r="W197" s="58">
        <f>IFERROR(L197*V197,0)</f>
      </c>
      <c r="X197" s="213">
        <f>IFERROR(Q197+W197,0)</f>
      </c>
      <c r="Y197" s="213">
        <f>IFERROR(M197*V197,0)</f>
      </c>
      <c r="Z197" s="213">
        <f>Y197-(Y197*$B$1)</f>
      </c>
      <c r="AA197" s="67">
        <f>IFERROR(Z197/X197,"")</f>
      </c>
      <c r="AB197" s="215">
        <f>IFERROR(IF(ISBLANK(N197),Y197/O197,Y197/N197),0)</f>
      </c>
      <c r="AC197" s="215">
        <f>IFERROR(-1*(AB197*B$1),0)</f>
      </c>
      <c r="AD197" s="215">
        <f>IFERROR(SUM(AB197:AC197),0)</f>
      </c>
      <c r="AE197" s="215">
        <f>IF(ISBLANK(N197),AD197,AD197*5)</f>
      </c>
      <c r="AF197" s="216">
        <f>SUM(AG197:BC197)</f>
      </c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8"/>
      <c r="BD197" s="215">
        <f>Z197-AF197</f>
      </c>
      <c r="BE197" s="238">
        <f>IFERROR(AF197/Y197,0)</f>
      </c>
      <c r="BF197" s="214">
        <f>IFERROR(AF197/X197,0)</f>
      </c>
      <c r="BG197" s="214">
        <f>IFERROR((X197/SUM(X$58:X$70)),0)</f>
      </c>
      <c r="BH197" s="214">
        <f>BC197/SUM(BC$3:BC394)</f>
      </c>
      <c r="BI197" s="217">
        <f>BC197/'R&amp;H Portfolio'!Q$10</f>
      </c>
      <c r="BJ197" s="215">
        <f>BF197*P197</f>
      </c>
      <c r="BK197" s="3"/>
      <c r="BL197" s="3"/>
      <c r="BM197" s="3"/>
    </row>
    <row x14ac:dyDescent="0.25" r="198" customHeight="1" ht="15">
      <c r="A198" s="17"/>
      <c r="B198" s="14"/>
      <c r="C198" s="3"/>
      <c r="D198" s="3"/>
      <c r="E198" s="3"/>
      <c r="F198" s="3"/>
      <c r="G198" s="16"/>
      <c r="H198" s="18"/>
      <c r="I198" s="18"/>
      <c r="J198" s="208">
        <f>H198+I198</f>
      </c>
      <c r="K198" s="1"/>
      <c r="L198" s="58">
        <f>K198*I198</f>
      </c>
      <c r="M198" s="58">
        <f>K198*J198</f>
      </c>
      <c r="N198" s="16"/>
      <c r="O198" s="16"/>
      <c r="P198" s="211">
        <f>IF(ISBLANK(N198),O198/4.3,N198/20)</f>
      </c>
      <c r="Q198" s="1"/>
      <c r="R198" s="3"/>
      <c r="S198" s="3"/>
      <c r="T198" s="213">
        <f>IF(ISBLANK(R198),0,X198)</f>
      </c>
      <c r="U198" s="213">
        <f>IF(ISBLANK(S198),0,X198)</f>
      </c>
      <c r="V198" s="214">
        <f>IFERROR(Q198/K198,0)</f>
      </c>
      <c r="W198" s="58">
        <f>IFERROR(L198*V198,0)</f>
      </c>
      <c r="X198" s="213">
        <f>IFERROR(Q198+W198,0)</f>
      </c>
      <c r="Y198" s="213">
        <f>IFERROR(M198*V198,0)</f>
      </c>
      <c r="Z198" s="213">
        <f>Y198-(Y198*$B$1)</f>
      </c>
      <c r="AA198" s="67">
        <f>IFERROR(Z198/X198,"")</f>
      </c>
      <c r="AB198" s="215">
        <f>IFERROR(IF(ISBLANK(N198),Y198/O198,Y198/N198),0)</f>
      </c>
      <c r="AC198" s="215">
        <f>IFERROR(-1*(AB198*B$1),0)</f>
      </c>
      <c r="AD198" s="215">
        <f>IFERROR(SUM(AB198:AC198),0)</f>
      </c>
      <c r="AE198" s="215">
        <f>IF(ISBLANK(N198),AD198,AD198*5)</f>
      </c>
      <c r="AF198" s="216">
        <f>SUM(AG198:BC198)</f>
      </c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8"/>
      <c r="BD198" s="215">
        <f>Z198-AF198</f>
      </c>
      <c r="BE198" s="238">
        <f>IFERROR(AF198/Y198,0)</f>
      </c>
      <c r="BF198" s="214">
        <f>IFERROR(AF198/X198,0)</f>
      </c>
      <c r="BG198" s="214">
        <f>IFERROR((X198/SUM(X$58:X$70)),0)</f>
      </c>
      <c r="BH198" s="214">
        <f>BC198/SUM(BC$3:BC395)</f>
      </c>
      <c r="BI198" s="217">
        <f>BC198/'R&amp;H Portfolio'!Q$10</f>
      </c>
      <c r="BJ198" s="215">
        <f>BF198*P198</f>
      </c>
      <c r="BK198" s="3"/>
      <c r="BL198" s="3"/>
      <c r="BM198" s="3"/>
    </row>
    <row x14ac:dyDescent="0.25" r="199" customHeight="1" ht="15">
      <c r="A199" s="17"/>
      <c r="B199" s="14"/>
      <c r="C199" s="3"/>
      <c r="D199" s="3"/>
      <c r="E199" s="3"/>
      <c r="F199" s="3"/>
      <c r="G199" s="16"/>
      <c r="H199" s="18"/>
      <c r="I199" s="18"/>
      <c r="J199" s="208">
        <f>H199+I199</f>
      </c>
      <c r="K199" s="1"/>
      <c r="L199" s="58">
        <f>K199*I199</f>
      </c>
      <c r="M199" s="58">
        <f>K199*J199</f>
      </c>
      <c r="N199" s="16"/>
      <c r="O199" s="16"/>
      <c r="P199" s="211">
        <f>IF(ISBLANK(N199),O199/4.3,N199/20)</f>
      </c>
      <c r="Q199" s="1"/>
      <c r="R199" s="3"/>
      <c r="S199" s="3"/>
      <c r="T199" s="213">
        <f>IF(ISBLANK(R199),0,X199)</f>
      </c>
      <c r="U199" s="213">
        <f>IF(ISBLANK(S199),0,X199)</f>
      </c>
      <c r="V199" s="214">
        <f>IFERROR(Q199/K199,0)</f>
      </c>
      <c r="W199" s="58">
        <f>IFERROR(L199*V199,0)</f>
      </c>
      <c r="X199" s="213">
        <f>IFERROR(Q199+W199,0)</f>
      </c>
      <c r="Y199" s="213">
        <f>IFERROR(M199*V199,0)</f>
      </c>
      <c r="Z199" s="213">
        <f>Y199-(Y199*$B$1)</f>
      </c>
      <c r="AA199" s="67">
        <f>IFERROR(Z199/X199,"")</f>
      </c>
      <c r="AB199" s="215">
        <f>IFERROR(IF(ISBLANK(N199),Y199/O199,Y199/N199),0)</f>
      </c>
      <c r="AC199" s="215">
        <f>IFERROR(-1*(AB199*B$1),0)</f>
      </c>
      <c r="AD199" s="215">
        <f>IFERROR(SUM(AB199:AC199),0)</f>
      </c>
      <c r="AE199" s="215">
        <f>IF(ISBLANK(N199),AD199,AD199*5)</f>
      </c>
      <c r="AF199" s="216">
        <f>SUM(AG199:BC199)</f>
      </c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8"/>
      <c r="BD199" s="215">
        <f>Z199-AF199</f>
      </c>
      <c r="BE199" s="238">
        <f>IFERROR(AF199/Y199,0)</f>
      </c>
      <c r="BF199" s="214">
        <f>IFERROR(AF199/X199,0)</f>
      </c>
      <c r="BG199" s="214">
        <f>IFERROR((X199/SUM(X$58:X$70)),0)</f>
      </c>
      <c r="BH199" s="214">
        <f>BC199/SUM(BC$3:BC396)</f>
      </c>
      <c r="BI199" s="217">
        <f>BC199/'R&amp;H Portfolio'!Q$10</f>
      </c>
      <c r="BJ199" s="215">
        <f>BF199*P199</f>
      </c>
      <c r="BK199" s="3"/>
      <c r="BL199" s="3"/>
      <c r="BM199" s="3"/>
    </row>
    <row x14ac:dyDescent="0.25" r="200" customHeight="1" ht="15">
      <c r="A200" s="17"/>
      <c r="B200" s="14"/>
      <c r="C200" s="3"/>
      <c r="D200" s="3"/>
      <c r="E200" s="3"/>
      <c r="F200" s="3"/>
      <c r="G200" s="16"/>
      <c r="H200" s="18"/>
      <c r="I200" s="18"/>
      <c r="J200" s="208">
        <f>H200+I200</f>
      </c>
      <c r="K200" s="1"/>
      <c r="L200" s="58">
        <f>K200*I200</f>
      </c>
      <c r="M200" s="58">
        <f>K200*J200</f>
      </c>
      <c r="N200" s="16"/>
      <c r="O200" s="16"/>
      <c r="P200" s="211">
        <f>IF(ISBLANK(N200),O200/4.3,N200/20)</f>
      </c>
      <c r="Q200" s="1"/>
      <c r="R200" s="3"/>
      <c r="S200" s="3"/>
      <c r="T200" s="213">
        <f>IF(ISBLANK(R200),0,X200)</f>
      </c>
      <c r="U200" s="213">
        <f>IF(ISBLANK(S200),0,X200)</f>
      </c>
      <c r="V200" s="214">
        <f>IFERROR(Q200/K200,0)</f>
      </c>
      <c r="W200" s="58">
        <f>IFERROR(L200*V200,0)</f>
      </c>
      <c r="X200" s="213">
        <f>IFERROR(Q200+W200,0)</f>
      </c>
      <c r="Y200" s="213">
        <f>IFERROR(M200*V200,0)</f>
      </c>
      <c r="Z200" s="213">
        <f>Y200-(Y200*$B$1)</f>
      </c>
      <c r="AA200" s="67">
        <f>IFERROR(Z200/X200,"")</f>
      </c>
      <c r="AB200" s="215">
        <f>IFERROR(IF(ISBLANK(N200),Y200/O200,Y200/N200),0)</f>
      </c>
      <c r="AC200" s="215">
        <f>IFERROR(-1*(AB200*B$1),0)</f>
      </c>
      <c r="AD200" s="215">
        <f>IFERROR(SUM(AB200:AC200),0)</f>
      </c>
      <c r="AE200" s="215">
        <f>IF(ISBLANK(N200),AD200,AD200*5)</f>
      </c>
      <c r="AF200" s="216">
        <f>SUM(AG200:BC200)</f>
      </c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8"/>
      <c r="BD200" s="215">
        <f>Z200-AF200</f>
      </c>
      <c r="BE200" s="238">
        <f>IFERROR(AF200/Y200,0)</f>
      </c>
      <c r="BF200" s="214">
        <f>IFERROR(AF200/X200,0)</f>
      </c>
      <c r="BG200" s="214">
        <f>IFERROR((X200/SUM(X$58:X$70)),0)</f>
      </c>
      <c r="BH200" s="214">
        <f>BC200/SUM(BC$3:BC397)</f>
      </c>
      <c r="BI200" s="217">
        <f>BC200/'R&amp;H Portfolio'!Q$10</f>
      </c>
      <c r="BJ200" s="215">
        <f>BF200*P200</f>
      </c>
      <c r="BK200" s="3"/>
      <c r="BL200" s="3"/>
      <c r="BM2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88" width="15.576428571428572" customWidth="1" bestFit="1"/>
    <col min="2" max="2" style="21" width="8.147857142857141" customWidth="1" bestFit="1"/>
    <col min="3" max="3" style="21" width="9.005" customWidth="1" bestFit="1"/>
    <col min="4" max="4" style="20" width="10.719285714285713" customWidth="1" bestFit="1"/>
    <col min="5" max="5" style="21" width="8.862142857142858" customWidth="1" bestFit="1"/>
    <col min="6" max="6" style="21" width="8.576428571428572" customWidth="1" bestFit="1"/>
    <col min="7" max="7" style="21" width="8.576428571428572" customWidth="1" bestFit="1"/>
    <col min="8" max="8" style="21" width="10.290714285714287" customWidth="1" bestFit="1"/>
    <col min="9" max="9" style="21" width="8.576428571428572" customWidth="1" bestFit="1"/>
    <col min="10" max="10" style="21" width="8.862142857142858" customWidth="1" bestFit="1"/>
    <col min="11" max="11" style="21" width="7.576428571428571" customWidth="1" bestFit="1"/>
    <col min="12" max="12" style="21" width="9.576428571428572" customWidth="1" bestFit="1"/>
    <col min="13" max="13" style="21" width="9.576428571428572" customWidth="1" bestFit="1"/>
    <col min="14" max="14" style="21" width="9.576428571428572" customWidth="1" bestFit="1"/>
    <col min="15" max="15" style="21" width="9.576428571428572" customWidth="1" bestFit="1"/>
    <col min="16" max="16" style="21" width="9.576428571428572" customWidth="1" bestFit="1"/>
    <col min="17" max="17" style="21" width="11.862142857142858" customWidth="1" bestFit="1"/>
    <col min="18" max="18" style="21" width="9.576428571428572" customWidth="1" bestFit="1"/>
    <col min="19" max="19" style="21" width="10.576428571428572" customWidth="1" bestFit="1"/>
    <col min="20" max="20" style="21" width="10.576428571428572" customWidth="1" bestFit="1"/>
    <col min="21" max="21" style="21" width="8.290714285714287" customWidth="1" bestFit="1"/>
    <col min="22" max="22" style="21" width="10.147857142857141" customWidth="1" bestFit="1"/>
    <col min="23" max="23" style="21" width="8.862142857142858" customWidth="1" bestFit="1"/>
    <col min="24" max="24" style="21" width="8.290714285714287" customWidth="1" bestFit="1"/>
    <col min="25" max="25" style="21" width="8.576428571428572" customWidth="1" bestFit="1"/>
    <col min="26" max="26" style="21" width="9.147857142857141" customWidth="1" bestFit="1"/>
    <col min="27" max="27" style="21" width="12.43357142857143" customWidth="1" bestFit="1"/>
    <col min="28" max="28" style="21" width="12.43357142857143" customWidth="1" bestFit="1"/>
    <col min="29" max="29" style="21" width="12.43357142857143" customWidth="1" bestFit="1"/>
    <col min="30" max="30" style="22" width="12.43357142857143" customWidth="1" bestFit="1"/>
    <col min="31" max="31" style="22" width="12.43357142857143" customWidth="1" bestFit="1"/>
    <col min="32" max="32" style="21" width="12.43357142857143" customWidth="1" bestFit="1"/>
    <col min="33" max="33" style="21" width="12.43357142857143" customWidth="1" bestFit="1"/>
  </cols>
  <sheetData>
    <row x14ac:dyDescent="0.25" r="1" customHeight="1" ht="16">
      <c r="A1" s="174" t="s">
        <v>62</v>
      </c>
      <c r="B1" s="174" t="s">
        <v>62</v>
      </c>
      <c r="C1" s="174" t="s">
        <v>62</v>
      </c>
      <c r="D1" s="174" t="s">
        <v>62</v>
      </c>
      <c r="E1" s="174" t="s">
        <v>62</v>
      </c>
      <c r="F1" s="174" t="s">
        <v>62</v>
      </c>
      <c r="G1" s="174" t="s">
        <v>62</v>
      </c>
      <c r="H1" s="174" t="s">
        <v>62</v>
      </c>
      <c r="I1" s="174" t="s">
        <v>62</v>
      </c>
      <c r="J1" s="174" t="s">
        <v>62</v>
      </c>
      <c r="K1" s="174" t="s">
        <v>62</v>
      </c>
      <c r="L1" s="174" t="s">
        <v>62</v>
      </c>
      <c r="M1" s="174" t="s">
        <v>62</v>
      </c>
      <c r="N1" s="174" t="s">
        <v>62</v>
      </c>
      <c r="O1" s="174" t="s">
        <v>62</v>
      </c>
      <c r="P1" s="174" t="s">
        <v>62</v>
      </c>
      <c r="Q1" s="174" t="s">
        <v>62</v>
      </c>
      <c r="R1" s="174" t="s">
        <v>62</v>
      </c>
      <c r="S1" s="174" t="s">
        <v>62</v>
      </c>
      <c r="T1" s="174" t="s">
        <v>62</v>
      </c>
      <c r="U1" s="174" t="s">
        <v>62</v>
      </c>
      <c r="V1" s="174" t="s">
        <v>62</v>
      </c>
      <c r="W1" s="174" t="s">
        <v>62</v>
      </c>
      <c r="X1" s="174" t="s">
        <v>62</v>
      </c>
      <c r="Y1" s="174" t="s">
        <v>62</v>
      </c>
      <c r="Z1" s="174" t="s">
        <v>62</v>
      </c>
      <c r="AA1" s="174" t="s">
        <v>62</v>
      </c>
      <c r="AB1" s="174" t="s">
        <v>62</v>
      </c>
      <c r="AC1" s="174" t="s">
        <v>62</v>
      </c>
      <c r="AD1" s="175" t="s">
        <v>62</v>
      </c>
      <c r="AE1" s="175" t="s">
        <v>62</v>
      </c>
      <c r="AF1" s="3"/>
      <c r="AG1" s="3"/>
    </row>
    <row x14ac:dyDescent="0.25" r="2" customHeight="1" ht="83" customFormat="1" s="6">
      <c r="A2" s="4"/>
      <c r="B2" s="32" t="s">
        <v>15</v>
      </c>
      <c r="C2" s="32" t="s">
        <v>16</v>
      </c>
      <c r="D2" s="32" t="s">
        <v>17</v>
      </c>
      <c r="E2" s="33" t="s">
        <v>18</v>
      </c>
      <c r="F2" s="34" t="s">
        <v>19</v>
      </c>
      <c r="G2" s="32" t="s">
        <v>20</v>
      </c>
      <c r="H2" s="32" t="s">
        <v>21</v>
      </c>
      <c r="I2" s="33" t="s">
        <v>22</v>
      </c>
      <c r="J2" s="35" t="s">
        <v>23</v>
      </c>
      <c r="K2" s="36" t="s">
        <v>24</v>
      </c>
      <c r="L2" s="37" t="s">
        <v>25</v>
      </c>
      <c r="M2" s="38" t="s">
        <v>26</v>
      </c>
      <c r="N2" s="39" t="s">
        <v>27</v>
      </c>
      <c r="O2" s="40" t="s">
        <v>28</v>
      </c>
      <c r="P2" s="41" t="s">
        <v>29</v>
      </c>
      <c r="Q2" s="42" t="s">
        <v>30</v>
      </c>
      <c r="R2" s="43" t="s">
        <v>31</v>
      </c>
      <c r="S2" s="42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26</v>
      </c>
      <c r="Y2" s="44" t="s">
        <v>27</v>
      </c>
      <c r="Z2" s="46" t="s">
        <v>61</v>
      </c>
      <c r="AA2" s="44" t="s">
        <v>38</v>
      </c>
      <c r="AB2" s="44" t="s">
        <v>39</v>
      </c>
      <c r="AC2" s="46" t="s">
        <v>40</v>
      </c>
      <c r="AD2" s="4"/>
      <c r="AE2" s="46" t="s">
        <v>41</v>
      </c>
      <c r="AF2" s="46" t="s">
        <v>42</v>
      </c>
      <c r="AG2" s="46" t="s">
        <v>63</v>
      </c>
    </row>
    <row x14ac:dyDescent="0.25" r="3" customHeight="1" ht="17.25">
      <c r="A3" s="47" t="s">
        <v>44</v>
      </c>
      <c r="B3" s="70"/>
      <c r="C3" s="49"/>
      <c r="D3" s="49"/>
      <c r="E3" s="50"/>
      <c r="F3" s="51"/>
      <c r="G3" s="49"/>
      <c r="H3" s="49"/>
      <c r="I3" s="92"/>
      <c r="J3" s="53"/>
      <c r="K3" s="54"/>
      <c r="L3" s="55"/>
      <c r="M3" s="49"/>
      <c r="N3" s="56"/>
      <c r="O3" s="57"/>
      <c r="P3" s="58"/>
      <c r="Q3" s="59"/>
      <c r="R3" s="60"/>
      <c r="S3" s="59">
        <f>Q3-R3</f>
      </c>
      <c r="T3" s="49"/>
      <c r="U3" s="70"/>
      <c r="V3" s="49"/>
      <c r="W3" s="62"/>
      <c r="X3" s="49"/>
      <c r="Y3" s="49"/>
      <c r="Z3" s="3"/>
      <c r="AA3" s="70"/>
      <c r="AB3" s="3"/>
      <c r="AC3" s="62"/>
      <c r="AD3" s="4"/>
      <c r="AE3" s="4"/>
      <c r="AF3" s="3"/>
      <c r="AG3" s="3"/>
    </row>
    <row x14ac:dyDescent="0.25" r="4" customHeight="1" ht="17.25">
      <c r="A4" s="5" t="s">
        <v>45</v>
      </c>
      <c r="B4" s="48">
        <f>COUNT(ACS!A3:A3)</f>
      </c>
      <c r="C4" s="49">
        <f>SUM(ACS!T3:T3)</f>
      </c>
      <c r="D4" s="49">
        <f>SUM(ACS!U3:U3)</f>
      </c>
      <c r="E4" s="50">
        <f>SUM(ACS!Q3:Q3)</f>
      </c>
      <c r="F4" s="51">
        <f>SUM(ACS!W3:W3)</f>
      </c>
      <c r="G4" s="49">
        <f>SUM(ACS!X3:X3)</f>
      </c>
      <c r="H4" s="49">
        <f>SUM(ACS!Z3:Z3)</f>
      </c>
      <c r="I4" s="92">
        <f>IFERROR(H4/G4,0)</f>
      </c>
      <c r="J4" s="53">
        <f>IFERROR(1/I4,0)</f>
      </c>
      <c r="K4" s="54">
        <f>1-J4</f>
      </c>
      <c r="L4" s="55">
        <f>SUM(ACS!AF3:AF3)</f>
      </c>
      <c r="M4" s="49">
        <f>L4*J4</f>
      </c>
      <c r="N4" s="56">
        <f>L4*K4</f>
      </c>
      <c r="O4" s="57">
        <f>G4-M4</f>
      </c>
      <c r="P4" s="58">
        <f>O4-N4</f>
      </c>
      <c r="Q4" s="59">
        <f>SUM(ACS!BF3:BF3)</f>
      </c>
      <c r="R4" s="60">
        <f>SUM(ACS!BN3:BN3)</f>
      </c>
      <c r="S4" s="59">
        <f>Q4-R4</f>
      </c>
      <c r="T4" s="176">
        <f>SUM(ACS!AE3:AE3)</f>
      </c>
      <c r="U4" s="177">
        <f>IFERROR(SUM(ACS!BL3:BL3),0)</f>
      </c>
      <c r="V4" s="49">
        <f>IFERROR(G4/B4,0)</f>
      </c>
      <c r="W4" s="62">
        <f>IFERROR(IF(((L4/G4)-1)&lt;0,"-na- ",(L4/G4)-1),0)</f>
      </c>
      <c r="X4" s="49">
        <f>L4*J4</f>
      </c>
      <c r="Y4" s="48">
        <f>L4*K3</f>
      </c>
      <c r="Z4" s="47"/>
      <c r="AA4" s="48">
        <f>IFERROR(Y4*AA2,0)</f>
      </c>
      <c r="AB4" s="178">
        <f>L4-AA4</f>
      </c>
      <c r="AC4" s="62">
        <f>IFERROR(IF(((AB4/G4)-1)&lt;0,"-na-",(AB4/G4)-1),0)</f>
      </c>
      <c r="AD4" s="4"/>
      <c r="AE4" s="4"/>
      <c r="AF4" s="3"/>
      <c r="AG4" s="3"/>
    </row>
    <row x14ac:dyDescent="0.25" r="5" customHeight="1" ht="17.25">
      <c r="A5" s="47" t="s">
        <v>46</v>
      </c>
      <c r="B5" s="48">
        <f>COUNT(ACS!A4:A20)</f>
      </c>
      <c r="C5" s="49">
        <f>SUM(ACS!T4:T20)</f>
      </c>
      <c r="D5" s="49">
        <f>SUM(ACS!U4:U20)</f>
      </c>
      <c r="E5" s="50">
        <f>SUM(ACS!Q4:Q20)</f>
      </c>
      <c r="F5" s="51">
        <f>SUM(ACS!W4:W20)</f>
      </c>
      <c r="G5" s="49">
        <f>SUM(ACS!X4:X20)</f>
      </c>
      <c r="H5" s="49">
        <f>SUM(ACS!Z4:Z20)</f>
      </c>
      <c r="I5" s="92">
        <f>IFERROR(H5/G5,0)</f>
      </c>
      <c r="J5" s="53">
        <f>IFERROR(1/I5,0)</f>
      </c>
      <c r="K5" s="54">
        <f>1-J5</f>
      </c>
      <c r="L5" s="55">
        <f>SUM(ACS!AF4:AF20)</f>
      </c>
      <c r="M5" s="49">
        <f>L5*J5</f>
      </c>
      <c r="N5" s="56">
        <f>L5*K5</f>
      </c>
      <c r="O5" s="57">
        <f>G5-M5</f>
      </c>
      <c r="P5" s="58">
        <f>O5-N5</f>
      </c>
      <c r="Q5" s="59">
        <f>SUM(ACS!BF4:BF20)</f>
      </c>
      <c r="R5" s="60">
        <f>SUM(ACS!BN4:BN20)</f>
      </c>
      <c r="S5" s="59">
        <f>Q5-R5</f>
      </c>
      <c r="T5" s="49">
        <f>SUM(ACS!AE4:AE20)</f>
      </c>
      <c r="U5" s="177">
        <f>IFERROR(SUM(ACS!BL4:BL20),0)</f>
      </c>
      <c r="V5" s="49">
        <f>IFERROR(G5/B5,0)</f>
      </c>
      <c r="W5" s="62">
        <f>IFERROR(IF(((L5/G5)-1)&lt;0,"-na- ",(L5/G5)-1),0)</f>
      </c>
      <c r="X5" s="49">
        <f>L5*J5</f>
      </c>
      <c r="Y5" s="49">
        <f>L5*K4</f>
      </c>
      <c r="Z5" s="3"/>
      <c r="AA5" s="48">
        <f>IFERROR(Y5*AA3,0)</f>
      </c>
      <c r="AB5" s="178">
        <f>L5-AA5</f>
      </c>
      <c r="AC5" s="62">
        <f>IFERROR(IF(((AB5/G5)-1)&lt;0,"-na-",(AB5/G5)-1),0)</f>
      </c>
      <c r="AD5" s="4"/>
      <c r="AE5" s="4"/>
      <c r="AF5" s="3"/>
      <c r="AG5" s="3"/>
    </row>
    <row x14ac:dyDescent="0.25" r="6" customHeight="1" ht="17.25">
      <c r="A6" s="5" t="s">
        <v>47</v>
      </c>
      <c r="B6" s="48">
        <f>COUNT(ACS!A21:A32)</f>
      </c>
      <c r="C6" s="49">
        <f>SUM(ACS!T21:T32)</f>
      </c>
      <c r="D6" s="49">
        <f>SUM(ACS!U21:U32)</f>
      </c>
      <c r="E6" s="71">
        <f>SUM(ACS!Q21:Q32)</f>
      </c>
      <c r="F6" s="72">
        <f>SUM(ACS!W21:W32)</f>
      </c>
      <c r="G6" s="49">
        <f>SUM(ACS!X21:X32)</f>
      </c>
      <c r="H6" s="49">
        <f>SUM(ACS!Z21:Z32)</f>
      </c>
      <c r="I6" s="92">
        <f>IFERROR(H6/G6,0)</f>
      </c>
      <c r="J6" s="53">
        <f>IFERROR(1/I6,0)</f>
      </c>
      <c r="K6" s="54">
        <f>1-J6</f>
      </c>
      <c r="L6" s="55">
        <f>SUM(ACS!AF21:AF32)</f>
      </c>
      <c r="M6" s="49">
        <f>L6*J6</f>
      </c>
      <c r="N6" s="56">
        <f>L6*K6</f>
      </c>
      <c r="O6" s="57">
        <f>G6-M6</f>
      </c>
      <c r="P6" s="58">
        <f>O6-N6</f>
      </c>
      <c r="Q6" s="59">
        <f>SUM(ACS!BF21:BF32)</f>
      </c>
      <c r="R6" s="60">
        <f>SUM(ACS!BN21:BN32)</f>
      </c>
      <c r="S6" s="59">
        <f>Q6-R6</f>
      </c>
      <c r="T6" s="49">
        <f>SUM(ACS!AE21:AE32)</f>
      </c>
      <c r="U6" s="177">
        <f>IFERROR(SUM(ACS!BL21:BL32),0)</f>
      </c>
      <c r="V6" s="49">
        <f>IFERROR(G6/B6,0)</f>
      </c>
      <c r="W6" s="62">
        <f>IFERROR(IF(((L6/G6)-1)&lt;0,"-na- ",(L6/G6)-1),0)</f>
      </c>
      <c r="X6" s="49">
        <f>L6*J6</f>
      </c>
      <c r="Y6" s="48">
        <f>L6*K5</f>
      </c>
      <c r="Z6" s="3"/>
      <c r="AA6" s="48">
        <f>IFERROR(Y6*AA4,0)</f>
      </c>
      <c r="AB6" s="178">
        <f>L6-AA6</f>
      </c>
      <c r="AC6" s="62">
        <f>IFERROR(IF(((AB6/G6)-1)&lt;0,"-na-",(AB6/G6)-1),0)</f>
      </c>
      <c r="AD6" s="4"/>
      <c r="AE6" s="4"/>
      <c r="AF6" s="3"/>
      <c r="AG6" s="3"/>
    </row>
    <row x14ac:dyDescent="0.25" r="7" customHeight="1" ht="17.25">
      <c r="A7" s="5" t="s">
        <v>48</v>
      </c>
      <c r="B7" s="48">
        <f>COUNT(ACS!A33:A47)</f>
      </c>
      <c r="C7" s="49">
        <f>SUM(ACS!T33:T47)</f>
      </c>
      <c r="D7" s="49">
        <f>SUM(ACS!U33:U47)</f>
      </c>
      <c r="E7" s="71">
        <f>SUM(ACS!Q33:Q47)</f>
      </c>
      <c r="F7" s="72">
        <f>SUM(ACS!W33:W47)</f>
      </c>
      <c r="G7" s="49">
        <f>SUM(ACS!X33:X47)</f>
      </c>
      <c r="H7" s="49">
        <f>SUM(ACS!Z33:Z47)</f>
      </c>
      <c r="I7" s="92">
        <f>IFERROR(H7/G7,0)</f>
      </c>
      <c r="J7" s="53">
        <f>IFERROR(1/I7,0)</f>
      </c>
      <c r="K7" s="54">
        <f>1-J7</f>
      </c>
      <c r="L7" s="55">
        <f>SUM(ACS!AF33:AF47)</f>
      </c>
      <c r="M7" s="49">
        <f>L7*J7</f>
      </c>
      <c r="N7" s="56">
        <f>L7*K7</f>
      </c>
      <c r="O7" s="57">
        <f>G7-M7</f>
      </c>
      <c r="P7" s="58">
        <f>O7-N7</f>
      </c>
      <c r="Q7" s="59">
        <f>SUM(ACS!BF33:BF47)</f>
      </c>
      <c r="R7" s="60">
        <f>SUM(ACS!BN33:BN47)</f>
      </c>
      <c r="S7" s="59">
        <f>Q7-R7</f>
      </c>
      <c r="T7" s="49">
        <f>SUM(ACS!AE33:AE47)</f>
      </c>
      <c r="U7" s="177">
        <f>IFERROR(SUM(ACS!BL33:BL47),0)</f>
      </c>
      <c r="V7" s="49">
        <f>IFERROR(G7/B7,0)</f>
      </c>
      <c r="W7" s="62">
        <f>IFERROR(IF(((L7/G7)-1)&lt;0,"-na- ",(L7/G7)-1),0)</f>
      </c>
      <c r="X7" s="49">
        <f>L7*J7</f>
      </c>
      <c r="Y7" s="48">
        <f>L7*K6</f>
      </c>
      <c r="Z7" s="3"/>
      <c r="AA7" s="48">
        <f>IFERROR(Y7*AA5,0)</f>
      </c>
      <c r="AB7" s="178">
        <f>L7-AA7</f>
      </c>
      <c r="AC7" s="62">
        <f>IFERROR(IF(((AB7/G7)-1)&lt;0,"-na-",(AB7/G7)-1),0)</f>
      </c>
      <c r="AD7" s="4"/>
      <c r="AE7" s="4"/>
      <c r="AF7" s="3"/>
      <c r="AG7" s="3"/>
    </row>
    <row x14ac:dyDescent="0.25" r="8" customHeight="1" ht="17.25">
      <c r="A8" s="5" t="s">
        <v>49</v>
      </c>
      <c r="B8" s="48">
        <f>COUNT(ACS!A48:A70)</f>
      </c>
      <c r="C8" s="49">
        <f>SUM(ACS!T48:T70)</f>
      </c>
      <c r="D8" s="49">
        <f>SUM(ACS!U48:U70)</f>
      </c>
      <c r="E8" s="71">
        <f>SUM(ACS!Q48:Q70)</f>
      </c>
      <c r="F8" s="72">
        <f>SUM(ACS!W48:W70)</f>
      </c>
      <c r="G8" s="49">
        <f>SUM(ACS!X48:X70)</f>
      </c>
      <c r="H8" s="49">
        <f>SUM(ACS!Z48:Z70)</f>
      </c>
      <c r="I8" s="92">
        <f>IFERROR(H8/G8,0)</f>
      </c>
      <c r="J8" s="53">
        <f>IFERROR(1/I8,0)</f>
      </c>
      <c r="K8" s="54">
        <f>1-J8</f>
      </c>
      <c r="L8" s="55">
        <f>SUM(ACS!AF48:AF70)</f>
      </c>
      <c r="M8" s="49">
        <f>L8*J8</f>
      </c>
      <c r="N8" s="56">
        <f>L8*K8</f>
      </c>
      <c r="O8" s="57">
        <f>G8-M8</f>
      </c>
      <c r="P8" s="58">
        <f>O8-N8</f>
      </c>
      <c r="Q8" s="59">
        <f>SUM(ACS!BF48:BF70)</f>
      </c>
      <c r="R8" s="73"/>
      <c r="S8" s="59">
        <f>Q8-R8</f>
      </c>
      <c r="T8" s="49">
        <f>SUM(ACS!AE48:AE70)</f>
      </c>
      <c r="U8" s="177">
        <f>IFERROR(SUM(ACS!BL48:BL70),0)</f>
      </c>
      <c r="V8" s="49">
        <f>IFERROR(G8/B8,0)</f>
      </c>
      <c r="W8" s="62">
        <f>IFERROR(IF(((L8/G8)-1)&lt;0,"-na- ",(L8/G8)-1),0)</f>
      </c>
      <c r="X8" s="49">
        <f>L8*J8</f>
      </c>
      <c r="Y8" s="48">
        <f>L8*K7</f>
      </c>
      <c r="Z8" s="3"/>
      <c r="AA8" s="48">
        <f>IFERROR(Y8*AA6,0)</f>
      </c>
      <c r="AB8" s="178">
        <f>L8-AA8</f>
      </c>
      <c r="AC8" s="62">
        <f>IFERROR(IF(((AB8/G8)-1)&lt;0,"-na-",(AB8/G8)-1),0)</f>
      </c>
      <c r="AD8" s="4"/>
      <c r="AE8" s="4"/>
      <c r="AF8" s="3"/>
      <c r="AG8" s="3"/>
    </row>
    <row x14ac:dyDescent="0.25" r="9" customHeight="1" ht="17.25">
      <c r="A9" s="5"/>
      <c r="B9" s="70"/>
      <c r="C9" s="49"/>
      <c r="D9" s="49"/>
      <c r="E9" s="71"/>
      <c r="F9" s="72"/>
      <c r="G9" s="49"/>
      <c r="H9" s="49"/>
      <c r="I9" s="71"/>
      <c r="J9" s="63"/>
      <c r="K9" s="72"/>
      <c r="L9" s="55"/>
      <c r="M9" s="49"/>
      <c r="N9" s="56"/>
      <c r="O9" s="57"/>
      <c r="P9" s="58">
        <f>O9-N9</f>
      </c>
      <c r="Q9" s="59"/>
      <c r="R9" s="73"/>
      <c r="S9" s="59">
        <f>Q9-R9</f>
      </c>
      <c r="T9" s="63"/>
      <c r="U9" s="179"/>
      <c r="V9" s="63"/>
      <c r="W9" s="3"/>
      <c r="X9" s="66"/>
      <c r="Y9" s="3"/>
      <c r="Z9" s="3"/>
      <c r="AA9" s="66"/>
      <c r="AB9" s="3"/>
      <c r="AC9" s="3"/>
      <c r="AD9" s="4"/>
      <c r="AE9" s="4"/>
      <c r="AF9" s="3"/>
      <c r="AG9" s="3"/>
    </row>
    <row x14ac:dyDescent="0.25" r="10" customHeight="1" ht="17.25">
      <c r="A10" s="5" t="s">
        <v>50</v>
      </c>
      <c r="B10" s="48">
        <f>SUM(B3:B9)</f>
      </c>
      <c r="C10" s="49">
        <f>SUM(C3:C9)</f>
      </c>
      <c r="D10" s="49">
        <f>SUM(D3:D9)</f>
      </c>
      <c r="E10" s="74">
        <f>SUM(E3:E9)</f>
      </c>
      <c r="F10" s="75">
        <f>SUM(F3:F9)</f>
      </c>
      <c r="G10" s="49">
        <f>SUM(G3:G9)</f>
      </c>
      <c r="H10" s="49">
        <f>SUM(H3:H9)</f>
      </c>
      <c r="I10" s="76">
        <f>IFERROR(H10/G10,0)</f>
      </c>
      <c r="J10" s="77"/>
      <c r="K10" s="75"/>
      <c r="L10" s="78">
        <f>SUM(L3:L9)</f>
      </c>
      <c r="M10" s="79">
        <f>SUM(M3:M9)</f>
      </c>
      <c r="N10" s="80">
        <f>SUM(N3:N9)</f>
      </c>
      <c r="O10" s="81">
        <f>SUM(O3:O9)</f>
      </c>
      <c r="P10" s="81">
        <f>SUM(P3:P9)</f>
      </c>
      <c r="Q10" s="82">
        <f>SUM(Q3:Q9)</f>
      </c>
      <c r="R10" s="83">
        <f>SUM(R3:R9)</f>
      </c>
      <c r="S10" s="82">
        <f>SUM(S3:S9)</f>
      </c>
      <c r="T10" s="63">
        <f>SUM(T3:T9)</f>
      </c>
      <c r="U10" s="180">
        <f>AVERAGEIF(U3:U9,"&lt;&gt;0")</f>
      </c>
      <c r="V10" s="63">
        <f>IFERROR(G10/B10,0)</f>
      </c>
      <c r="W10" s="3"/>
      <c r="X10" s="66"/>
      <c r="Y10" s="3"/>
      <c r="Z10" s="3"/>
      <c r="AA10" s="66"/>
      <c r="AB10" s="3"/>
      <c r="AC10" s="3"/>
      <c r="AD10" s="4"/>
      <c r="AE10" s="4"/>
      <c r="AF10" s="16">
        <f>MEDIAN(ACS!G3:G68)</f>
      </c>
      <c r="AG10" s="16">
        <f>AVERAGE(ACS!G3:G68)</f>
      </c>
    </row>
    <row x14ac:dyDescent="0.25" r="11" customHeight="1" ht="17.25" customFormat="1" s="6">
      <c r="A11" s="4"/>
      <c r="B11" s="4"/>
      <c r="C11" s="4"/>
      <c r="D11" s="18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x14ac:dyDescent="0.25" r="12" customHeight="1" ht="17.25">
      <c r="A12" s="84" t="s">
        <v>51</v>
      </c>
      <c r="B12" s="84"/>
      <c r="C12" s="3"/>
      <c r="D12" s="85">
        <f>IFERROR(D13/D14,0)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3"/>
      <c r="AG12" s="3"/>
    </row>
    <row x14ac:dyDescent="0.25" r="13" customHeight="1" ht="17.25">
      <c r="A13" s="5" t="s">
        <v>52</v>
      </c>
      <c r="B13" s="3"/>
      <c r="C13" s="3"/>
      <c r="D13" s="1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4"/>
      <c r="AE13" s="4"/>
      <c r="AF13" s="3"/>
      <c r="AG13" s="3"/>
    </row>
    <row x14ac:dyDescent="0.25" r="14" customHeight="1" ht="17.25">
      <c r="A14" s="5" t="s">
        <v>53</v>
      </c>
      <c r="B14" s="5" t="s">
        <v>24</v>
      </c>
      <c r="C14" s="3"/>
      <c r="D14" s="1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4"/>
      <c r="AE14" s="4"/>
      <c r="AF14" s="3"/>
      <c r="AG14" s="3"/>
    </row>
    <row x14ac:dyDescent="0.25" r="15" customHeight="1" ht="17.25">
      <c r="A15" s="5"/>
      <c r="B15" s="3"/>
      <c r="C15" s="3"/>
      <c r="D15" s="2"/>
      <c r="E15" s="3"/>
      <c r="F15" s="3"/>
      <c r="G15" s="3"/>
      <c r="H15" s="86"/>
      <c r="I15" s="86"/>
      <c r="J15" s="86"/>
      <c r="K15" s="8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4"/>
      <c r="AE15" s="4"/>
      <c r="AF15" s="3"/>
      <c r="AG15" s="3"/>
    </row>
    <row x14ac:dyDescent="0.25" r="16" customHeight="1" ht="17.25" customFormat="1" s="6">
      <c r="A16" s="4"/>
      <c r="B16" s="4"/>
      <c r="C16" s="4"/>
      <c r="D16" s="18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x14ac:dyDescent="0.25" r="17" customHeight="1" ht="17.25">
      <c r="A17" s="87" t="s">
        <v>54</v>
      </c>
      <c r="B17" s="3"/>
      <c r="C17" s="3"/>
      <c r="D17" s="85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4"/>
      <c r="AE17" s="4"/>
      <c r="AF17" s="3"/>
      <c r="AG17" s="3"/>
    </row>
    <row x14ac:dyDescent="0.25" r="18" customHeight="1" ht="17.25">
      <c r="A18" s="87" t="s">
        <v>55</v>
      </c>
      <c r="B18" s="3"/>
      <c r="C18" s="3"/>
      <c r="D18" s="1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4"/>
      <c r="AE18" s="4"/>
      <c r="AF18" s="3"/>
      <c r="AG18" s="3"/>
    </row>
    <row x14ac:dyDescent="0.25" r="19" customHeight="1" ht="17.25">
      <c r="A19" s="87" t="s">
        <v>56</v>
      </c>
      <c r="B19" s="3"/>
      <c r="C19" s="3"/>
      <c r="D19" s="1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88" width="10.862142857142858" customWidth="1" bestFit="1"/>
    <col min="2" max="2" style="21" width="8.862142857142858" customWidth="1" bestFit="1"/>
    <col min="3" max="3" style="21" width="10.147857142857141" customWidth="1" bestFit="1"/>
    <col min="4" max="4" style="20" width="10.719285714285713" customWidth="1" bestFit="1"/>
    <col min="5" max="5" style="21" width="10.147857142857141" customWidth="1" bestFit="1"/>
    <col min="6" max="6" style="21" width="10.147857142857141" customWidth="1" bestFit="1"/>
    <col min="7" max="7" style="21" width="9.576428571428572" customWidth="1" bestFit="1"/>
    <col min="8" max="8" style="21" width="9.576428571428572" customWidth="1" bestFit="1"/>
    <col min="9" max="9" style="21" width="9.576428571428572" customWidth="1" bestFit="1"/>
    <col min="10" max="10" style="21" width="10.005" customWidth="1" bestFit="1"/>
    <col min="11" max="11" style="21" width="9.576428571428572" customWidth="1" bestFit="1"/>
    <col min="12" max="12" style="21" width="9.576428571428572" customWidth="1" bestFit="1"/>
    <col min="13" max="13" style="21" width="9.576428571428572" customWidth="1" bestFit="1"/>
    <col min="14" max="14" style="21" width="9.576428571428572" customWidth="1" bestFit="1"/>
    <col min="15" max="15" style="21" width="9.576428571428572" customWidth="1" bestFit="1"/>
    <col min="16" max="16" style="21" width="9.576428571428572" customWidth="1" bestFit="1"/>
    <col min="17" max="17" style="21" width="11.862142857142858" customWidth="1" bestFit="1"/>
    <col min="18" max="18" style="21" width="7.576428571428571" customWidth="1" bestFit="1"/>
    <col min="19" max="19" style="21" width="11.862142857142858" customWidth="1" bestFit="1"/>
    <col min="20" max="20" style="21" width="9.576428571428572" customWidth="1" bestFit="1"/>
    <col min="21" max="21" style="21" width="10.576428571428572" customWidth="1" bestFit="1"/>
    <col min="22" max="22" style="21" width="10.576428571428572" customWidth="1" bestFit="1"/>
    <col min="23" max="23" style="21" width="8.290714285714287" customWidth="1" bestFit="1"/>
    <col min="24" max="24" style="21" width="10.147857142857141" customWidth="1" bestFit="1"/>
    <col min="25" max="25" style="21" width="8.862142857142858" customWidth="1" bestFit="1"/>
    <col min="26" max="26" style="22" width="8.147857142857141" customWidth="1" bestFit="1"/>
    <col min="27" max="27" style="89" width="8.576428571428572" customWidth="1" bestFit="1"/>
    <col min="28" max="28" style="21" width="9.147857142857141" customWidth="1" bestFit="1"/>
    <col min="29" max="29" style="21" width="12.43357142857143" customWidth="1" bestFit="1"/>
    <col min="30" max="30" style="22" width="12.43357142857143" customWidth="1" bestFit="1"/>
    <col min="31" max="31" style="22" width="12.43357142857143" customWidth="1" bestFit="1"/>
    <col min="32" max="32" style="21" width="12.43357142857143" customWidth="1" bestFit="1"/>
    <col min="33" max="33" style="21" width="12.43357142857143" customWidth="1" bestFit="1"/>
  </cols>
  <sheetData>
    <row x14ac:dyDescent="0.25" r="1" customHeight="1" ht="16">
      <c r="A1" s="172" t="s">
        <v>60</v>
      </c>
      <c r="B1" s="172" t="s">
        <v>60</v>
      </c>
      <c r="C1" s="172" t="s">
        <v>60</v>
      </c>
      <c r="D1" s="172" t="s">
        <v>60</v>
      </c>
      <c r="E1" s="172" t="s">
        <v>60</v>
      </c>
      <c r="F1" s="172" t="s">
        <v>60</v>
      </c>
      <c r="G1" s="172" t="s">
        <v>60</v>
      </c>
      <c r="H1" s="172" t="s">
        <v>60</v>
      </c>
      <c r="I1" s="172" t="s">
        <v>60</v>
      </c>
      <c r="J1" s="172" t="s">
        <v>60</v>
      </c>
      <c r="K1" s="172" t="s">
        <v>60</v>
      </c>
      <c r="L1" s="172" t="s">
        <v>60</v>
      </c>
      <c r="M1" s="172" t="s">
        <v>60</v>
      </c>
      <c r="N1" s="172" t="s">
        <v>60</v>
      </c>
      <c r="O1" s="172" t="s">
        <v>60</v>
      </c>
      <c r="P1" s="172" t="s">
        <v>60</v>
      </c>
      <c r="Q1" s="172" t="s">
        <v>60</v>
      </c>
      <c r="R1" s="3"/>
      <c r="S1" s="3"/>
      <c r="T1" s="172" t="s">
        <v>60</v>
      </c>
      <c r="U1" s="172" t="s">
        <v>60</v>
      </c>
      <c r="V1" s="3"/>
      <c r="W1" s="172" t="s">
        <v>60</v>
      </c>
      <c r="X1" s="172" t="s">
        <v>60</v>
      </c>
      <c r="Y1" s="172" t="s">
        <v>60</v>
      </c>
      <c r="Z1" s="173" t="s">
        <v>60</v>
      </c>
      <c r="AA1" s="30">
        <v>0.2</v>
      </c>
      <c r="AB1" s="31"/>
      <c r="AC1" s="31"/>
      <c r="AD1" s="91"/>
      <c r="AE1" s="4"/>
      <c r="AF1" s="3"/>
      <c r="AG1" s="3"/>
    </row>
    <row x14ac:dyDescent="0.25" r="2" customHeight="1" ht="74.5" customFormat="1" s="6">
      <c r="A2" s="4"/>
      <c r="B2" s="32" t="s">
        <v>15</v>
      </c>
      <c r="C2" s="32" t="s">
        <v>16</v>
      </c>
      <c r="D2" s="32" t="s">
        <v>17</v>
      </c>
      <c r="E2" s="33" t="s">
        <v>18</v>
      </c>
      <c r="F2" s="34" t="s">
        <v>19</v>
      </c>
      <c r="G2" s="32" t="s">
        <v>20</v>
      </c>
      <c r="H2" s="32" t="s">
        <v>21</v>
      </c>
      <c r="I2" s="33" t="s">
        <v>22</v>
      </c>
      <c r="J2" s="164" t="s">
        <v>23</v>
      </c>
      <c r="K2" s="165" t="s">
        <v>24</v>
      </c>
      <c r="L2" s="37" t="s">
        <v>25</v>
      </c>
      <c r="M2" s="38" t="s">
        <v>26</v>
      </c>
      <c r="N2" s="39" t="s">
        <v>27</v>
      </c>
      <c r="O2" s="40" t="s">
        <v>28</v>
      </c>
      <c r="P2" s="41" t="s">
        <v>29</v>
      </c>
      <c r="Q2" s="42" t="s">
        <v>30</v>
      </c>
      <c r="R2" s="43" t="s">
        <v>31</v>
      </c>
      <c r="S2" s="42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26</v>
      </c>
      <c r="Y2" s="44" t="s">
        <v>27</v>
      </c>
      <c r="Z2" s="46" t="s">
        <v>61</v>
      </c>
      <c r="AA2" s="45" t="s">
        <v>38</v>
      </c>
      <c r="AB2" s="44" t="s">
        <v>39</v>
      </c>
      <c r="AC2" s="46" t="s">
        <v>40</v>
      </c>
      <c r="AD2" s="4"/>
      <c r="AE2" s="46" t="s">
        <v>41</v>
      </c>
      <c r="AF2" s="46" t="s">
        <v>42</v>
      </c>
      <c r="AG2" s="46" t="s">
        <v>43</v>
      </c>
    </row>
    <row x14ac:dyDescent="0.25" r="3" customHeight="1" ht="17.25">
      <c r="A3" s="47" t="s">
        <v>44</v>
      </c>
      <c r="B3" s="48">
        <f>COUNT(BHB!A3:A10)</f>
      </c>
      <c r="C3" s="49">
        <f>SUM(BHB!T3:T10)</f>
      </c>
      <c r="D3" s="49">
        <f>SUM(BHB!U3:U10)</f>
      </c>
      <c r="E3" s="50">
        <f>SUM(BHB!Q3:Q10)</f>
      </c>
      <c r="F3" s="51">
        <f>SUM(BHB!W3:W10)</f>
      </c>
      <c r="G3" s="49">
        <f>SUM(BHB!X3:X10)</f>
      </c>
      <c r="H3" s="49">
        <f>SUM(BHB!Z3:Z10)</f>
      </c>
      <c r="I3" s="52">
        <f>H3/G3</f>
      </c>
      <c r="J3" s="67">
        <f>1/I3</f>
      </c>
      <c r="K3" s="68">
        <f>1-J3</f>
      </c>
      <c r="L3" s="55">
        <f>SUM(BHB!AF3:AF10)</f>
      </c>
      <c r="M3" s="49">
        <f>L3*J3</f>
      </c>
      <c r="N3" s="56">
        <f>L3*K3</f>
      </c>
      <c r="O3" s="57">
        <f>G3-M3</f>
      </c>
      <c r="P3" s="58">
        <f>O3-N3</f>
      </c>
      <c r="Q3" s="59">
        <f>SUM(BHB!BF3:BF10)</f>
      </c>
      <c r="R3" s="60">
        <f>SUM(BHB!BN3:BN10)</f>
      </c>
      <c r="S3" s="59">
        <f>Q3-R3</f>
      </c>
      <c r="T3" s="49">
        <f>SUM(BHB!AE3:AE10)</f>
      </c>
      <c r="U3" s="61">
        <f>SUM(BHB!BL3:BL10)</f>
      </c>
      <c r="V3" s="49">
        <f>G3/B3</f>
      </c>
      <c r="W3" s="62">
        <f>IF(((L3/G3)-1)&lt;0,"-na- ",(L3/G3)-1)</f>
      </c>
      <c r="X3" s="49">
        <f>L3*J3</f>
      </c>
      <c r="Y3" s="49">
        <f>L3*K3</f>
      </c>
      <c r="Z3" s="4"/>
      <c r="AA3" s="49">
        <f>Y3*AA$1</f>
      </c>
      <c r="AB3" s="12">
        <f>L3-AA3</f>
      </c>
      <c r="AC3" s="62">
        <f>IF(((AB3/G3)-1)&lt;0,"-na-",(AB3/G3)-1)</f>
      </c>
      <c r="AD3" s="4"/>
      <c r="AE3" s="4"/>
      <c r="AF3" s="3"/>
      <c r="AG3" s="3"/>
    </row>
    <row x14ac:dyDescent="0.25" r="4" customHeight="1" ht="17.25">
      <c r="A4" s="5" t="s">
        <v>45</v>
      </c>
      <c r="B4" s="48">
        <f>COUNT(BHB!A11:A17)</f>
      </c>
      <c r="C4" s="49">
        <f>SUM(BHB!T11:T17)</f>
      </c>
      <c r="D4" s="49">
        <f>SUM(BHB!U11:U17)</f>
      </c>
      <c r="E4" s="50">
        <f>SUM(BHB!Q11:Q17)</f>
      </c>
      <c r="F4" s="51">
        <f>SUM(BHB!W11:W17)</f>
      </c>
      <c r="G4" s="49">
        <f>SUM(BHB!X11:X17)</f>
      </c>
      <c r="H4" s="49">
        <f>SUM(BHB!Z11:Z17)</f>
      </c>
      <c r="I4" s="52">
        <f>H4/G4</f>
      </c>
      <c r="J4" s="67">
        <f>1/I4</f>
      </c>
      <c r="K4" s="68">
        <f>1-J4</f>
      </c>
      <c r="L4" s="55">
        <f>SUM(BHB!AF11:AF17)</f>
      </c>
      <c r="M4" s="49">
        <f>L4*J4</f>
      </c>
      <c r="N4" s="56">
        <f>L4*K4</f>
      </c>
      <c r="O4" s="57">
        <f>G4-M4</f>
      </c>
      <c r="P4" s="58">
        <f>O4-N4</f>
      </c>
      <c r="Q4" s="59">
        <f>SUM(BHB!BF11:BF17)</f>
      </c>
      <c r="R4" s="60">
        <f>SUM(BHB!BN11:BN17)</f>
      </c>
      <c r="S4" s="59">
        <f>Q4-R4</f>
      </c>
      <c r="T4" s="63">
        <f>SUM(BHB!AE11:AE17)</f>
      </c>
      <c r="U4" s="64">
        <f>SUM(BHB!BL11:BL17)</f>
      </c>
      <c r="V4" s="63">
        <f>G4/B4</f>
      </c>
      <c r="W4" s="62">
        <f>IF(((L4/G4)-1)&lt;0,"-na- ",(L4/G4)-1)</f>
      </c>
      <c r="X4" s="49">
        <f>L4*J4</f>
      </c>
      <c r="Y4" s="94">
        <f>L4*K3</f>
      </c>
      <c r="Z4" s="4"/>
      <c r="AA4" s="49">
        <f>Y4*AA$1</f>
      </c>
      <c r="AB4" s="12">
        <f>L4-AA4</f>
      </c>
      <c r="AC4" s="62"/>
      <c r="AD4" s="4"/>
      <c r="AE4" s="4"/>
      <c r="AF4" s="3"/>
      <c r="AG4" s="3"/>
    </row>
    <row x14ac:dyDescent="0.25" r="5" customHeight="1" ht="17.25">
      <c r="A5" s="47" t="s">
        <v>46</v>
      </c>
      <c r="B5" s="48">
        <f>COUNT(BHB!A18:A27)</f>
      </c>
      <c r="C5" s="49">
        <f>SUM(BHB!T18:T27)</f>
      </c>
      <c r="D5" s="49">
        <f>SUM(BHB!U18:U27)</f>
      </c>
      <c r="E5" s="50">
        <f>SUM(BHB!Q18:Q27)</f>
      </c>
      <c r="F5" s="51">
        <f>SUM(BHB!W18:W27)</f>
      </c>
      <c r="G5" s="49">
        <f>SUM(BHB!X18:X27)</f>
      </c>
      <c r="H5" s="49">
        <f>SUM(BHB!Z18:Z27)</f>
      </c>
      <c r="I5" s="52">
        <f>IFERROR(H5/G5,"0")</f>
      </c>
      <c r="J5" s="67">
        <f>IFERROR(1/I5,"0")</f>
      </c>
      <c r="K5" s="68">
        <f>1-J5</f>
      </c>
      <c r="L5" s="55">
        <f>SUM(BHB!AF18:AF27)</f>
      </c>
      <c r="M5" s="49">
        <f>L5*J5</f>
      </c>
      <c r="N5" s="56">
        <f>L5*K5</f>
      </c>
      <c r="O5" s="57">
        <f>G5-M5</f>
      </c>
      <c r="P5" s="58">
        <f>O5-N5</f>
      </c>
      <c r="Q5" s="59">
        <f>SUM(BHB!BF18:BF27)</f>
      </c>
      <c r="R5" s="60">
        <f>SUM(BHB!BN18:BN27)</f>
      </c>
      <c r="S5" s="59">
        <f>Q5-R5</f>
      </c>
      <c r="T5" s="63">
        <f>SUM(BHB!AE18:AE27)</f>
      </c>
      <c r="U5" s="64">
        <f>IFERROR(SUM(BHB!BL18:BL27),0)</f>
      </c>
      <c r="V5" s="63">
        <f>IFERROR(G5/B5,0)</f>
      </c>
      <c r="W5" s="62">
        <f>IFERROR(IF(((L5/G5)-1)&lt;0,"-na- ",(L5/G5)-1),0)</f>
      </c>
      <c r="X5" s="49">
        <f>L5*J5</f>
      </c>
      <c r="Y5" s="94">
        <f>L5*K4</f>
      </c>
      <c r="Z5" s="4"/>
      <c r="AA5" s="49">
        <f>Y5*AA$1</f>
      </c>
      <c r="AB5" s="12">
        <f>L5-AA5</f>
      </c>
      <c r="AC5" s="62"/>
      <c r="AD5" s="4"/>
      <c r="AE5" s="4"/>
      <c r="AF5" s="3"/>
      <c r="AG5" s="3"/>
    </row>
    <row x14ac:dyDescent="0.25" r="6" customHeight="1" ht="17.25">
      <c r="A6" s="5" t="s">
        <v>47</v>
      </c>
      <c r="B6" s="48">
        <f>COUNT(BHB!A28:A38)</f>
      </c>
      <c r="C6" s="49">
        <f>SUM(BHB!T28:T38)</f>
      </c>
      <c r="D6" s="49">
        <f>SUM(BHB!U28:U38)</f>
      </c>
      <c r="E6" s="50">
        <f>SUM(BHB!Q28:Q38)</f>
      </c>
      <c r="F6" s="51">
        <f>SUM(BHB!W28:W38)</f>
      </c>
      <c r="G6" s="49">
        <f>SUM(BHB!X28:X38)</f>
      </c>
      <c r="H6" s="49">
        <f>SUM(BHB!Z28:Z38)</f>
      </c>
      <c r="I6" s="52">
        <f>IFERROR(H6/G6,"0")</f>
      </c>
      <c r="J6" s="67">
        <f>IFERROR(1/I6,"0")</f>
      </c>
      <c r="K6" s="68">
        <f>1-J6</f>
      </c>
      <c r="L6" s="55">
        <f>SUM(BHB!AF28:AF38)</f>
      </c>
      <c r="M6" s="49">
        <f>L6*J6</f>
      </c>
      <c r="N6" s="56">
        <f>L6*K6</f>
      </c>
      <c r="O6" s="57">
        <f>G6-M6</f>
      </c>
      <c r="P6" s="58">
        <f>O6-N6</f>
      </c>
      <c r="Q6" s="59">
        <f>SUM(BHB!BF28:BF38)</f>
      </c>
      <c r="R6" s="60">
        <f>SUM(BHB!BN28:BN38)</f>
      </c>
      <c r="S6" s="59">
        <f>Q6-R6</f>
      </c>
      <c r="T6" s="63">
        <f>SUM(BHB!AE28:AE38)</f>
      </c>
      <c r="U6" s="64">
        <f>IFERROR(SUM(BHB!BL28:BL38),0)</f>
      </c>
      <c r="V6" s="63">
        <f>IFERROR(G6/B6,0)</f>
      </c>
      <c r="W6" s="62">
        <f>IFERROR(IF(((L6/G6)-1)&lt;0,"-na- ",(L6/G6)-1),0)</f>
      </c>
      <c r="X6" s="49">
        <f>L6*J6</f>
      </c>
      <c r="Y6" s="94">
        <f>L6*K5</f>
      </c>
      <c r="Z6" s="4"/>
      <c r="AA6" s="49">
        <f>Y6*AA$1</f>
      </c>
      <c r="AB6" s="12">
        <f>L6-AA6</f>
      </c>
      <c r="AC6" s="62"/>
      <c r="AD6" s="4"/>
      <c r="AE6" s="4"/>
      <c r="AF6" s="3"/>
      <c r="AG6" s="3"/>
    </row>
    <row x14ac:dyDescent="0.25" r="7" customHeight="1" ht="17.25">
      <c r="A7" s="5" t="s">
        <v>48</v>
      </c>
      <c r="B7" s="48">
        <f>COUNT(BHB!A39:A47)</f>
      </c>
      <c r="C7" s="49">
        <f>SUM(BHB!T39:T47)</f>
      </c>
      <c r="D7" s="49">
        <f>SUM(BHB!U39:U47)</f>
      </c>
      <c r="E7" s="50">
        <f>SUM(BHB!Q39:Q47)</f>
      </c>
      <c r="F7" s="51">
        <f>SUM(BHB!W39:W47)</f>
      </c>
      <c r="G7" s="49">
        <f>SUM(BHB!X39:X47)</f>
      </c>
      <c r="H7" s="49">
        <f>SUM(BHB!Z39:Z47)</f>
      </c>
      <c r="I7" s="52">
        <f>IFERROR(H7/G7,"0")</f>
      </c>
      <c r="J7" s="67">
        <f>IFERROR(1/I7,"0")</f>
      </c>
      <c r="K7" s="68">
        <f>1-J7</f>
      </c>
      <c r="L7" s="55">
        <f>SUM(BHB!AF39:AF47)</f>
      </c>
      <c r="M7" s="49">
        <f>L7*J7</f>
      </c>
      <c r="N7" s="56">
        <f>L7*K7</f>
      </c>
      <c r="O7" s="57">
        <f>G7-M7</f>
      </c>
      <c r="P7" s="58">
        <f>O7-N7</f>
      </c>
      <c r="Q7" s="59">
        <f>SUM(BHB!BF39:BF47)</f>
      </c>
      <c r="R7" s="60">
        <f>SUM(BHB!BN39:BN47)</f>
      </c>
      <c r="S7" s="59">
        <f>Q7-R7</f>
      </c>
      <c r="T7" s="63">
        <f>SUM(BHB!AE39:AE47)</f>
      </c>
      <c r="U7" s="64">
        <f>IFERROR(SUM(BHB!BL39:BL47),0)</f>
      </c>
      <c r="V7" s="63">
        <f>IFERROR(G7/B7,0)</f>
      </c>
      <c r="W7" s="62">
        <f>IFERROR(IF(((L7/G7)-1)&lt;0,"-na- ",(L7/G7)-1),0)</f>
      </c>
      <c r="X7" s="49">
        <f>L7*J7</f>
      </c>
      <c r="Y7" s="94">
        <f>L7*K6</f>
      </c>
      <c r="Z7" s="4"/>
      <c r="AA7" s="49">
        <f>Y7*AA$1</f>
      </c>
      <c r="AB7" s="12">
        <f>L7-AA7</f>
      </c>
      <c r="AC7" s="62"/>
      <c r="AD7" s="4"/>
      <c r="AE7" s="4"/>
      <c r="AF7" s="3"/>
      <c r="AG7" s="3"/>
    </row>
    <row x14ac:dyDescent="0.25" r="8" customHeight="1" ht="17.25">
      <c r="A8" s="5" t="s">
        <v>49</v>
      </c>
      <c r="B8" s="48">
        <f>COUNT(BHB!A48:A60)</f>
      </c>
      <c r="C8" s="49">
        <f>SUM(BHB!T48:T60)</f>
      </c>
      <c r="D8" s="49">
        <f>SUM(BHB!U48:U60)</f>
      </c>
      <c r="E8" s="50">
        <f>SUM(BHB!Q48:Q60)</f>
      </c>
      <c r="F8" s="51">
        <f>SUM(BHB!W48:W60)</f>
      </c>
      <c r="G8" s="49">
        <f>SUM(BHB!X48:X60)</f>
      </c>
      <c r="H8" s="49">
        <f>SUM(BHB!Z48:Z60)</f>
      </c>
      <c r="I8" s="52">
        <f>IFERROR(H8/G8,"0")</f>
      </c>
      <c r="J8" s="67">
        <f>IFERROR(1/I8,"0")</f>
      </c>
      <c r="K8" s="68">
        <f>1-J8</f>
      </c>
      <c r="L8" s="55">
        <f>SUM(BHB!AF48:AF60)</f>
      </c>
      <c r="M8" s="49">
        <f>L8*J8</f>
      </c>
      <c r="N8" s="56">
        <f>L8*K8</f>
      </c>
      <c r="O8" s="57">
        <f>G8-M8</f>
      </c>
      <c r="P8" s="58">
        <f>O8-N8</f>
      </c>
      <c r="Q8" s="59">
        <f>SUM(BHB!BF48:BF60)</f>
      </c>
      <c r="R8" s="60">
        <f>SUM(BHB!BN48:BN60)</f>
      </c>
      <c r="S8" s="59">
        <f>Q8-R8</f>
      </c>
      <c r="T8" s="63">
        <f>SUM(BHB!AE48:AE60)</f>
      </c>
      <c r="U8" s="64">
        <f>IFERROR(SUM(BHB!BL48:BL60),0)</f>
      </c>
      <c r="V8" s="63">
        <f>IFERROR(G8/B8,0)</f>
      </c>
      <c r="W8" s="62">
        <f>IFERROR(IF(((L8/G8)-1)&lt;0,"-na- ",(L8/G8)-1),0)</f>
      </c>
      <c r="X8" s="49">
        <f>L8*J8</f>
      </c>
      <c r="Y8" s="94">
        <f>L8*K7</f>
      </c>
      <c r="Z8" s="4"/>
      <c r="AA8" s="49">
        <f>Y8*AA$1</f>
      </c>
      <c r="AB8" s="12">
        <f>L8-AA8</f>
      </c>
      <c r="AC8" s="62"/>
      <c r="AD8" s="4"/>
      <c r="AE8" s="4"/>
      <c r="AF8" s="3"/>
      <c r="AG8" s="3"/>
    </row>
    <row x14ac:dyDescent="0.25" r="9" customHeight="1" ht="17.25">
      <c r="A9" s="5"/>
      <c r="B9" s="70"/>
      <c r="C9" s="49"/>
      <c r="D9" s="49"/>
      <c r="E9" s="71"/>
      <c r="F9" s="72"/>
      <c r="G9" s="49"/>
      <c r="H9" s="49"/>
      <c r="I9" s="71"/>
      <c r="J9" s="63"/>
      <c r="K9" s="72"/>
      <c r="L9" s="55"/>
      <c r="M9" s="49"/>
      <c r="N9" s="56"/>
      <c r="O9" s="57"/>
      <c r="P9" s="58">
        <f>O9-N9</f>
      </c>
      <c r="Q9" s="59"/>
      <c r="R9" s="73"/>
      <c r="S9" s="59">
        <f>Q9-R9</f>
      </c>
      <c r="T9" s="63"/>
      <c r="U9" s="66"/>
      <c r="V9" s="63"/>
      <c r="W9" s="3"/>
      <c r="X9" s="3"/>
      <c r="Y9" s="3"/>
      <c r="Z9" s="4"/>
      <c r="AA9" s="49">
        <f>Y9*AA$1</f>
      </c>
      <c r="AB9" s="12">
        <f>L9-AA9</f>
      </c>
      <c r="AC9" s="3"/>
      <c r="AD9" s="4"/>
      <c r="AE9" s="4"/>
      <c r="AF9" s="3"/>
      <c r="AG9" s="3"/>
    </row>
    <row x14ac:dyDescent="0.25" r="10" customHeight="1" ht="17.25">
      <c r="A10" s="5" t="s">
        <v>50</v>
      </c>
      <c r="B10" s="48">
        <f>SUM(B3:B9)</f>
      </c>
      <c r="C10" s="49">
        <f>SUM(C3:C9)</f>
      </c>
      <c r="D10" s="49">
        <f>SUM(D3:D9)</f>
      </c>
      <c r="E10" s="74">
        <f>SUM(E3:E9)</f>
      </c>
      <c r="F10" s="75">
        <f>SUM(F3:F9)</f>
      </c>
      <c r="G10" s="49">
        <f>SUM(G3:G9)</f>
      </c>
      <c r="H10" s="49">
        <f>SUM(H3:H9)</f>
      </c>
      <c r="I10" s="76">
        <f>H10/G10</f>
      </c>
      <c r="J10" s="77"/>
      <c r="K10" s="75"/>
      <c r="L10" s="78">
        <f>SUM(L3:L9)</f>
      </c>
      <c r="M10" s="79">
        <f>SUM(M3:M9)</f>
      </c>
      <c r="N10" s="80">
        <f>SUM(N3:N9)</f>
      </c>
      <c r="O10" s="81">
        <f>SUM(O3:O9)</f>
      </c>
      <c r="P10" s="81">
        <f>SUM(P3:P9)</f>
      </c>
      <c r="Q10" s="82">
        <f>SUM(Q3:Q9)</f>
      </c>
      <c r="R10" s="83">
        <f>SUM(R3:R9)</f>
      </c>
      <c r="S10" s="82">
        <f>SUM(S3:S9)</f>
      </c>
      <c r="T10" s="63">
        <f>SUM(T3:T9)</f>
      </c>
      <c r="U10" s="64">
        <f>AVERAGEIF(U3:U9,"&lt;&gt;0")</f>
      </c>
      <c r="V10" s="63">
        <f>G10/B10</f>
      </c>
      <c r="W10" s="3"/>
      <c r="X10" s="63">
        <f>SUM(X3:X9)</f>
      </c>
      <c r="Y10" s="63">
        <f>SUM(Y3:Y9)</f>
      </c>
      <c r="Z10" s="4"/>
      <c r="AA10" s="14"/>
      <c r="AB10" s="3"/>
      <c r="AC10" s="3"/>
      <c r="AD10" s="4"/>
      <c r="AE10" s="4"/>
      <c r="AF10" s="16">
        <f>MEDIAN(BHB!G3:G67)</f>
      </c>
      <c r="AG10" s="16">
        <f>AVERAGE(BHB!G3:G67)</f>
      </c>
    </row>
    <row x14ac:dyDescent="0.25" r="11" customHeight="1" ht="17.25">
      <c r="A11" s="5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14"/>
      <c r="AB11" s="3"/>
      <c r="AC11" s="3"/>
      <c r="AD11" s="4"/>
      <c r="AE11" s="4"/>
      <c r="AF11" s="3"/>
      <c r="AG11" s="3"/>
    </row>
    <row x14ac:dyDescent="0.25" r="12" customHeight="1" ht="17.25">
      <c r="A12" s="84" t="s">
        <v>51</v>
      </c>
      <c r="B12" s="84"/>
      <c r="C12" s="3"/>
      <c r="D12" s="85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14"/>
      <c r="AB12" s="3"/>
      <c r="AC12" s="3"/>
      <c r="AD12" s="4"/>
      <c r="AE12" s="4"/>
      <c r="AF12" s="3"/>
      <c r="AG12" s="3"/>
    </row>
    <row x14ac:dyDescent="0.25" r="13" customHeight="1" ht="17.25">
      <c r="A13" s="5" t="s">
        <v>52</v>
      </c>
      <c r="B13" s="3"/>
      <c r="C13" s="3"/>
      <c r="D13" s="1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  <c r="AA13" s="14"/>
      <c r="AB13" s="3"/>
      <c r="AC13" s="3"/>
      <c r="AD13" s="4"/>
      <c r="AE13" s="4"/>
      <c r="AF13" s="3"/>
      <c r="AG13" s="3"/>
    </row>
    <row x14ac:dyDescent="0.25" r="14" customHeight="1" ht="17.25">
      <c r="A14" s="5" t="s">
        <v>53</v>
      </c>
      <c r="B14" s="5" t="s">
        <v>24</v>
      </c>
      <c r="C14" s="3"/>
      <c r="D14" s="1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  <c r="AA14" s="14"/>
      <c r="AB14" s="3"/>
      <c r="AC14" s="3"/>
      <c r="AD14" s="4"/>
      <c r="AE14" s="4"/>
      <c r="AF14" s="3"/>
      <c r="AG14" s="3"/>
    </row>
    <row x14ac:dyDescent="0.25" r="15" customHeight="1" ht="17.25">
      <c r="A15" s="5"/>
      <c r="B15" s="3"/>
      <c r="C15" s="3"/>
      <c r="D15" s="2"/>
      <c r="E15" s="3"/>
      <c r="F15" s="3"/>
      <c r="G15" s="3"/>
      <c r="H15" s="86"/>
      <c r="I15" s="86"/>
      <c r="J15" s="86"/>
      <c r="K15" s="8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  <c r="AA15" s="14"/>
      <c r="AB15" s="3"/>
      <c r="AC15" s="3"/>
      <c r="AD15" s="4"/>
      <c r="AE15" s="4"/>
      <c r="AF15" s="3"/>
      <c r="AG15" s="3"/>
    </row>
    <row x14ac:dyDescent="0.25" r="16" customHeight="1" ht="17.25">
      <c r="A16" s="5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  <c r="AA16" s="14"/>
      <c r="AB16" s="3"/>
      <c r="AC16" s="3"/>
      <c r="AD16" s="4"/>
      <c r="AE16" s="4"/>
      <c r="AF16" s="3"/>
      <c r="AG16" s="3"/>
    </row>
    <row x14ac:dyDescent="0.25" r="17" customHeight="1" ht="17.25">
      <c r="A17" s="87" t="s">
        <v>54</v>
      </c>
      <c r="B17" s="3"/>
      <c r="C17" s="3"/>
      <c r="D17" s="85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  <c r="AA17" s="14"/>
      <c r="AB17" s="3"/>
      <c r="AC17" s="3"/>
      <c r="AD17" s="4"/>
      <c r="AE17" s="4"/>
      <c r="AF17" s="3"/>
      <c r="AG17" s="3"/>
    </row>
    <row x14ac:dyDescent="0.25" r="18" customHeight="1" ht="17.25">
      <c r="A18" s="87" t="s">
        <v>55</v>
      </c>
      <c r="B18" s="3"/>
      <c r="C18" s="3"/>
      <c r="D18" s="1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  <c r="AA18" s="14"/>
      <c r="AB18" s="3"/>
      <c r="AC18" s="3"/>
      <c r="AD18" s="4"/>
      <c r="AE18" s="4"/>
      <c r="AF18" s="3"/>
      <c r="AG18" s="3"/>
    </row>
    <row x14ac:dyDescent="0.25" r="19" customHeight="1" ht="17.25">
      <c r="A19" s="87" t="s">
        <v>56</v>
      </c>
      <c r="B19" s="3"/>
      <c r="C19" s="3"/>
      <c r="D19" s="1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  <c r="AA19" s="14"/>
      <c r="AB19" s="3"/>
      <c r="AC19" s="3"/>
      <c r="AD19" s="4"/>
      <c r="AE19" s="4"/>
      <c r="AF19" s="3"/>
      <c r="AG1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88" width="12.43357142857143" customWidth="1" bestFit="1"/>
    <col min="2" max="2" style="21" width="12.43357142857143" customWidth="1" bestFit="1"/>
    <col min="3" max="3" style="21" width="10.290714285714287" customWidth="1" bestFit="1"/>
    <col min="4" max="4" style="20" width="12.43357142857143" customWidth="1" bestFit="1"/>
    <col min="5" max="5" style="21" width="12.43357142857143" customWidth="1" bestFit="1"/>
    <col min="6" max="6" style="21" width="12.43357142857143" customWidth="1" bestFit="1"/>
    <col min="7" max="7" style="21" width="12.43357142857143" customWidth="1" bestFit="1"/>
    <col min="8" max="8" style="21" width="12.43357142857143" customWidth="1" bestFit="1"/>
    <col min="9" max="9" style="21" width="12.43357142857143" customWidth="1" bestFit="1"/>
    <col min="10" max="10" style="21" width="12.43357142857143" customWidth="1" bestFit="1"/>
    <col min="11" max="11" style="21" width="12.43357142857143" customWidth="1" bestFit="1"/>
    <col min="12" max="12" style="21" width="12.43357142857143" customWidth="1" bestFit="1"/>
    <col min="13" max="13" style="21" width="9.005" customWidth="1" bestFit="1"/>
    <col min="14" max="14" style="21" width="9.005" customWidth="1" bestFit="1"/>
    <col min="15" max="15" style="21" width="9.005" customWidth="1" bestFit="1"/>
    <col min="16" max="16" style="21" width="9.005" customWidth="1" bestFit="1"/>
    <col min="17" max="17" style="21" width="12.43357142857143" customWidth="1" bestFit="1"/>
    <col min="18" max="18" style="21" width="12.43357142857143" customWidth="1" bestFit="1"/>
    <col min="19" max="19" style="21" width="12.43357142857143" customWidth="1" bestFit="1"/>
    <col min="20" max="20" style="21" width="12.43357142857143" customWidth="1" bestFit="1"/>
    <col min="21" max="21" style="21" width="9.005" customWidth="1" bestFit="1"/>
    <col min="22" max="22" style="171" width="12.43357142857143" customWidth="1" bestFit="1"/>
    <col min="23" max="23" style="171" width="9.005" customWidth="1" bestFit="1"/>
    <col min="24" max="24" style="171" width="12.43357142857143" customWidth="1" bestFit="1"/>
    <col min="25" max="25" style="171" width="12.43357142857143" customWidth="1" bestFit="1"/>
    <col min="26" max="26" style="21" width="12.43357142857143" customWidth="1" bestFit="1"/>
    <col min="27" max="27" style="21" width="12.43357142857143" customWidth="1" bestFit="1"/>
    <col min="28" max="28" style="22" width="12.43357142857143" customWidth="1" bestFit="1"/>
    <col min="29" max="29" style="21" width="12.43357142857143" customWidth="1" bestFit="1"/>
    <col min="30" max="30" style="21" width="12.43357142857143" customWidth="1" bestFit="1"/>
    <col min="31" max="31" style="22" width="12.43357142857143" customWidth="1" bestFit="1"/>
    <col min="32" max="32" style="21" width="12.43357142857143" customWidth="1" bestFit="1"/>
    <col min="33" max="33" style="21" width="12.43357142857143" customWidth="1" bestFit="1"/>
  </cols>
  <sheetData>
    <row x14ac:dyDescent="0.25" r="1" customHeight="1" ht="12.5">
      <c r="A1" s="159" t="s">
        <v>59</v>
      </c>
      <c r="B1" s="159" t="s">
        <v>59</v>
      </c>
      <c r="C1" s="159" t="s">
        <v>59</v>
      </c>
      <c r="D1" s="159" t="s">
        <v>59</v>
      </c>
      <c r="E1" s="159" t="s">
        <v>59</v>
      </c>
      <c r="F1" s="159" t="s">
        <v>59</v>
      </c>
      <c r="G1" s="159" t="s">
        <v>59</v>
      </c>
      <c r="H1" s="159" t="s">
        <v>59</v>
      </c>
      <c r="I1" s="159" t="s">
        <v>59</v>
      </c>
      <c r="J1" s="159" t="s">
        <v>59</v>
      </c>
      <c r="K1" s="159" t="s">
        <v>59</v>
      </c>
      <c r="L1" s="159" t="s">
        <v>59</v>
      </c>
      <c r="M1" s="159" t="s">
        <v>59</v>
      </c>
      <c r="N1" s="159" t="s">
        <v>59</v>
      </c>
      <c r="O1" s="159" t="s">
        <v>59</v>
      </c>
      <c r="P1" s="159" t="s">
        <v>59</v>
      </c>
      <c r="Q1" s="159" t="s">
        <v>59</v>
      </c>
      <c r="R1" s="159" t="s">
        <v>59</v>
      </c>
      <c r="S1" s="159" t="s">
        <v>59</v>
      </c>
      <c r="T1" s="159" t="s">
        <v>59</v>
      </c>
      <c r="U1" s="159" t="s">
        <v>59</v>
      </c>
      <c r="V1" s="160"/>
      <c r="W1" s="161"/>
      <c r="X1" s="160"/>
      <c r="Y1" s="160"/>
      <c r="Z1" s="162"/>
      <c r="AA1" s="162"/>
      <c r="AB1" s="4"/>
      <c r="AC1" s="3"/>
      <c r="AD1" s="3"/>
      <c r="AE1" s="4"/>
      <c r="AF1" s="3"/>
      <c r="AG1" s="3"/>
    </row>
    <row x14ac:dyDescent="0.25" r="2" customHeight="1" ht="76" customFormat="1" s="6">
      <c r="A2" s="4"/>
      <c r="B2" s="32" t="s">
        <v>15</v>
      </c>
      <c r="C2" s="32" t="s">
        <v>16</v>
      </c>
      <c r="D2" s="32" t="s">
        <v>17</v>
      </c>
      <c r="E2" s="33" t="s">
        <v>18</v>
      </c>
      <c r="F2" s="163" t="s">
        <v>19</v>
      </c>
      <c r="G2" s="32" t="s">
        <v>20</v>
      </c>
      <c r="H2" s="32" t="s">
        <v>21</v>
      </c>
      <c r="I2" s="33" t="s">
        <v>22</v>
      </c>
      <c r="J2" s="164" t="s">
        <v>23</v>
      </c>
      <c r="K2" s="165" t="s">
        <v>24</v>
      </c>
      <c r="L2" s="37" t="s">
        <v>25</v>
      </c>
      <c r="M2" s="38" t="s">
        <v>26</v>
      </c>
      <c r="N2" s="39" t="s">
        <v>27</v>
      </c>
      <c r="O2" s="40" t="s">
        <v>28</v>
      </c>
      <c r="P2" s="41" t="s">
        <v>29</v>
      </c>
      <c r="Q2" s="42" t="s">
        <v>30</v>
      </c>
      <c r="R2" s="43" t="s">
        <v>31</v>
      </c>
      <c r="S2" s="42" t="s">
        <v>32</v>
      </c>
      <c r="T2" s="44" t="s">
        <v>33</v>
      </c>
      <c r="U2" s="44" t="s">
        <v>34</v>
      </c>
      <c r="V2" s="166" t="s">
        <v>35</v>
      </c>
      <c r="W2" s="166" t="s">
        <v>36</v>
      </c>
      <c r="X2" s="166" t="s">
        <v>37</v>
      </c>
      <c r="Y2" s="166" t="s">
        <v>38</v>
      </c>
      <c r="Z2" s="46" t="s">
        <v>39</v>
      </c>
      <c r="AA2" s="44" t="s">
        <v>40</v>
      </c>
      <c r="AB2" s="4"/>
      <c r="AC2" s="4"/>
      <c r="AD2" s="4"/>
      <c r="AE2" s="46" t="s">
        <v>41</v>
      </c>
      <c r="AF2" s="44" t="s">
        <v>42</v>
      </c>
      <c r="AG2" s="46" t="s">
        <v>43</v>
      </c>
    </row>
    <row x14ac:dyDescent="0.25" r="3" customHeight="1" ht="12.5">
      <c r="A3" s="47" t="s">
        <v>44</v>
      </c>
      <c r="B3" s="70"/>
      <c r="C3" s="49"/>
      <c r="D3" s="49"/>
      <c r="E3" s="50"/>
      <c r="F3" s="51"/>
      <c r="G3" s="49"/>
      <c r="H3" s="49"/>
      <c r="I3" s="52"/>
      <c r="J3" s="53"/>
      <c r="K3" s="54"/>
      <c r="L3" s="55"/>
      <c r="M3" s="49"/>
      <c r="N3" s="56"/>
      <c r="O3" s="57"/>
      <c r="P3" s="58"/>
      <c r="Q3" s="59"/>
      <c r="R3" s="60">
        <f>SUM(BHB!BN3:BN10)</f>
      </c>
      <c r="S3" s="59">
        <f>Q3-R3</f>
      </c>
      <c r="T3" s="49"/>
      <c r="U3" s="61"/>
      <c r="V3" s="49"/>
      <c r="W3" s="62"/>
      <c r="X3" s="49"/>
      <c r="Y3" s="49"/>
      <c r="Z3" s="12"/>
      <c r="AA3" s="70"/>
      <c r="AB3" s="4"/>
      <c r="AC3" s="62"/>
      <c r="AD3" s="3"/>
      <c r="AE3" s="4"/>
      <c r="AF3" s="3"/>
      <c r="AG3" s="3"/>
    </row>
    <row x14ac:dyDescent="0.25" r="4" customHeight="1" ht="12.5">
      <c r="A4" s="5" t="s">
        <v>45</v>
      </c>
      <c r="B4" s="70"/>
      <c r="C4" s="49"/>
      <c r="D4" s="49"/>
      <c r="E4" s="50"/>
      <c r="F4" s="51"/>
      <c r="G4" s="49"/>
      <c r="H4" s="49"/>
      <c r="I4" s="52"/>
      <c r="J4" s="53"/>
      <c r="K4" s="53"/>
      <c r="L4" s="55"/>
      <c r="M4" s="49"/>
      <c r="N4" s="56"/>
      <c r="O4" s="57"/>
      <c r="P4" s="58"/>
      <c r="Q4" s="59"/>
      <c r="R4" s="60"/>
      <c r="S4" s="59"/>
      <c r="T4" s="63"/>
      <c r="U4" s="64"/>
      <c r="V4" s="63"/>
      <c r="W4" s="16"/>
      <c r="X4" s="94"/>
      <c r="Y4" s="49"/>
      <c r="Z4" s="12"/>
      <c r="AA4" s="70"/>
      <c r="AB4" s="4"/>
      <c r="AC4" s="3"/>
      <c r="AD4" s="3"/>
      <c r="AE4" s="4"/>
      <c r="AF4" s="3"/>
      <c r="AG4" s="3"/>
    </row>
    <row x14ac:dyDescent="0.25" r="5" customHeight="1" ht="12.5">
      <c r="A5" s="47" t="s">
        <v>46</v>
      </c>
      <c r="B5" s="48">
        <f>COUNT(Boom!A3:A7)</f>
      </c>
      <c r="C5" s="49">
        <f>SUM(Boom!T3:T7)</f>
      </c>
      <c r="D5" s="49">
        <f>SUM(Boom!U3:U7)</f>
      </c>
      <c r="E5" s="50">
        <f>SUM(Boom!Q3:Q7)</f>
      </c>
      <c r="F5" s="51">
        <f>SUM(Boom!W3:W7)</f>
      </c>
      <c r="G5" s="49">
        <f>SUM(Boom!X3:X7)</f>
      </c>
      <c r="H5" s="49">
        <f>SUM(Boom!Z3:Z7)</f>
      </c>
      <c r="I5" s="52">
        <f>IFERROR(H5/G5,"0")</f>
      </c>
      <c r="J5" s="67">
        <f>IFERROR(1/I5,0)</f>
      </c>
      <c r="K5" s="68">
        <f>1-J5</f>
      </c>
      <c r="L5" s="55">
        <f>SUM(Boom!AF3:AF7)</f>
      </c>
      <c r="M5" s="49">
        <f>L5*J5</f>
      </c>
      <c r="N5" s="56">
        <f>L5*K5</f>
      </c>
      <c r="O5" s="57">
        <f>G5-M5</f>
      </c>
      <c r="P5" s="58">
        <f>O5-N5</f>
      </c>
      <c r="Q5" s="59">
        <f>SUM(Boom!BF3:BF7)</f>
      </c>
      <c r="R5" s="60">
        <f>SUM(Boom!BN3:BN7)</f>
      </c>
      <c r="S5" s="59">
        <f>Q5-R5</f>
      </c>
      <c r="T5" s="49">
        <f>SUM(Boom!AE3:AE7)</f>
      </c>
      <c r="U5" s="61">
        <f>IFERROR(SUM(Boom!BL3:BL7),0)</f>
      </c>
      <c r="V5" s="49">
        <f>IFERROR(G5/B5,"")</f>
      </c>
      <c r="W5" s="167">
        <f>IFERROR(IF(((L5/G5)-1)&lt;0,"-na- ",(L5/G5)-1),0)</f>
      </c>
      <c r="X5" s="167"/>
      <c r="Y5" s="49">
        <f>N5*W$1</f>
      </c>
      <c r="Z5" s="12">
        <f>N5-Y5</f>
      </c>
      <c r="AA5" s="48">
        <f>IF(((Z5/G5)-1)&lt;0,"-na-",(Z5/G5)-1)</f>
      </c>
      <c r="AB5" s="4"/>
      <c r="AC5" s="3"/>
      <c r="AD5" s="3"/>
      <c r="AE5" s="4"/>
      <c r="AF5" s="12"/>
      <c r="AG5" s="3"/>
    </row>
    <row x14ac:dyDescent="0.25" r="6" customHeight="1" ht="12.5">
      <c r="A6" s="5" t="s">
        <v>47</v>
      </c>
      <c r="B6" s="48">
        <f>COUNT(Boom!A8:A25)</f>
      </c>
      <c r="C6" s="49">
        <f>SUM(Boom!T8:T25)</f>
      </c>
      <c r="D6" s="49">
        <f>SUM(Boom!U8:U25)</f>
      </c>
      <c r="E6" s="50">
        <f>SUM(Boom!Q8:Q25)</f>
      </c>
      <c r="F6" s="51">
        <f>SUM(Boom!W8:W25)</f>
      </c>
      <c r="G6" s="49">
        <f>SUM(Boom!X8:X25)</f>
      </c>
      <c r="H6" s="49">
        <f>SUM(Boom!Z8:Z25)</f>
      </c>
      <c r="I6" s="52">
        <f>IFERROR(H6/G6,"0")</f>
      </c>
      <c r="J6" s="67">
        <f>IFERROR(1/I6,0)</f>
      </c>
      <c r="K6" s="68">
        <f>1-J6</f>
      </c>
      <c r="L6" s="55">
        <f>SUM(Boom!AF8:AF25)</f>
      </c>
      <c r="M6" s="49">
        <f>L6*J6</f>
      </c>
      <c r="N6" s="56">
        <f>L6*K6</f>
      </c>
      <c r="O6" s="57">
        <f>G6-M6</f>
      </c>
      <c r="P6" s="58">
        <f>O6-N6</f>
      </c>
      <c r="Q6" s="59">
        <f>SUM(Boom!BF8:BF25)</f>
      </c>
      <c r="R6" s="60">
        <f>SUM(Boom!BN8:BN25)</f>
      </c>
      <c r="S6" s="59">
        <f>Q6-R6</f>
      </c>
      <c r="T6" s="49">
        <f>SUM(Boom!AE8:AE25)</f>
      </c>
      <c r="U6" s="61">
        <f>IFERROR(SUM(Boom!BL8:BL25),0)</f>
      </c>
      <c r="V6" s="49">
        <f>IFERROR(G6/B6,"")</f>
      </c>
      <c r="W6" s="167">
        <f>IFERROR(IF(((L6/G6)-1)&lt;0,"-na- ",(L6/G6)-1),0)</f>
      </c>
      <c r="X6" s="167"/>
      <c r="Y6" s="49">
        <f>N6*W$1</f>
      </c>
      <c r="Z6" s="12">
        <f>N6-Y6</f>
      </c>
      <c r="AA6" s="48">
        <f>IF(((Z6/G6)-1)&lt;0,"-na-",(Z6/G6)-1)</f>
      </c>
      <c r="AB6" s="4"/>
      <c r="AC6" s="3"/>
      <c r="AD6" s="3"/>
      <c r="AE6" s="4"/>
      <c r="AF6" s="3"/>
      <c r="AG6" s="3"/>
    </row>
    <row x14ac:dyDescent="0.25" r="7" customHeight="1" ht="12.5">
      <c r="A7" s="5" t="s">
        <v>48</v>
      </c>
      <c r="B7" s="48">
        <f>COUNT(Boom!A26:A28)</f>
      </c>
      <c r="C7" s="49">
        <f>SUM(Boom!T26:T28)</f>
      </c>
      <c r="D7" s="49">
        <f>SUM(Boom!U26:U28)</f>
      </c>
      <c r="E7" s="71">
        <f>SUM(Boom!Q26:Q28)</f>
      </c>
      <c r="F7" s="72">
        <f>SUM(Boom!W26:W28)</f>
      </c>
      <c r="G7" s="49">
        <f>SUM(Boom!X26:X28)</f>
      </c>
      <c r="H7" s="49">
        <f>SUM(Boom!Z26:Z28)</f>
      </c>
      <c r="I7" s="168">
        <f>IFERROR(H7/G7,"0")</f>
      </c>
      <c r="J7" s="169">
        <f>IFERROR(1/I7,0)</f>
      </c>
      <c r="K7" s="170">
        <f>1-J7</f>
      </c>
      <c r="L7" s="55">
        <f>SUM(Boom!AF26:AF28)</f>
      </c>
      <c r="M7" s="49">
        <f>L7*J7</f>
      </c>
      <c r="N7" s="56">
        <f>L7*K7</f>
      </c>
      <c r="O7" s="57">
        <f>G7-M7</f>
      </c>
      <c r="P7" s="58">
        <f>O7-N7</f>
      </c>
      <c r="Q7" s="59">
        <f>SUM(Boom!BF26:BF28)</f>
      </c>
      <c r="R7" s="73">
        <f>SUM(Boom!BN26:BN28)</f>
      </c>
      <c r="S7" s="59">
        <f>Q7-R7</f>
      </c>
      <c r="T7" s="63">
        <f>SUM(Boom!AE26:AE28)</f>
      </c>
      <c r="U7" s="93">
        <f>IFERROR(SUM(Boom!BL26:BL28),0)</f>
      </c>
      <c r="V7" s="63">
        <f>IFERROR(G7/B7,"")</f>
      </c>
      <c r="W7" s="94">
        <f>IFERROR(IF(((L7/G7)-1)&lt;0,"-na- ",(L7/G7)-1),0)</f>
      </c>
      <c r="X7" s="94"/>
      <c r="Y7" s="49">
        <f>N7*W$1</f>
      </c>
      <c r="Z7" s="12">
        <f>N7-Y7</f>
      </c>
      <c r="AA7" s="48">
        <f>IF(((Z7/G7)-1)&lt;0,"-na-",(Z7/G7)-1)</f>
      </c>
      <c r="AB7" s="4"/>
      <c r="AC7" s="3"/>
      <c r="AD7" s="94"/>
      <c r="AE7" s="4"/>
      <c r="AF7" s="3"/>
      <c r="AG7" s="3"/>
    </row>
    <row x14ac:dyDescent="0.25" r="8" customHeight="1" ht="12.5">
      <c r="A8" s="5" t="s">
        <v>49</v>
      </c>
      <c r="B8" s="48">
        <f>COUNT(Boom!A29:A38)</f>
      </c>
      <c r="C8" s="49">
        <f>SUM(Boom!T29:T38)</f>
      </c>
      <c r="D8" s="49">
        <f>SUM(Boom!U29:U38)</f>
      </c>
      <c r="E8" s="71">
        <f>SUM(Boom!Q29:Q38)</f>
      </c>
      <c r="F8" s="72">
        <f>SUM(Boom!W29:W38)</f>
      </c>
      <c r="G8" s="49">
        <f>SUM(Boom!X29:X38)</f>
      </c>
      <c r="H8" s="49">
        <f>SUM(Boom!Z29:Z38)</f>
      </c>
      <c r="I8" s="168">
        <f>IFERROR(H8/G8,"0")</f>
      </c>
      <c r="J8" s="169">
        <f>IFERROR(1/I8,0)</f>
      </c>
      <c r="K8" s="170">
        <f>1-J8</f>
      </c>
      <c r="L8" s="55">
        <f>SUM(Boom!AF29:AF38)</f>
      </c>
      <c r="M8" s="49">
        <f>L8*J8</f>
      </c>
      <c r="N8" s="56">
        <f>L8*K8</f>
      </c>
      <c r="O8" s="57">
        <f>G8-M8</f>
      </c>
      <c r="P8" s="58">
        <f>O8-N8</f>
      </c>
      <c r="Q8" s="59">
        <f>SUM(Boom!BF29:BF38)</f>
      </c>
      <c r="R8" s="73">
        <f>SUM(Boom!BN29:BN38)</f>
      </c>
      <c r="S8" s="59">
        <f>Q8-R8</f>
      </c>
      <c r="T8" s="63">
        <f>SUM(Boom!AE29:AE38)</f>
      </c>
      <c r="U8" s="93">
        <f>IFERROR(SUM(Boom!BL29:BL38),0)</f>
      </c>
      <c r="V8" s="63">
        <f>IFERROR(G8/B8,"")</f>
      </c>
      <c r="W8" s="94">
        <f>IFERROR(IF(((L8/G8)-1)&lt;0,"-na- ",(L8/G8)-1),0)</f>
      </c>
      <c r="X8" s="94"/>
      <c r="Y8" s="49">
        <f>N8*W$1</f>
      </c>
      <c r="Z8" s="12">
        <f>N8-Y8</f>
      </c>
      <c r="AA8" s="48">
        <f>IF(((Z8/G8)-1)&lt;0,"-na-",(Z8/G8)-1)</f>
      </c>
      <c r="AB8" s="4"/>
      <c r="AC8" s="3"/>
      <c r="AD8" s="94"/>
      <c r="AE8" s="4"/>
      <c r="AF8" s="3"/>
      <c r="AG8" s="3"/>
    </row>
    <row x14ac:dyDescent="0.25" r="9" customHeight="1" ht="12.5">
      <c r="A9" s="5"/>
      <c r="B9" s="70"/>
      <c r="C9" s="49"/>
      <c r="D9" s="49"/>
      <c r="E9" s="71"/>
      <c r="F9" s="72"/>
      <c r="G9" s="49"/>
      <c r="H9" s="49"/>
      <c r="I9" s="71"/>
      <c r="J9" s="63"/>
      <c r="K9" s="72"/>
      <c r="L9" s="55"/>
      <c r="M9" s="49">
        <f>L9*J9</f>
      </c>
      <c r="N9" s="56">
        <f>L9*K9</f>
      </c>
      <c r="O9" s="57">
        <f>G9-M9</f>
      </c>
      <c r="P9" s="58">
        <f>O9-N9</f>
      </c>
      <c r="Q9" s="59"/>
      <c r="R9" s="73"/>
      <c r="S9" s="59">
        <f>Q9-R9</f>
      </c>
      <c r="T9" s="63"/>
      <c r="U9" s="3"/>
      <c r="V9" s="63"/>
      <c r="W9" s="16"/>
      <c r="X9" s="94"/>
      <c r="Y9" s="49">
        <f>N9*W$1</f>
      </c>
      <c r="Z9" s="12">
        <f>N9-Y9</f>
      </c>
      <c r="AA9" s="48">
        <f>IF(((Z9/G9)-1)&lt;0,"-na-",(Z9/G9)-1)</f>
      </c>
      <c r="AB9" s="4"/>
      <c r="AC9" s="3"/>
      <c r="AD9" s="3"/>
      <c r="AE9" s="4"/>
      <c r="AF9" s="3"/>
      <c r="AG9" s="3"/>
    </row>
    <row x14ac:dyDescent="0.25" r="10" customHeight="1" ht="12.5">
      <c r="A10" s="5" t="s">
        <v>50</v>
      </c>
      <c r="B10" s="48">
        <f>SUM(B3:B9)</f>
      </c>
      <c r="C10" s="49">
        <f>SUM(C3:C9)</f>
      </c>
      <c r="D10" s="49">
        <f>SUM(D3:D9)</f>
      </c>
      <c r="E10" s="74">
        <f>SUM(E3:E9)</f>
      </c>
      <c r="F10" s="75">
        <f>SUM(F3:F9)</f>
      </c>
      <c r="G10" s="49">
        <f>SUM(G3:G9)</f>
      </c>
      <c r="H10" s="49">
        <f>SUM(H3:H9)</f>
      </c>
      <c r="I10" s="76">
        <f>H10/G10</f>
      </c>
      <c r="J10" s="77"/>
      <c r="K10" s="75"/>
      <c r="L10" s="78">
        <f>SUM(L3:L9)</f>
      </c>
      <c r="M10" s="79">
        <f>SUM(M3:M9)</f>
      </c>
      <c r="N10" s="80">
        <f>SUM(N3:N9)</f>
      </c>
      <c r="O10" s="81">
        <f>SUM(O3:O9)</f>
      </c>
      <c r="P10" s="81">
        <f>SUM(P3:P9)</f>
      </c>
      <c r="Q10" s="82">
        <f>SUM(Q3:Q9)</f>
      </c>
      <c r="R10" s="83">
        <f>SUM(R3:R9)</f>
      </c>
      <c r="S10" s="82">
        <f>SUM(S3:S9)</f>
      </c>
      <c r="T10" s="63">
        <f>SUM(T3:T9)</f>
      </c>
      <c r="U10" s="64">
        <f>AVERAGEIF(U3:U9,"&lt;&gt;0")</f>
      </c>
      <c r="V10" s="63">
        <f>G10/B10</f>
      </c>
      <c r="W10" s="16"/>
      <c r="X10" s="94"/>
      <c r="Y10" s="94"/>
      <c r="Z10" s="3"/>
      <c r="AA10" s="66"/>
      <c r="AB10" s="4"/>
      <c r="AC10" s="3"/>
      <c r="AD10" s="3"/>
      <c r="AE10" s="4"/>
      <c r="AF10" s="16">
        <f>MEDIAN(Boom!G3:G57)</f>
      </c>
      <c r="AG10" s="16">
        <f>AVERAGE(Boom!G3:G57)</f>
      </c>
    </row>
    <row x14ac:dyDescent="0.25" r="11" customHeight="1" ht="17.25">
      <c r="A11" s="5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6"/>
      <c r="W11" s="16"/>
      <c r="X11" s="16"/>
      <c r="Y11" s="16"/>
      <c r="Z11" s="3"/>
      <c r="AA11" s="3"/>
      <c r="AB11" s="4"/>
      <c r="AC11" s="3"/>
      <c r="AD11" s="3"/>
      <c r="AE11" s="4"/>
      <c r="AF11" s="3"/>
      <c r="AG11" s="3"/>
    </row>
    <row x14ac:dyDescent="0.25" r="12" customHeight="1" ht="12.5">
      <c r="A12" s="84" t="s">
        <v>51</v>
      </c>
      <c r="B12" s="84"/>
      <c r="C12" s="84"/>
      <c r="D12" s="85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6"/>
      <c r="W12" s="16"/>
      <c r="X12" s="16"/>
      <c r="Y12" s="16"/>
      <c r="Z12" s="3"/>
      <c r="AA12" s="3"/>
      <c r="AB12" s="4"/>
      <c r="AC12" s="3"/>
      <c r="AD12" s="3"/>
      <c r="AE12" s="4"/>
      <c r="AF12" s="3"/>
      <c r="AG12" s="3"/>
    </row>
    <row x14ac:dyDescent="0.25" r="13" customHeight="1" ht="12.5">
      <c r="A13" s="5" t="s">
        <v>52</v>
      </c>
      <c r="B13" s="3"/>
      <c r="C13" s="3"/>
      <c r="D13" s="1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6"/>
      <c r="W13" s="16"/>
      <c r="X13" s="16"/>
      <c r="Y13" s="16"/>
      <c r="Z13" s="3"/>
      <c r="AA13" s="3"/>
      <c r="AB13" s="4"/>
      <c r="AC13" s="3"/>
      <c r="AD13" s="3"/>
      <c r="AE13" s="4"/>
      <c r="AF13" s="3"/>
      <c r="AG13" s="3"/>
    </row>
    <row x14ac:dyDescent="0.25" r="14" customHeight="1" ht="12.5">
      <c r="A14" s="5" t="s">
        <v>53</v>
      </c>
      <c r="B14" s="3"/>
      <c r="C14" s="3"/>
      <c r="D14" s="1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6"/>
      <c r="W14" s="16"/>
      <c r="X14" s="16"/>
      <c r="Y14" s="16"/>
      <c r="Z14" s="3"/>
      <c r="AA14" s="3"/>
      <c r="AB14" s="4"/>
      <c r="AC14" s="3"/>
      <c r="AD14" s="3"/>
      <c r="AE14" s="4"/>
      <c r="AF14" s="3"/>
      <c r="AG14" s="3"/>
    </row>
    <row x14ac:dyDescent="0.25" r="15" customHeight="1" ht="12.5">
      <c r="A15" s="5"/>
      <c r="B15" s="3"/>
      <c r="C15" s="3"/>
      <c r="D15" s="2"/>
      <c r="E15" s="3"/>
      <c r="F15" s="3"/>
      <c r="G15" s="3"/>
      <c r="H15" s="86"/>
      <c r="I15" s="86"/>
      <c r="J15" s="86"/>
      <c r="K15" s="86"/>
      <c r="L15" s="3"/>
      <c r="M15" s="3"/>
      <c r="N15" s="3"/>
      <c r="O15" s="3"/>
      <c r="P15" s="3"/>
      <c r="Q15" s="3"/>
      <c r="R15" s="3"/>
      <c r="S15" s="3"/>
      <c r="T15" s="3"/>
      <c r="U15" s="3"/>
      <c r="V15" s="16"/>
      <c r="W15" s="16"/>
      <c r="X15" s="16"/>
      <c r="Y15" s="16"/>
      <c r="Z15" s="3"/>
      <c r="AA15" s="3"/>
      <c r="AB15" s="4"/>
      <c r="AC15" s="3"/>
      <c r="AD15" s="3"/>
      <c r="AE15" s="4"/>
      <c r="AF15" s="3"/>
      <c r="AG15" s="3"/>
    </row>
    <row x14ac:dyDescent="0.25" r="16" customHeight="1" ht="17.25">
      <c r="A16" s="5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6"/>
      <c r="W16" s="16"/>
      <c r="X16" s="16"/>
      <c r="Y16" s="16"/>
      <c r="Z16" s="3"/>
      <c r="AA16" s="3"/>
      <c r="AB16" s="4"/>
      <c r="AC16" s="3"/>
      <c r="AD16" s="3"/>
      <c r="AE16" s="4"/>
      <c r="AF16" s="3"/>
      <c r="AG16" s="3"/>
    </row>
    <row x14ac:dyDescent="0.25" r="17" customHeight="1" ht="12.5">
      <c r="A17" s="87" t="s">
        <v>54</v>
      </c>
      <c r="B17" s="3"/>
      <c r="C17" s="3"/>
      <c r="D17" s="85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6"/>
      <c r="W17" s="16"/>
      <c r="X17" s="16"/>
      <c r="Y17" s="16"/>
      <c r="Z17" s="3"/>
      <c r="AA17" s="3"/>
      <c r="AB17" s="4"/>
      <c r="AC17" s="3"/>
      <c r="AD17" s="3"/>
      <c r="AE17" s="4"/>
      <c r="AF17" s="3"/>
      <c r="AG17" s="3"/>
    </row>
    <row x14ac:dyDescent="0.25" r="18" customHeight="1" ht="12.5">
      <c r="A18" s="87" t="s">
        <v>55</v>
      </c>
      <c r="B18" s="3"/>
      <c r="C18" s="3"/>
      <c r="D18" s="1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6"/>
      <c r="W18" s="16"/>
      <c r="X18" s="16"/>
      <c r="Y18" s="16"/>
      <c r="Z18" s="3"/>
      <c r="AA18" s="3"/>
      <c r="AB18" s="4"/>
      <c r="AC18" s="3"/>
      <c r="AD18" s="3"/>
      <c r="AE18" s="4"/>
      <c r="AF18" s="3"/>
      <c r="AG18" s="3"/>
    </row>
    <row x14ac:dyDescent="0.25" r="19" customHeight="1" ht="12.5">
      <c r="A19" s="87" t="s">
        <v>56</v>
      </c>
      <c r="B19" s="3"/>
      <c r="C19" s="3"/>
      <c r="D19" s="1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6"/>
      <c r="W19" s="16"/>
      <c r="X19" s="16"/>
      <c r="Y19" s="16"/>
      <c r="Z19" s="3"/>
      <c r="AA19" s="3"/>
      <c r="AB19" s="4"/>
      <c r="AC19" s="3"/>
      <c r="AD19" s="3"/>
      <c r="AE19" s="4"/>
      <c r="AF19" s="3"/>
      <c r="AG1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88" width="11.147857142857141" customWidth="1" bestFit="1"/>
    <col min="2" max="2" style="21" width="7.2907142857142855" customWidth="1" bestFit="1"/>
    <col min="3" max="3" style="21" width="7.2907142857142855" customWidth="1" bestFit="1"/>
    <col min="4" max="4" style="20" width="9.862142857142858" customWidth="1" bestFit="1"/>
    <col min="5" max="5" style="21" width="9.719285714285713" customWidth="1" bestFit="1"/>
    <col min="6" max="6" style="21" width="8.147857142857141" customWidth="1" bestFit="1"/>
    <col min="7" max="7" style="21" width="10.576428571428572" customWidth="1" bestFit="1"/>
    <col min="8" max="8" style="21" width="10.576428571428572" customWidth="1" bestFit="1"/>
    <col min="9" max="9" style="21" width="8.576428571428572" customWidth="1" bestFit="1"/>
    <col min="10" max="10" style="21" width="9.576428571428572" customWidth="1" bestFit="1"/>
    <col min="11" max="11" style="21" width="9.576428571428572" customWidth="1" bestFit="1"/>
    <col min="12" max="12" style="21" width="8.576428571428572" customWidth="1" bestFit="1"/>
    <col min="13" max="13" style="157" width="10.147857142857141" customWidth="1" bestFit="1"/>
    <col min="14" max="14" style="157" width="10.147857142857141" customWidth="1" bestFit="1"/>
    <col min="15" max="15" style="157" width="10.147857142857141" customWidth="1" bestFit="1"/>
    <col min="16" max="16" style="157" width="10.147857142857141" customWidth="1" bestFit="1"/>
    <col min="17" max="17" style="21" width="11.862142857142858" customWidth="1" bestFit="1"/>
    <col min="18" max="18" style="21" width="9.576428571428572" customWidth="1" bestFit="1"/>
    <col min="19" max="19" style="21" width="10.576428571428572" customWidth="1" bestFit="1"/>
    <col min="20" max="20" style="21" width="10.576428571428572" customWidth="1" bestFit="1"/>
    <col min="21" max="21" style="157" width="8.290714285714287" customWidth="1" bestFit="1"/>
    <col min="22" max="22" style="21" width="8.147857142857141" customWidth="1" bestFit="1"/>
    <col min="23" max="23" style="158" width="8.576428571428572" customWidth="1" bestFit="1"/>
    <col min="24" max="24" style="21" width="9.147857142857141" customWidth="1" bestFit="1"/>
    <col min="25" max="25" style="21" width="12.43357142857143" customWidth="1" bestFit="1"/>
    <col min="26" max="26" style="21" width="12.43357142857143" customWidth="1" bestFit="1"/>
    <col min="27" max="27" style="21" width="12.43357142857143" customWidth="1" bestFit="1"/>
    <col min="28" max="28" style="21" width="12.43357142857143" customWidth="1" bestFit="1"/>
    <col min="29" max="29" style="21" width="12.43357142857143" customWidth="1" bestFit="1"/>
    <col min="30" max="30" style="21" width="12.43357142857143" customWidth="1" bestFit="1"/>
    <col min="31" max="31" style="21" width="12.43357142857143" customWidth="1" bestFit="1"/>
    <col min="32" max="32" style="21" width="12.43357142857143" customWidth="1" bestFit="1"/>
    <col min="33" max="33" style="21" width="12.43357142857143" customWidth="1" bestFit="1"/>
  </cols>
  <sheetData>
    <row x14ac:dyDescent="0.25" r="1" customHeight="1" ht="16">
      <c r="A1" s="95" t="s">
        <v>58</v>
      </c>
      <c r="B1" s="95" t="s">
        <v>58</v>
      </c>
      <c r="C1" s="95" t="s">
        <v>58</v>
      </c>
      <c r="D1" s="95" t="s">
        <v>58</v>
      </c>
      <c r="E1" s="95" t="s">
        <v>58</v>
      </c>
      <c r="F1" s="95" t="s">
        <v>58</v>
      </c>
      <c r="G1" s="95" t="s">
        <v>58</v>
      </c>
      <c r="H1" s="95" t="s">
        <v>58</v>
      </c>
      <c r="I1" s="95" t="s">
        <v>58</v>
      </c>
      <c r="J1" s="95" t="s">
        <v>58</v>
      </c>
      <c r="K1" s="95" t="s">
        <v>58</v>
      </c>
      <c r="L1" s="95" t="s">
        <v>58</v>
      </c>
      <c r="M1" s="95" t="s">
        <v>58</v>
      </c>
      <c r="N1" s="95" t="s">
        <v>58</v>
      </c>
      <c r="O1" s="95" t="s">
        <v>58</v>
      </c>
      <c r="P1" s="95" t="s">
        <v>58</v>
      </c>
      <c r="Q1" s="95" t="s">
        <v>58</v>
      </c>
      <c r="R1" s="95" t="s">
        <v>58</v>
      </c>
      <c r="S1" s="95" t="s">
        <v>58</v>
      </c>
      <c r="T1" s="95" t="s">
        <v>58</v>
      </c>
      <c r="U1" s="95" t="s">
        <v>58</v>
      </c>
      <c r="V1" s="95" t="s">
        <v>58</v>
      </c>
      <c r="W1" s="96">
        <v>0.2</v>
      </c>
      <c r="X1" s="95" t="s">
        <v>58</v>
      </c>
      <c r="Y1" s="95" t="s">
        <v>58</v>
      </c>
      <c r="Z1" s="95" t="s">
        <v>58</v>
      </c>
      <c r="AA1" s="95" t="s">
        <v>58</v>
      </c>
      <c r="AB1" s="3"/>
      <c r="AC1" s="3"/>
      <c r="AD1" s="3"/>
      <c r="AE1" s="3"/>
      <c r="AF1" s="3"/>
      <c r="AG1" s="3"/>
    </row>
    <row x14ac:dyDescent="0.25" r="2" customHeight="1" ht="74.5" customFormat="1" s="6">
      <c r="A2" s="4"/>
      <c r="B2" s="97" t="s">
        <v>15</v>
      </c>
      <c r="C2" s="97" t="s">
        <v>16</v>
      </c>
      <c r="D2" s="97" t="s">
        <v>17</v>
      </c>
      <c r="E2" s="98" t="s">
        <v>18</v>
      </c>
      <c r="F2" s="99" t="s">
        <v>19</v>
      </c>
      <c r="G2" s="97" t="s">
        <v>20</v>
      </c>
      <c r="H2" s="97" t="s">
        <v>21</v>
      </c>
      <c r="I2" s="98" t="s">
        <v>22</v>
      </c>
      <c r="J2" s="100" t="s">
        <v>23</v>
      </c>
      <c r="K2" s="101" t="s">
        <v>24</v>
      </c>
      <c r="L2" s="102" t="s">
        <v>25</v>
      </c>
      <c r="M2" s="103" t="s">
        <v>26</v>
      </c>
      <c r="N2" s="104" t="s">
        <v>27</v>
      </c>
      <c r="O2" s="105" t="s">
        <v>28</v>
      </c>
      <c r="P2" s="106" t="s">
        <v>29</v>
      </c>
      <c r="Q2" s="107" t="s">
        <v>30</v>
      </c>
      <c r="R2" s="108" t="s">
        <v>31</v>
      </c>
      <c r="S2" s="107" t="s">
        <v>32</v>
      </c>
      <c r="T2" s="109" t="s">
        <v>33</v>
      </c>
      <c r="U2" s="109" t="s">
        <v>34</v>
      </c>
      <c r="V2" s="109" t="s">
        <v>35</v>
      </c>
      <c r="W2" s="110" t="s">
        <v>36</v>
      </c>
      <c r="X2" s="109" t="s">
        <v>37</v>
      </c>
      <c r="Y2" s="109" t="s">
        <v>38</v>
      </c>
      <c r="Z2" s="111" t="s">
        <v>39</v>
      </c>
      <c r="AA2" s="109" t="s">
        <v>40</v>
      </c>
      <c r="AB2" s="4"/>
      <c r="AC2" s="4"/>
      <c r="AD2" s="4"/>
      <c r="AE2" s="111" t="s">
        <v>41</v>
      </c>
      <c r="AF2" s="109" t="s">
        <v>42</v>
      </c>
      <c r="AG2" s="111" t="s">
        <v>43</v>
      </c>
    </row>
    <row x14ac:dyDescent="0.25" r="3" customHeight="1" ht="14">
      <c r="A3" s="112" t="s">
        <v>44</v>
      </c>
      <c r="B3" s="113"/>
      <c r="C3" s="114"/>
      <c r="D3" s="114"/>
      <c r="E3" s="115"/>
      <c r="F3" s="116"/>
      <c r="G3" s="114"/>
      <c r="H3" s="114"/>
      <c r="I3" s="117"/>
      <c r="J3" s="118"/>
      <c r="K3" s="119"/>
      <c r="L3" s="120"/>
      <c r="M3" s="114"/>
      <c r="N3" s="121"/>
      <c r="O3" s="122">
        <f>G3-M3</f>
      </c>
      <c r="P3" s="123">
        <f>O3-N3</f>
      </c>
      <c r="Q3" s="124"/>
      <c r="R3" s="125"/>
      <c r="S3" s="124">
        <f>Q3-R3</f>
      </c>
      <c r="T3" s="114"/>
      <c r="U3" s="126"/>
      <c r="V3" s="114">
        <f>IFERROR(G3/B3,0)</f>
      </c>
      <c r="W3" s="127"/>
      <c r="X3" s="114"/>
      <c r="Y3" s="114">
        <f>N3*W1</f>
      </c>
      <c r="Z3" s="128">
        <f>N3-Y3</f>
      </c>
      <c r="AA3" s="129">
        <f>IFERROR(IF(((Z3/G3)-1)&lt;0,"-na-",(Z3/G3)-1),0)</f>
      </c>
      <c r="AB3" s="3"/>
      <c r="AC3" s="127"/>
      <c r="AD3" s="3"/>
      <c r="AE3" s="3"/>
      <c r="AF3" s="3"/>
      <c r="AG3" s="3"/>
    </row>
    <row x14ac:dyDescent="0.25" r="4" customHeight="1" ht="14">
      <c r="A4" s="130" t="s">
        <v>45</v>
      </c>
      <c r="B4" s="113"/>
      <c r="C4" s="114"/>
      <c r="D4" s="114"/>
      <c r="E4" s="115"/>
      <c r="F4" s="116"/>
      <c r="G4" s="114"/>
      <c r="H4" s="114"/>
      <c r="I4" s="117"/>
      <c r="J4" s="118"/>
      <c r="K4" s="119"/>
      <c r="L4" s="120"/>
      <c r="M4" s="114"/>
      <c r="N4" s="121"/>
      <c r="O4" s="122">
        <f>G4-M4</f>
      </c>
      <c r="P4" s="123">
        <f>O4-N4</f>
      </c>
      <c r="Q4" s="124">
        <f>SUM(HHC!BF13:BF17)</f>
      </c>
      <c r="R4" s="125"/>
      <c r="S4" s="124">
        <f>Q4-R4</f>
      </c>
      <c r="T4" s="131"/>
      <c r="U4" s="132"/>
      <c r="V4" s="131">
        <f>IFERROR(G4/B4,"")</f>
      </c>
      <c r="W4" s="127"/>
      <c r="X4" s="133"/>
      <c r="Y4" s="133"/>
      <c r="Z4" s="128">
        <f>N4-Y4</f>
      </c>
      <c r="AA4" s="133"/>
      <c r="AB4" s="3"/>
      <c r="AC4" s="3"/>
      <c r="AD4" s="3"/>
      <c r="AE4" s="3"/>
      <c r="AF4" s="3"/>
      <c r="AG4" s="3"/>
    </row>
    <row x14ac:dyDescent="0.25" r="5" customHeight="1" ht="14">
      <c r="A5" s="112" t="s">
        <v>46</v>
      </c>
      <c r="B5" s="113"/>
      <c r="C5" s="114"/>
      <c r="D5" s="114"/>
      <c r="E5" s="115"/>
      <c r="F5" s="116"/>
      <c r="G5" s="114"/>
      <c r="H5" s="114"/>
      <c r="I5" s="117"/>
      <c r="J5" s="118"/>
      <c r="K5" s="134"/>
      <c r="L5" s="120"/>
      <c r="M5" s="114"/>
      <c r="N5" s="121"/>
      <c r="O5" s="122">
        <f>G5-M5</f>
      </c>
      <c r="P5" s="123">
        <f>O5-N5</f>
      </c>
      <c r="Q5" s="124">
        <f>SUM(HHC!BF18:BF33)</f>
      </c>
      <c r="R5" s="125"/>
      <c r="S5" s="124">
        <f>Q5-R5</f>
      </c>
      <c r="T5" s="114"/>
      <c r="U5" s="126"/>
      <c r="V5" s="114">
        <f>IFERROR(G5/B5,"")</f>
      </c>
      <c r="W5" s="127"/>
      <c r="X5" s="113"/>
      <c r="Y5" s="113"/>
      <c r="Z5" s="128">
        <f>N5-Y5</f>
      </c>
      <c r="AA5" s="114"/>
      <c r="AB5" s="3"/>
      <c r="AC5" s="3"/>
      <c r="AD5" s="3"/>
      <c r="AE5" s="3"/>
      <c r="AF5" s="128"/>
      <c r="AG5" s="3"/>
    </row>
    <row x14ac:dyDescent="0.25" r="6" customHeight="1" ht="14">
      <c r="A6" s="130" t="s">
        <v>47</v>
      </c>
      <c r="B6" s="129">
        <f>COUNT(HHC!A3:A4)</f>
      </c>
      <c r="C6" s="114">
        <f>SUM(HHC!T3:T4)</f>
      </c>
      <c r="D6" s="114">
        <f>SUM(HHC!U3:U4)</f>
      </c>
      <c r="E6" s="115">
        <f>SUM(HHC!Q3:Q4)</f>
      </c>
      <c r="F6" s="116">
        <f>SUM(HHC!W3:W4)</f>
      </c>
      <c r="G6" s="114">
        <f>SUM(HHC!X3:X4)</f>
      </c>
      <c r="H6" s="114">
        <f>SUM(HHC!Z3:Z4)</f>
      </c>
      <c r="I6" s="117">
        <f>IFERROR(H6/G6,0)</f>
      </c>
      <c r="J6" s="118">
        <f>IFERROR(1/I6,0)</f>
      </c>
      <c r="K6" s="134">
        <f>1-J6</f>
      </c>
      <c r="L6" s="120">
        <f>SUM(HHC!AF3:AF4)</f>
      </c>
      <c r="M6" s="114">
        <f>L6*J6</f>
      </c>
      <c r="N6" s="121">
        <f>L6*K6</f>
      </c>
      <c r="O6" s="122">
        <f>G6-M6</f>
      </c>
      <c r="P6" s="123">
        <f>O6-N6</f>
      </c>
      <c r="Q6" s="124">
        <f>SUM(HHC!BF3:BF4)</f>
      </c>
      <c r="R6" s="125">
        <f>SUM(HHC!BN3:BN4)</f>
      </c>
      <c r="S6" s="124">
        <f>Q6-R6</f>
      </c>
      <c r="T6" s="114">
        <f>SUM(HHC!AE3:AE4)</f>
      </c>
      <c r="U6" s="126">
        <f>IFERROR(SUM(HHC!BL3:BL4),0)</f>
      </c>
      <c r="V6" s="114">
        <f>IFERROR(G6/B6,"")</f>
      </c>
      <c r="W6" s="127">
        <f>IFERROR(IF(((L6/G6)-1)&lt;0,"-na- ",(L6/G6)-1),0)</f>
      </c>
      <c r="X6" s="113"/>
      <c r="Y6" s="113"/>
      <c r="Z6" s="128">
        <f>N6-Y6</f>
      </c>
      <c r="AA6" s="114"/>
      <c r="AB6" s="112"/>
      <c r="AC6" s="112"/>
      <c r="AD6" s="112"/>
      <c r="AE6" s="112"/>
      <c r="AF6" s="128"/>
      <c r="AG6" s="112"/>
    </row>
    <row x14ac:dyDescent="0.25" r="7" customHeight="1" ht="14">
      <c r="A7" s="130" t="s">
        <v>48</v>
      </c>
      <c r="B7" s="129">
        <f>COUNT(HHC!A5:A5)</f>
      </c>
      <c r="C7" s="114">
        <f>SUM(HHC!T5:T5)</f>
      </c>
      <c r="D7" s="114">
        <f>SUM(HHC!U5:U5)</f>
      </c>
      <c r="E7" s="115">
        <f>SUM(HHC!Q5:Q5)</f>
      </c>
      <c r="F7" s="116">
        <f>SUM(HHC!W5:W5)</f>
      </c>
      <c r="G7" s="114">
        <f>SUM(HHC!X5:X5)</f>
      </c>
      <c r="H7" s="114">
        <f>SUM(HHC!Z5:Z5)</f>
      </c>
      <c r="I7" s="117">
        <f>IFERROR(H7/G7,0)</f>
      </c>
      <c r="J7" s="118">
        <f>IFERROR(1/I7,0)</f>
      </c>
      <c r="K7" s="134">
        <f>1-J7</f>
      </c>
      <c r="L7" s="120">
        <f>SUM(HHC!AF5:AF5)</f>
      </c>
      <c r="M7" s="114">
        <f>L7*J7</f>
      </c>
      <c r="N7" s="121">
        <f>L7*K7</f>
      </c>
      <c r="O7" s="122">
        <f>G7-M7</f>
      </c>
      <c r="P7" s="123">
        <f>O7-N7</f>
      </c>
      <c r="Q7" s="124">
        <f>SUM(HHC!BF5:BF5)</f>
      </c>
      <c r="R7" s="125">
        <f>SUM(HHC!BN5:BN5)</f>
      </c>
      <c r="S7" s="124">
        <f>Q7-R7</f>
      </c>
      <c r="T7" s="114">
        <f>SUM(HHC!AE5:AE5)</f>
      </c>
      <c r="U7" s="126">
        <f>IFERROR(SUM(HHC!BL5:BL5),0)</f>
      </c>
      <c r="V7" s="114">
        <f>IFERROR(G7/B7,"")</f>
      </c>
      <c r="W7" s="127">
        <f>IFERROR(IF(((L7/G7)-1)&lt;0,"-na- ",(L7/G7)-1),0)</f>
      </c>
      <c r="X7" s="113"/>
      <c r="Y7" s="113"/>
      <c r="Z7" s="128">
        <f>N7-Y7</f>
      </c>
      <c r="AA7" s="114"/>
      <c r="AB7" s="112"/>
      <c r="AC7" s="112"/>
      <c r="AD7" s="112"/>
      <c r="AE7" s="112"/>
      <c r="AF7" s="128"/>
      <c r="AG7" s="112"/>
    </row>
    <row x14ac:dyDescent="0.25" r="8" customHeight="1" ht="14">
      <c r="A8" s="130" t="s">
        <v>49</v>
      </c>
      <c r="B8" s="129">
        <f>COUNT(HHC!A6:A15)</f>
      </c>
      <c r="C8" s="114">
        <f>SUM(HHC!T6:T15)</f>
      </c>
      <c r="D8" s="114">
        <f>SUM(HHC!U6:U15)</f>
      </c>
      <c r="E8" s="115">
        <f>SUM(HHC!Q6:Q15)</f>
      </c>
      <c r="F8" s="116">
        <f>SUM(HHC!W6:W15)</f>
      </c>
      <c r="G8" s="114">
        <f>SUM(HHC!X6:X15)</f>
      </c>
      <c r="H8" s="114">
        <f>SUM(HHC!Z6:Z15)</f>
      </c>
      <c r="I8" s="117">
        <f>IFERROR(H8/G8,0)</f>
      </c>
      <c r="J8" s="118">
        <f>IFERROR(1/I8,0)</f>
      </c>
      <c r="K8" s="134">
        <f>1-J8</f>
      </c>
      <c r="L8" s="120">
        <f>SUM(HHC!AF6:AF15)</f>
      </c>
      <c r="M8" s="114">
        <f>L8*J8</f>
      </c>
      <c r="N8" s="121">
        <f>L8*K8</f>
      </c>
      <c r="O8" s="122">
        <f>G8-M8</f>
      </c>
      <c r="P8" s="123">
        <f>O8-N8</f>
      </c>
      <c r="Q8" s="124">
        <f>SUM(HHC!BF6:BF15)</f>
      </c>
      <c r="R8" s="125">
        <f>SUM(HHC!BN6:BN15)</f>
      </c>
      <c r="S8" s="124">
        <f>Q8-R8</f>
      </c>
      <c r="T8" s="114">
        <f>SUM(HHC!AE6:AE15)</f>
      </c>
      <c r="U8" s="126">
        <f>IFERROR(SUM(HHC!BL6:BL15),0)</f>
      </c>
      <c r="V8" s="114">
        <f>IFERROR(G8/B8,"")</f>
      </c>
      <c r="W8" s="127">
        <f>IFERROR(IF(((L8/G8)-1)&lt;0,"-na- ",(L8/G8)-1),0)</f>
      </c>
      <c r="X8" s="113"/>
      <c r="Y8" s="113"/>
      <c r="Z8" s="128">
        <f>N8-Y8</f>
      </c>
      <c r="AA8" s="114"/>
      <c r="AB8" s="112"/>
      <c r="AC8" s="112"/>
      <c r="AD8" s="112"/>
      <c r="AE8" s="112"/>
      <c r="AF8" s="128"/>
      <c r="AG8" s="112"/>
    </row>
    <row x14ac:dyDescent="0.25" r="9" customHeight="1" ht="14">
      <c r="A9" s="130"/>
      <c r="B9" s="113"/>
      <c r="C9" s="114"/>
      <c r="D9" s="114"/>
      <c r="E9" s="135"/>
      <c r="F9" s="136"/>
      <c r="G9" s="114"/>
      <c r="H9" s="114"/>
      <c r="I9" s="135"/>
      <c r="J9" s="131"/>
      <c r="K9" s="136"/>
      <c r="L9" s="120"/>
      <c r="M9" s="114">
        <f>L9*J9</f>
      </c>
      <c r="N9" s="121">
        <f>L9*K9</f>
      </c>
      <c r="O9" s="122">
        <f>G9-M9</f>
      </c>
      <c r="P9" s="123">
        <f>O9-N9</f>
      </c>
      <c r="Q9" s="124"/>
      <c r="R9" s="137"/>
      <c r="S9" s="124">
        <f>Q9-R9</f>
      </c>
      <c r="T9" s="131"/>
      <c r="U9" s="133"/>
      <c r="V9" s="131"/>
      <c r="W9" s="138"/>
      <c r="X9" s="133"/>
      <c r="Y9" s="133"/>
      <c r="Z9" s="128">
        <f>N9-Y9</f>
      </c>
      <c r="AA9" s="133"/>
      <c r="AB9" s="3"/>
      <c r="AC9" s="3"/>
      <c r="AD9" s="3"/>
      <c r="AE9" s="3"/>
      <c r="AF9" s="3"/>
      <c r="AG9" s="3"/>
    </row>
    <row x14ac:dyDescent="0.25" r="10" customHeight="1" ht="14">
      <c r="A10" s="130" t="s">
        <v>50</v>
      </c>
      <c r="B10" s="129">
        <f>SUM(B3:B9)</f>
      </c>
      <c r="C10" s="114">
        <f>SUM(C3:C9)</f>
      </c>
      <c r="D10" s="114">
        <f>SUM(D3:D9)</f>
      </c>
      <c r="E10" s="139">
        <f>SUM(E3:E9)</f>
      </c>
      <c r="F10" s="140">
        <f>SUM(F3:F9)</f>
      </c>
      <c r="G10" s="114">
        <f>SUM(G3:G9)</f>
      </c>
      <c r="H10" s="114">
        <f>SUM(H3:H9)</f>
      </c>
      <c r="I10" s="141">
        <f>IFERROR(H10/G10,0)</f>
      </c>
      <c r="J10" s="142"/>
      <c r="K10" s="140"/>
      <c r="L10" s="143">
        <f>SUM(L3:L9)</f>
      </c>
      <c r="M10" s="144">
        <f>SUM(M3:M9)</f>
      </c>
      <c r="N10" s="145">
        <f>SUM(N3:N9)</f>
      </c>
      <c r="O10" s="146">
        <f>SUM(O3:O9)</f>
      </c>
      <c r="P10" s="146">
        <f>SUM(P3:P9)</f>
      </c>
      <c r="Q10" s="147">
        <f>SUM(Q3:Q9)</f>
      </c>
      <c r="R10" s="148">
        <f>SUM(R3:R9)</f>
      </c>
      <c r="S10" s="147">
        <f>SUM(S3:S9)</f>
      </c>
      <c r="T10" s="131">
        <f>SUM(T3:T9)</f>
      </c>
      <c r="U10" s="132">
        <f>AVERAGEIF(U3:U9,"&lt;&gt;0")</f>
      </c>
      <c r="V10" s="131">
        <f>IFERROR(G10/B10,0)</f>
      </c>
      <c r="W10" s="138"/>
      <c r="X10" s="133"/>
      <c r="Y10" s="133"/>
      <c r="Z10" s="3"/>
      <c r="AA10" s="133"/>
      <c r="AB10" s="3"/>
      <c r="AC10" s="3"/>
      <c r="AD10" s="3"/>
      <c r="AE10" s="3"/>
      <c r="AF10" s="149">
        <f>MEDIAN(HHC!G3:G57)</f>
      </c>
      <c r="AG10" s="149">
        <f>AVERAGE(HHC!G3:G57)</f>
      </c>
    </row>
    <row x14ac:dyDescent="0.25" r="11" customHeight="1" ht="14">
      <c r="A11" s="5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133"/>
      <c r="N11" s="133"/>
      <c r="O11" s="133"/>
      <c r="P11" s="133"/>
      <c r="Q11" s="3"/>
      <c r="R11" s="3"/>
      <c r="S11" s="3"/>
      <c r="T11" s="3"/>
      <c r="U11" s="133"/>
      <c r="V11" s="3"/>
      <c r="W11" s="138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x14ac:dyDescent="0.25" r="12" customHeight="1" ht="14">
      <c r="A12" s="150" t="s">
        <v>51</v>
      </c>
      <c r="B12" s="150"/>
      <c r="C12" s="150"/>
      <c r="D12" s="151">
        <f>IFERROR(D13/D14,0)</f>
      </c>
      <c r="E12" s="3"/>
      <c r="F12" s="3"/>
      <c r="G12" s="3"/>
      <c r="H12" s="3"/>
      <c r="I12" s="3"/>
      <c r="J12" s="3"/>
      <c r="K12" s="3"/>
      <c r="L12" s="3"/>
      <c r="M12" s="133"/>
      <c r="N12" s="133"/>
      <c r="O12" s="133"/>
      <c r="P12" s="133"/>
      <c r="Q12" s="3"/>
      <c r="R12" s="3"/>
      <c r="S12" s="3"/>
      <c r="T12" s="3"/>
      <c r="U12" s="133"/>
      <c r="V12" s="3"/>
      <c r="W12" s="138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x14ac:dyDescent="0.25" r="13" customHeight="1" ht="14">
      <c r="A13" s="130" t="s">
        <v>52</v>
      </c>
      <c r="B13" s="3"/>
      <c r="C13" s="3"/>
      <c r="D13" s="152">
        <f>S10</f>
      </c>
      <c r="E13" s="3"/>
      <c r="F13" s="3"/>
      <c r="G13" s="3"/>
      <c r="H13" s="3"/>
      <c r="I13" s="3"/>
      <c r="J13" s="3"/>
      <c r="K13" s="3"/>
      <c r="L13" s="3"/>
      <c r="M13" s="133"/>
      <c r="N13" s="133"/>
      <c r="O13" s="133"/>
      <c r="P13" s="133"/>
      <c r="Q13" s="3"/>
      <c r="R13" s="3"/>
      <c r="S13" s="3"/>
      <c r="T13" s="3"/>
      <c r="U13" s="133"/>
      <c r="V13" s="3"/>
      <c r="W13" s="138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x14ac:dyDescent="0.25" r="14" customHeight="1" ht="14">
      <c r="A14" s="130" t="s">
        <v>53</v>
      </c>
      <c r="B14" s="3"/>
      <c r="C14" s="3"/>
      <c r="D14" s="152">
        <f>C10</f>
      </c>
      <c r="E14" s="3"/>
      <c r="F14" s="3"/>
      <c r="G14" s="3"/>
      <c r="H14" s="3"/>
      <c r="I14" s="3"/>
      <c r="J14" s="3"/>
      <c r="K14" s="3"/>
      <c r="L14" s="3"/>
      <c r="M14" s="133"/>
      <c r="N14" s="133"/>
      <c r="O14" s="133"/>
      <c r="P14" s="133"/>
      <c r="Q14" s="3"/>
      <c r="R14" s="3"/>
      <c r="S14" s="3"/>
      <c r="T14" s="3"/>
      <c r="U14" s="133"/>
      <c r="V14" s="3"/>
      <c r="W14" s="138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x14ac:dyDescent="0.25" r="15" customHeight="1" ht="14">
      <c r="A15" s="5"/>
      <c r="B15" s="3"/>
      <c r="C15" s="3"/>
      <c r="D15" s="2"/>
      <c r="E15" s="3"/>
      <c r="F15" s="3"/>
      <c r="G15" s="3"/>
      <c r="H15" s="153"/>
      <c r="I15" s="153"/>
      <c r="J15" s="153"/>
      <c r="K15" s="153"/>
      <c r="L15" s="3"/>
      <c r="M15" s="133"/>
      <c r="N15" s="133"/>
      <c r="O15" s="133"/>
      <c r="P15" s="133"/>
      <c r="Q15" s="3"/>
      <c r="R15" s="3"/>
      <c r="S15" s="3"/>
      <c r="T15" s="3"/>
      <c r="U15" s="133"/>
      <c r="V15" s="3"/>
      <c r="W15" s="138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x14ac:dyDescent="0.25" r="16" customHeight="1" ht="14">
      <c r="A16" s="5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133"/>
      <c r="N16" s="133"/>
      <c r="O16" s="133"/>
      <c r="P16" s="133"/>
      <c r="Q16" s="3"/>
      <c r="R16" s="3"/>
      <c r="S16" s="3"/>
      <c r="T16" s="3"/>
      <c r="U16" s="133"/>
      <c r="V16" s="3"/>
      <c r="W16" s="138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x14ac:dyDescent="0.25" r="17" customHeight="1" ht="14">
      <c r="A17" s="154" t="s">
        <v>54</v>
      </c>
      <c r="B17" s="3"/>
      <c r="C17" s="3"/>
      <c r="D17" s="155">
        <f>IFERROR(D18/D19,0)</f>
      </c>
      <c r="E17" s="3"/>
      <c r="F17" s="3"/>
      <c r="G17" s="3"/>
      <c r="H17" s="3"/>
      <c r="I17" s="3"/>
      <c r="J17" s="3"/>
      <c r="K17" s="3"/>
      <c r="L17" s="3"/>
      <c r="M17" s="133"/>
      <c r="N17" s="133"/>
      <c r="O17" s="133"/>
      <c r="P17" s="133"/>
      <c r="Q17" s="3"/>
      <c r="R17" s="3"/>
      <c r="S17" s="3"/>
      <c r="T17" s="3"/>
      <c r="U17" s="133"/>
      <c r="V17" s="3"/>
      <c r="W17" s="138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x14ac:dyDescent="0.25" r="18" customHeight="1" ht="14">
      <c r="A18" s="154" t="s">
        <v>55</v>
      </c>
      <c r="B18" s="3"/>
      <c r="C18" s="3"/>
      <c r="D18" s="156">
        <f>D13+L10</f>
      </c>
      <c r="E18" s="3"/>
      <c r="F18" s="3"/>
      <c r="G18" s="3"/>
      <c r="H18" s="3"/>
      <c r="I18" s="3"/>
      <c r="J18" s="3"/>
      <c r="K18" s="3"/>
      <c r="L18" s="3"/>
      <c r="M18" s="133"/>
      <c r="N18" s="133"/>
      <c r="O18" s="133"/>
      <c r="P18" s="133"/>
      <c r="Q18" s="3"/>
      <c r="R18" s="3"/>
      <c r="S18" s="3"/>
      <c r="T18" s="3"/>
      <c r="U18" s="133"/>
      <c r="V18" s="3"/>
      <c r="W18" s="138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x14ac:dyDescent="0.25" r="19" customHeight="1" ht="14">
      <c r="A19" s="154" t="s">
        <v>56</v>
      </c>
      <c r="B19" s="3"/>
      <c r="C19" s="3"/>
      <c r="D19" s="152">
        <f>D14</f>
      </c>
      <c r="E19" s="3"/>
      <c r="F19" s="3"/>
      <c r="G19" s="3"/>
      <c r="H19" s="3"/>
      <c r="I19" s="3"/>
      <c r="J19" s="3"/>
      <c r="K19" s="3"/>
      <c r="L19" s="3"/>
      <c r="M19" s="133"/>
      <c r="N19" s="133"/>
      <c r="O19" s="133"/>
      <c r="P19" s="133"/>
      <c r="Q19" s="3"/>
      <c r="R19" s="3"/>
      <c r="S19" s="3"/>
      <c r="T19" s="3"/>
      <c r="U19" s="133"/>
      <c r="V19" s="3"/>
      <c r="W19" s="138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88" width="11.147857142857141" customWidth="1" bestFit="1"/>
    <col min="2" max="2" style="21" width="7.862142857142857" customWidth="1" bestFit="1"/>
    <col min="3" max="3" style="21" width="13.147857142857141" customWidth="1" bestFit="1"/>
    <col min="4" max="4" style="20" width="8.862142857142858" customWidth="1" bestFit="1"/>
    <col min="5" max="5" style="21" width="9.719285714285713" customWidth="1" bestFit="1"/>
    <col min="6" max="6" style="21" width="10.862142857142858" customWidth="1" bestFit="1"/>
    <col min="7" max="7" style="21" width="10.576428571428572" customWidth="1" bestFit="1"/>
    <col min="8" max="8" style="21" width="11.290714285714287" customWidth="1" bestFit="1"/>
    <col min="9" max="9" style="21" width="9.576428571428572" customWidth="1" bestFit="1"/>
    <col min="10" max="10" style="21" width="9.576428571428572" customWidth="1" bestFit="1"/>
    <col min="11" max="11" style="21" width="9.576428571428572" customWidth="1" bestFit="1"/>
    <col min="12" max="12" style="21" width="9.576428571428572" customWidth="1" bestFit="1"/>
    <col min="13" max="13" style="21" width="9.576428571428572" customWidth="1" bestFit="1"/>
    <col min="14" max="14" style="21" width="9.576428571428572" customWidth="1" bestFit="1"/>
    <col min="15" max="15" style="21" width="9.576428571428572" customWidth="1" bestFit="1"/>
    <col min="16" max="16" style="21" width="9.576428571428572" customWidth="1" bestFit="1"/>
    <col min="17" max="17" style="21" width="12.005" customWidth="1" bestFit="1"/>
    <col min="18" max="18" style="21" width="9.576428571428572" customWidth="1" bestFit="1"/>
    <col min="19" max="19" style="21" width="10.576428571428572" customWidth="1" bestFit="1"/>
    <col min="20" max="20" style="21" width="10.576428571428572" customWidth="1" bestFit="1"/>
    <col min="21" max="21" style="21" width="8.290714285714287" customWidth="1" bestFit="1"/>
    <col min="22" max="22" style="21" width="10.147857142857141" customWidth="1" bestFit="1"/>
    <col min="23" max="23" style="21" width="8.862142857142858" customWidth="1" bestFit="1"/>
    <col min="24" max="24" style="21" width="8.147857142857141" customWidth="1" bestFit="1"/>
    <col min="25" max="25" style="89" width="8.576428571428572" customWidth="1" bestFit="1"/>
    <col min="26" max="26" style="22" width="9.147857142857141" customWidth="1" bestFit="1"/>
    <col min="27" max="27" style="21" width="12.43357142857143" customWidth="1" bestFit="1"/>
    <col min="28" max="28" style="21" width="12.43357142857143" customWidth="1" bestFit="1"/>
    <col min="29" max="29" style="21" width="12.43357142857143" customWidth="1" bestFit="1"/>
    <col min="30" max="30" style="22" width="12.43357142857143" customWidth="1" bestFit="1"/>
    <col min="31" max="31" style="21" width="12.43357142857143" customWidth="1" bestFit="1"/>
    <col min="32" max="32" style="21" width="12.43357142857143" customWidth="1" bestFit="1"/>
    <col min="33" max="33" style="21" width="12.43357142857143" customWidth="1" bestFit="1"/>
  </cols>
  <sheetData>
    <row x14ac:dyDescent="0.25" r="1" customHeight="1" ht="16">
      <c r="A1" s="90" t="s">
        <v>57</v>
      </c>
      <c r="B1" s="90" t="s">
        <v>57</v>
      </c>
      <c r="C1" s="90" t="s">
        <v>57</v>
      </c>
      <c r="D1" s="90" t="s">
        <v>57</v>
      </c>
      <c r="E1" s="90" t="s">
        <v>57</v>
      </c>
      <c r="F1" s="90" t="s">
        <v>57</v>
      </c>
      <c r="G1" s="90" t="s">
        <v>57</v>
      </c>
      <c r="H1" s="90" t="s">
        <v>57</v>
      </c>
      <c r="I1" s="90" t="s">
        <v>57</v>
      </c>
      <c r="J1" s="90" t="s">
        <v>57</v>
      </c>
      <c r="K1" s="90" t="s">
        <v>57</v>
      </c>
      <c r="L1" s="90" t="s">
        <v>57</v>
      </c>
      <c r="M1" s="90" t="s">
        <v>57</v>
      </c>
      <c r="N1" s="90" t="s">
        <v>57</v>
      </c>
      <c r="O1" s="90" t="s">
        <v>57</v>
      </c>
      <c r="P1" s="90" t="s">
        <v>57</v>
      </c>
      <c r="Q1" s="90" t="s">
        <v>57</v>
      </c>
      <c r="R1" s="90" t="s">
        <v>57</v>
      </c>
      <c r="S1" s="90" t="s">
        <v>57</v>
      </c>
      <c r="T1" s="3"/>
      <c r="U1" s="90" t="s">
        <v>57</v>
      </c>
      <c r="V1" s="90" t="s">
        <v>57</v>
      </c>
      <c r="W1" s="90" t="s">
        <v>57</v>
      </c>
      <c r="X1" s="90" t="s">
        <v>57</v>
      </c>
      <c r="Y1" s="30">
        <v>0.2</v>
      </c>
      <c r="Z1" s="91"/>
      <c r="AA1" s="31"/>
      <c r="AB1" s="31"/>
      <c r="AC1" s="31"/>
      <c r="AD1" s="4"/>
      <c r="AE1" s="3"/>
      <c r="AF1" s="3"/>
      <c r="AG1" s="3"/>
    </row>
    <row x14ac:dyDescent="0.25" r="2" customHeight="1" ht="74.5" customFormat="1" s="6">
      <c r="A2" s="4"/>
      <c r="B2" s="32" t="s">
        <v>15</v>
      </c>
      <c r="C2" s="32" t="s">
        <v>16</v>
      </c>
      <c r="D2" s="32" t="s">
        <v>17</v>
      </c>
      <c r="E2" s="33" t="s">
        <v>18</v>
      </c>
      <c r="F2" s="34" t="s">
        <v>19</v>
      </c>
      <c r="G2" s="32" t="s">
        <v>20</v>
      </c>
      <c r="H2" s="32" t="s">
        <v>21</v>
      </c>
      <c r="I2" s="33" t="s">
        <v>22</v>
      </c>
      <c r="J2" s="35" t="s">
        <v>23</v>
      </c>
      <c r="K2" s="36" t="s">
        <v>24</v>
      </c>
      <c r="L2" s="37" t="s">
        <v>25</v>
      </c>
      <c r="M2" s="38" t="s">
        <v>26</v>
      </c>
      <c r="N2" s="39" t="s">
        <v>27</v>
      </c>
      <c r="O2" s="40" t="s">
        <v>28</v>
      </c>
      <c r="P2" s="41" t="s">
        <v>29</v>
      </c>
      <c r="Q2" s="42" t="s">
        <v>30</v>
      </c>
      <c r="R2" s="43" t="s">
        <v>31</v>
      </c>
      <c r="S2" s="42" t="s">
        <v>32</v>
      </c>
      <c r="T2" s="44" t="s">
        <v>33</v>
      </c>
      <c r="U2" s="44" t="s">
        <v>34</v>
      </c>
      <c r="V2" s="44" t="s">
        <v>35</v>
      </c>
      <c r="W2" s="44" t="s">
        <v>36</v>
      </c>
      <c r="X2" s="44" t="s">
        <v>26</v>
      </c>
      <c r="Y2" s="45" t="s">
        <v>27</v>
      </c>
      <c r="Z2" s="46" t="s">
        <v>37</v>
      </c>
      <c r="AA2" s="44" t="s">
        <v>38</v>
      </c>
      <c r="AB2" s="44" t="s">
        <v>39</v>
      </c>
      <c r="AC2" s="46" t="s">
        <v>40</v>
      </c>
      <c r="AD2" s="4"/>
      <c r="AE2" s="46" t="s">
        <v>41</v>
      </c>
      <c r="AF2" s="46" t="s">
        <v>42</v>
      </c>
      <c r="AG2" s="46" t="s">
        <v>43</v>
      </c>
    </row>
    <row x14ac:dyDescent="0.25" r="3" customHeight="1" ht="17.25">
      <c r="A3" s="47" t="s">
        <v>44</v>
      </c>
      <c r="B3" s="48">
        <f>COUNT(CV!A3:A12)</f>
      </c>
      <c r="C3" s="49">
        <f>SUM(CV!T3:T12)</f>
      </c>
      <c r="D3" s="49">
        <f>SUM(CV!U3:U12)</f>
      </c>
      <c r="E3" s="50">
        <f>SUM(CV!Q3:Q12)</f>
      </c>
      <c r="F3" s="51">
        <f>SUM(CV!W3:W12)</f>
      </c>
      <c r="G3" s="49">
        <f>SUM(CV!X3:X12)</f>
      </c>
      <c r="H3" s="49">
        <f>SUM(CV!Z3:Z12)</f>
      </c>
      <c r="I3" s="92">
        <f>H3/G3</f>
      </c>
      <c r="J3" s="53">
        <f>1/I3</f>
      </c>
      <c r="K3" s="54">
        <f>1-J3</f>
      </c>
      <c r="L3" s="55">
        <f>SUM(CV!AF3:AF12)</f>
      </c>
      <c r="M3" s="49">
        <f>L3*J3</f>
      </c>
      <c r="N3" s="56">
        <f>L3*K3</f>
      </c>
      <c r="O3" s="57">
        <f>G3-M3</f>
      </c>
      <c r="P3" s="58">
        <f>O3-N3</f>
      </c>
      <c r="Q3" s="59">
        <f>SUM(CV!BC3:BC12)</f>
      </c>
      <c r="R3" s="60">
        <f>SUM(CV!BK3:BK12)</f>
      </c>
      <c r="S3" s="59">
        <f>Q3-R3</f>
      </c>
      <c r="T3" s="49">
        <f>SUM(CV!AE3:AE12)</f>
      </c>
      <c r="U3" s="61">
        <f>SUM(CV!BI3:BI12)</f>
      </c>
      <c r="V3" s="49">
        <f>G3/B3</f>
      </c>
      <c r="W3" s="62">
        <f>IF(((L3/G3)-1)&lt;0,"-na- ",(L3/G3)-1)</f>
      </c>
      <c r="X3" s="49">
        <f>L3*J3</f>
      </c>
      <c r="Y3" s="49">
        <f>L3*K3</f>
      </c>
      <c r="Z3" s="4"/>
      <c r="AA3" s="49">
        <f>Y3*Y1</f>
      </c>
      <c r="AB3" s="12">
        <f>L3-AA3</f>
      </c>
      <c r="AC3" s="62">
        <f>IF(((AB3/G3)-1)&lt;0,"-na-",(AB3/G3)-1)</f>
      </c>
      <c r="AD3" s="4"/>
      <c r="AE3" s="3"/>
      <c r="AF3" s="3"/>
      <c r="AG3" s="3"/>
    </row>
    <row x14ac:dyDescent="0.25" r="4" customHeight="1" ht="17.25">
      <c r="A4" s="5" t="s">
        <v>45</v>
      </c>
      <c r="B4" s="48">
        <f>COUNT(CV!A13:A17)</f>
      </c>
      <c r="C4" s="49">
        <f>SUM(CV!T13:T17)</f>
      </c>
      <c r="D4" s="49">
        <f>SUM(CV!U13:U17)</f>
      </c>
      <c r="E4" s="50">
        <f>SUM(CV!Q13:Q17)</f>
      </c>
      <c r="F4" s="51">
        <f>SUM(CV!W13:W17)</f>
      </c>
      <c r="G4" s="49">
        <f>SUM(CV!X13:X17)</f>
      </c>
      <c r="H4" s="49">
        <f>SUM(CV!Z13:Z17)</f>
      </c>
      <c r="I4" s="92">
        <f>H4/G4</f>
      </c>
      <c r="J4" s="53">
        <f>1/I4</f>
      </c>
      <c r="K4" s="54">
        <f>1-J4</f>
      </c>
      <c r="L4" s="55">
        <f>SUM(CV!AF13:AF17)</f>
      </c>
      <c r="M4" s="49">
        <f>L4*J4</f>
      </c>
      <c r="N4" s="56">
        <f>L4*K4</f>
      </c>
      <c r="O4" s="57">
        <f>G4-M4</f>
      </c>
      <c r="P4" s="58">
        <f>O4-N4</f>
      </c>
      <c r="Q4" s="59">
        <f>SUM(CV!BC13:BC17)</f>
      </c>
      <c r="R4" s="60">
        <f>SUM(CV!BK13:BK17)</f>
      </c>
      <c r="S4" s="59">
        <f>Q4-R4</f>
      </c>
      <c r="T4" s="63">
        <f>SUM(CV!AE13:AE17)</f>
      </c>
      <c r="U4" s="64">
        <f>SUM(CV!BI13:BI17)</f>
      </c>
      <c r="V4" s="63">
        <f>G4/B4</f>
      </c>
      <c r="W4" s="65">
        <f>IF(((L4/G4)-1)&lt;0,"-na- ",(L4/G4)-1)</f>
      </c>
      <c r="X4" s="49">
        <f>L4*J4</f>
      </c>
      <c r="Y4" s="65">
        <f>L4*B16</f>
      </c>
      <c r="Z4" s="4"/>
      <c r="AA4" s="66"/>
      <c r="AB4" s="3"/>
      <c r="AC4" s="3"/>
      <c r="AD4" s="4"/>
      <c r="AE4" s="3"/>
      <c r="AF4" s="3"/>
      <c r="AG4" s="3"/>
    </row>
    <row x14ac:dyDescent="0.25" r="5" customHeight="1" ht="17.25">
      <c r="A5" s="47" t="s">
        <v>46</v>
      </c>
      <c r="B5" s="48">
        <f>COUNT(CV!A18:A27)</f>
      </c>
      <c r="C5" s="49">
        <f>SUM(CV!T18:T27)</f>
      </c>
      <c r="D5" s="49">
        <f>SUM(CV!U18:U27)</f>
      </c>
      <c r="E5" s="50">
        <f>SUM(CV!Q18:Q27)</f>
      </c>
      <c r="F5" s="51">
        <f>SUM(CV!W18:W27)</f>
      </c>
      <c r="G5" s="49">
        <f>SUM(CV!X18:X27)</f>
      </c>
      <c r="H5" s="49">
        <f>SUM(CV!Z18:Z27)</f>
      </c>
      <c r="I5" s="92">
        <f>IFERROR(H5/G5,0)</f>
      </c>
      <c r="J5" s="53">
        <f>IFERROR(1/I5,0)</f>
      </c>
      <c r="K5" s="54">
        <f>1-J5</f>
      </c>
      <c r="L5" s="55">
        <f>SUM(CV!AF18:AF27)</f>
      </c>
      <c r="M5" s="49">
        <f>L5*J5</f>
      </c>
      <c r="N5" s="56">
        <f>L5*K5</f>
      </c>
      <c r="O5" s="57">
        <f>G5-M5</f>
      </c>
      <c r="P5" s="58">
        <f>O5-N5</f>
      </c>
      <c r="Q5" s="59">
        <f>SUM(CV!BC18:BC27)</f>
      </c>
      <c r="R5" s="60">
        <f>SUM(CV!BK18:BK27)</f>
      </c>
      <c r="S5" s="59">
        <f>Q5-R5</f>
      </c>
      <c r="T5" s="63">
        <f>SUM(CV!AE18:AE27)</f>
      </c>
      <c r="U5" s="64">
        <f>IFERROR(SUM(CV!BI18:BI27),0)</f>
      </c>
      <c r="V5" s="63">
        <f>IFERROR(G5/B5,0)</f>
      </c>
      <c r="W5" s="93">
        <f>IFERROR(IF(((L5/G5)-1)&lt;0,"-na- ",(L5/G5)-1),0)</f>
      </c>
      <c r="X5" s="49">
        <f>L5*J5</f>
      </c>
      <c r="Y5" s="65">
        <f>L5*B17</f>
      </c>
      <c r="Z5" s="4"/>
      <c r="AA5" s="66"/>
      <c r="AB5" s="3"/>
      <c r="AC5" s="3"/>
      <c r="AD5" s="4"/>
      <c r="AE5" s="3"/>
      <c r="AF5" s="3"/>
      <c r="AG5" s="3"/>
    </row>
    <row x14ac:dyDescent="0.25" r="6" customHeight="1" ht="17.25">
      <c r="A6" s="5" t="s">
        <v>47</v>
      </c>
      <c r="B6" s="48">
        <f>COUNT(CV!A28:A39)</f>
      </c>
      <c r="C6" s="49">
        <f>SUM(CV!T28:T39)</f>
      </c>
      <c r="D6" s="49">
        <f>SUM(CV!U28:U39)</f>
      </c>
      <c r="E6" s="50">
        <f>SUM(CV!Q28:Q39)</f>
      </c>
      <c r="F6" s="51">
        <f>SUM(CV!W28:W39)</f>
      </c>
      <c r="G6" s="49">
        <f>SUM(CV!X28:X39)</f>
      </c>
      <c r="H6" s="49">
        <f>SUM(CV!Z28:Z39)</f>
      </c>
      <c r="I6" s="92">
        <f>IFERROR(H6/G6,0)</f>
      </c>
      <c r="J6" s="53">
        <f>IFERROR(1/I6,0)</f>
      </c>
      <c r="K6" s="54">
        <f>1-J6</f>
      </c>
      <c r="L6" s="55">
        <f>SUM(CV!AF28:AF39)</f>
      </c>
      <c r="M6" s="49">
        <f>L6*J6</f>
      </c>
      <c r="N6" s="56">
        <f>L6*K6</f>
      </c>
      <c r="O6" s="57">
        <f>G6-M6</f>
      </c>
      <c r="P6" s="58">
        <f>O6-N6</f>
      </c>
      <c r="Q6" s="59">
        <f>SUM(CV!BC28:BC39)</f>
      </c>
      <c r="R6" s="60">
        <f>SUM(CV!BK28:BK39)</f>
      </c>
      <c r="S6" s="59">
        <f>Q6-R6</f>
      </c>
      <c r="T6" s="63">
        <f>SUM(CV!AE28:AE39)</f>
      </c>
      <c r="U6" s="64">
        <f>IFERROR(SUM(CV!BI28:BI39),0)</f>
      </c>
      <c r="V6" s="63">
        <f>IFERROR(G6/B6,0)</f>
      </c>
      <c r="W6" s="93">
        <f>IFERROR(IF(((L6/G6)-1)&lt;0,"-na- ",(L6/G6)-1),0)</f>
      </c>
      <c r="X6" s="49">
        <f>L6*J6</f>
      </c>
      <c r="Y6" s="65">
        <f>L6*B18</f>
      </c>
      <c r="Z6" s="4"/>
      <c r="AA6" s="66"/>
      <c r="AB6" s="3"/>
      <c r="AC6" s="3"/>
      <c r="AD6" s="4"/>
      <c r="AE6" s="47"/>
      <c r="AF6" s="47"/>
      <c r="AG6" s="47"/>
    </row>
    <row x14ac:dyDescent="0.25" r="7" customHeight="1" ht="17.25">
      <c r="A7" s="5" t="s">
        <v>48</v>
      </c>
      <c r="B7" s="48">
        <f>COUNT(CV!A40:A50)</f>
      </c>
      <c r="C7" s="49">
        <f>SUM(CV!T40:T50)</f>
      </c>
      <c r="D7" s="49">
        <f>SUM(CV!U40:U50)</f>
      </c>
      <c r="E7" s="50">
        <f>SUM(CV!Q40:Q50)</f>
      </c>
      <c r="F7" s="51">
        <f>SUM(CV!W40:W50)</f>
      </c>
      <c r="G7" s="49">
        <f>SUM(CV!X40:X50)</f>
      </c>
      <c r="H7" s="49">
        <f>SUM(CV!Z40:Z50)</f>
      </c>
      <c r="I7" s="92">
        <f>IFERROR(H7/G7,0)</f>
      </c>
      <c r="J7" s="53">
        <f>IFERROR(1/I7,0)</f>
      </c>
      <c r="K7" s="54">
        <f>1-J7</f>
      </c>
      <c r="L7" s="55">
        <f>SUM(CV!AF40:AF50)</f>
      </c>
      <c r="M7" s="49">
        <f>L7*J7</f>
      </c>
      <c r="N7" s="56">
        <f>L7*K7</f>
      </c>
      <c r="O7" s="57">
        <f>G7-M7</f>
      </c>
      <c r="P7" s="58">
        <f>O7-N7</f>
      </c>
      <c r="Q7" s="59">
        <f>SUM(CV!BC40:BC50)</f>
      </c>
      <c r="R7" s="60">
        <f>SUM(CV!BK40:BK50)</f>
      </c>
      <c r="S7" s="59">
        <f>Q7-R7</f>
      </c>
      <c r="T7" s="63">
        <f>SUM(CV!AE40:AE50)</f>
      </c>
      <c r="U7" s="64">
        <f>IFERROR(SUM(CV!BI40:BI50),0)</f>
      </c>
      <c r="V7" s="63">
        <f>IFERROR(G7/B7,0)</f>
      </c>
      <c r="W7" s="93">
        <f>IFERROR(IF(((L7/G7)-1)&lt;0,"-na- ",(L7/G7)-1),0)</f>
      </c>
      <c r="X7" s="49">
        <f>L7*J7</f>
      </c>
      <c r="Y7" s="65">
        <f>L7*B19</f>
      </c>
      <c r="Z7" s="4"/>
      <c r="AA7" s="66"/>
      <c r="AB7" s="3"/>
      <c r="AC7" s="3"/>
      <c r="AD7" s="4"/>
      <c r="AE7" s="47"/>
      <c r="AF7" s="47"/>
      <c r="AG7" s="47"/>
    </row>
    <row x14ac:dyDescent="0.25" r="8" customHeight="1" ht="17.25">
      <c r="A8" s="5" t="s">
        <v>49</v>
      </c>
      <c r="B8" s="48">
        <f>COUNT(CV!A51:A65)</f>
      </c>
      <c r="C8" s="49">
        <f>SUM(CV!T51:T65)</f>
      </c>
      <c r="D8" s="49">
        <f>SUM(CV!U51:U65)</f>
      </c>
      <c r="E8" s="50">
        <f>SUM(CV!Q51:Q65)</f>
      </c>
      <c r="F8" s="51">
        <f>SUM(CV!W51:W65)</f>
      </c>
      <c r="G8" s="49">
        <f>SUM(CV!X51:X65)</f>
      </c>
      <c r="H8" s="49">
        <f>SUM(CV!Z51:Z65)</f>
      </c>
      <c r="I8" s="92">
        <f>IFERROR(H8/G8,0)</f>
      </c>
      <c r="J8" s="53">
        <f>IFERROR(1/I8,0)</f>
      </c>
      <c r="K8" s="54">
        <f>1-J8</f>
      </c>
      <c r="L8" s="55">
        <f>SUM(CV!AF51:AF65)</f>
      </c>
      <c r="M8" s="49">
        <f>L8*J8</f>
      </c>
      <c r="N8" s="56">
        <f>L8*K8</f>
      </c>
      <c r="O8" s="57">
        <f>G8-M8</f>
      </c>
      <c r="P8" s="58">
        <f>O8-N8</f>
      </c>
      <c r="Q8" s="59">
        <f>SUM(CV!BC51:BC65)</f>
      </c>
      <c r="R8" s="60">
        <f>SUM(CV!BK51:BK65)</f>
      </c>
      <c r="S8" s="59">
        <f>Q8-R8</f>
      </c>
      <c r="T8" s="63">
        <f>SUM(CV!AE51:AE65)</f>
      </c>
      <c r="U8" s="64">
        <f>IFERROR(SUM(CV!BI51:BI65),0)</f>
      </c>
      <c r="V8" s="63">
        <f>IFERROR(G8/B8,0)</f>
      </c>
      <c r="W8" s="93">
        <f>IFERROR(IF(((L8/G8)-1)&lt;0,"-na- ",(L8/G8)-1),0)</f>
      </c>
      <c r="X8" s="49">
        <f>L8*J8</f>
      </c>
      <c r="Y8" s="65">
        <f>L8*B20</f>
      </c>
      <c r="Z8" s="4"/>
      <c r="AA8" s="66"/>
      <c r="AB8" s="3"/>
      <c r="AC8" s="3"/>
      <c r="AD8" s="4"/>
      <c r="AE8" s="47"/>
      <c r="AF8" s="47"/>
      <c r="AG8" s="47"/>
    </row>
    <row x14ac:dyDescent="0.25" r="9" customHeight="1" ht="17.25">
      <c r="A9" s="5"/>
      <c r="B9" s="70"/>
      <c r="C9" s="49"/>
      <c r="D9" s="49"/>
      <c r="E9" s="71"/>
      <c r="F9" s="72"/>
      <c r="G9" s="49"/>
      <c r="H9" s="49"/>
      <c r="I9" s="71"/>
      <c r="J9" s="63"/>
      <c r="K9" s="72"/>
      <c r="L9" s="55"/>
      <c r="M9" s="49">
        <f>L9*J9</f>
      </c>
      <c r="N9" s="56">
        <f>L9*K9</f>
      </c>
      <c r="O9" s="57">
        <f>G9-M9</f>
      </c>
      <c r="P9" s="58">
        <f>O9-N9</f>
      </c>
      <c r="Q9" s="59"/>
      <c r="R9" s="73"/>
      <c r="S9" s="59">
        <f>Q9-R9</f>
      </c>
      <c r="T9" s="63"/>
      <c r="U9" s="3"/>
      <c r="V9" s="63"/>
      <c r="W9" s="3"/>
      <c r="X9" s="66"/>
      <c r="Y9" s="14"/>
      <c r="Z9" s="4"/>
      <c r="AA9" s="66"/>
      <c r="AB9" s="3"/>
      <c r="AC9" s="3"/>
      <c r="AD9" s="4"/>
      <c r="AE9" s="3"/>
      <c r="AF9" s="3"/>
      <c r="AG9" s="3"/>
    </row>
    <row x14ac:dyDescent="0.25" r="10" customHeight="1" ht="17.25">
      <c r="A10" s="5" t="s">
        <v>50</v>
      </c>
      <c r="B10" s="48">
        <f>SUM(B3:B9)</f>
      </c>
      <c r="C10" s="49">
        <f>SUM(C3:C9)</f>
      </c>
      <c r="D10" s="49">
        <f>SUM(D3:D9)</f>
      </c>
      <c r="E10" s="74">
        <f>SUM(E3:E9)</f>
      </c>
      <c r="F10" s="75">
        <f>SUM(F3:F9)</f>
      </c>
      <c r="G10" s="49">
        <f>SUM(G3:G9)</f>
      </c>
      <c r="H10" s="49">
        <f>SUM(H3:H9)</f>
      </c>
      <c r="I10" s="76">
        <f>H10/G10</f>
      </c>
      <c r="J10" s="77"/>
      <c r="K10" s="75"/>
      <c r="L10" s="78">
        <f>SUM(L3:L9)</f>
      </c>
      <c r="M10" s="79">
        <f>SUM(M3:M9)</f>
      </c>
      <c r="N10" s="80">
        <f>SUM(N3:N9)</f>
      </c>
      <c r="O10" s="81">
        <f>SUM(O3:O9)</f>
      </c>
      <c r="P10" s="81">
        <f>SUM(P3:P9)</f>
      </c>
      <c r="Q10" s="82">
        <f>SUM(Q3:Q9)</f>
      </c>
      <c r="R10" s="83">
        <f>SUM(R3:R9)</f>
      </c>
      <c r="S10" s="82">
        <f>SUM(S3:S9)</f>
      </c>
      <c r="T10" s="63">
        <f>SUM(T3:T9)</f>
      </c>
      <c r="U10" s="64">
        <f>AVERAGEIF(U3:U9,"&lt;&gt;0")</f>
      </c>
      <c r="V10" s="63">
        <f>G10/B10</f>
      </c>
      <c r="W10" s="3"/>
      <c r="X10" s="63">
        <f>SUM(X3:X9)</f>
      </c>
      <c r="Y10" s="63">
        <f>SUM(Y3:Y9)</f>
      </c>
      <c r="Z10" s="4"/>
      <c r="AA10" s="66"/>
      <c r="AB10" s="3"/>
      <c r="AC10" s="3"/>
      <c r="AD10" s="4"/>
      <c r="AE10" s="3"/>
      <c r="AF10" s="94">
        <f>MEDIAN(CV!G3:G90)</f>
      </c>
      <c r="AG10" s="94">
        <f>AVERAGE(CV!G3:G90)</f>
      </c>
    </row>
    <row x14ac:dyDescent="0.25" r="11" customHeight="1" ht="17.25">
      <c r="A11" s="5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4"/>
      <c r="Z11" s="4"/>
      <c r="AA11" s="3"/>
      <c r="AB11" s="3"/>
      <c r="AC11" s="3"/>
      <c r="AD11" s="4"/>
      <c r="AE11" s="3"/>
      <c r="AF11" s="3"/>
      <c r="AG11" s="3"/>
    </row>
    <row x14ac:dyDescent="0.25" r="12" customHeight="1" ht="17.25">
      <c r="A12" s="84" t="s">
        <v>51</v>
      </c>
      <c r="B12" s="84"/>
      <c r="C12" s="84"/>
      <c r="D12" s="85">
        <f>D13/D14</f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14"/>
      <c r="Z12" s="4"/>
      <c r="AA12" s="3"/>
      <c r="AB12" s="3"/>
      <c r="AC12" s="3"/>
      <c r="AD12" s="4"/>
      <c r="AE12" s="3"/>
      <c r="AF12" s="3"/>
      <c r="AG12" s="3"/>
    </row>
    <row x14ac:dyDescent="0.25" r="13" customHeight="1" ht="17.25">
      <c r="A13" s="5" t="s">
        <v>52</v>
      </c>
      <c r="B13" s="3"/>
      <c r="C13" s="3"/>
      <c r="D13" s="1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4"/>
      <c r="Z13" s="4"/>
      <c r="AA13" s="3"/>
      <c r="AB13" s="3"/>
      <c r="AC13" s="3"/>
      <c r="AD13" s="4"/>
      <c r="AE13" s="3"/>
      <c r="AF13" s="3"/>
      <c r="AG13" s="3"/>
    </row>
    <row x14ac:dyDescent="0.25" r="14" customHeight="1" ht="17.25">
      <c r="A14" s="5" t="s">
        <v>53</v>
      </c>
      <c r="B14" s="5"/>
      <c r="C14" s="3"/>
      <c r="D14" s="1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14"/>
      <c r="Z14" s="4"/>
      <c r="AA14" s="3"/>
      <c r="AB14" s="3"/>
      <c r="AC14" s="3"/>
      <c r="AD14" s="4"/>
      <c r="AE14" s="3"/>
      <c r="AF14" s="3"/>
      <c r="AG14" s="3"/>
    </row>
    <row x14ac:dyDescent="0.25" r="15" customHeight="1" ht="17.25">
      <c r="A15" s="5"/>
      <c r="B15" s="3"/>
      <c r="C15" s="3"/>
      <c r="D15" s="2"/>
      <c r="E15" s="3"/>
      <c r="F15" s="3"/>
      <c r="G15" s="3"/>
      <c r="H15" s="86"/>
      <c r="I15" s="86"/>
      <c r="J15" s="86"/>
      <c r="K15" s="8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4"/>
      <c r="Z15" s="4"/>
      <c r="AA15" s="3"/>
      <c r="AB15" s="3"/>
      <c r="AC15" s="3"/>
      <c r="AD15" s="4"/>
      <c r="AE15" s="3"/>
      <c r="AF15" s="3"/>
      <c r="AG15" s="3"/>
    </row>
    <row x14ac:dyDescent="0.25" r="16" customHeight="1" ht="17.25">
      <c r="A16" s="5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14"/>
      <c r="Z16" s="4"/>
      <c r="AA16" s="3"/>
      <c r="AB16" s="3"/>
      <c r="AC16" s="3"/>
      <c r="AD16" s="4"/>
      <c r="AE16" s="3"/>
      <c r="AF16" s="3"/>
      <c r="AG16" s="3"/>
    </row>
    <row x14ac:dyDescent="0.25" r="17" customHeight="1" ht="17.25">
      <c r="A17" s="87" t="s">
        <v>54</v>
      </c>
      <c r="B17" s="3"/>
      <c r="C17" s="3"/>
      <c r="D17" s="85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4"/>
      <c r="Z17" s="4"/>
      <c r="AA17" s="3"/>
      <c r="AB17" s="3"/>
      <c r="AC17" s="3"/>
      <c r="AD17" s="4"/>
      <c r="AE17" s="3"/>
      <c r="AF17" s="3"/>
      <c r="AG17" s="3"/>
    </row>
    <row x14ac:dyDescent="0.25" r="18" customHeight="1" ht="17.25">
      <c r="A18" s="87" t="s">
        <v>55</v>
      </c>
      <c r="B18" s="3"/>
      <c r="C18" s="3"/>
      <c r="D18" s="1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4"/>
      <c r="Z18" s="4"/>
      <c r="AA18" s="3"/>
      <c r="AB18" s="3"/>
      <c r="AC18" s="3"/>
      <c r="AD18" s="4"/>
      <c r="AE18" s="3"/>
      <c r="AF18" s="3"/>
      <c r="AG18" s="3"/>
    </row>
    <row x14ac:dyDescent="0.25" r="19" customHeight="1" ht="17.25">
      <c r="A19" s="87" t="s">
        <v>56</v>
      </c>
      <c r="B19" s="3"/>
      <c r="C19" s="3"/>
      <c r="D19" s="1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4"/>
      <c r="AA19" s="3"/>
      <c r="AB19" s="3"/>
      <c r="AC19" s="3"/>
      <c r="AD19" s="4"/>
      <c r="AE19" s="3"/>
      <c r="AF19" s="3"/>
      <c r="AG19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9"/>
  <sheetViews>
    <sheetView workbookViewId="0"/>
  </sheetViews>
  <sheetFormatPr defaultRowHeight="15" x14ac:dyDescent="0.25"/>
  <cols>
    <col min="1" max="1" style="88" width="11.147857142857141" customWidth="1" bestFit="1"/>
    <col min="2" max="2" style="21" width="7.2907142857142855" customWidth="1" bestFit="1"/>
    <col min="3" max="3" style="21" width="8.576428571428572" customWidth="1" bestFit="1"/>
    <col min="4" max="4" style="20" width="11.290714285714287" customWidth="1" bestFit="1"/>
    <col min="5" max="5" style="21" width="9.719285714285713" customWidth="1" bestFit="1"/>
    <col min="6" max="6" style="21" width="8.147857142857141" customWidth="1" bestFit="1"/>
    <col min="7" max="7" style="21" width="10.576428571428572" customWidth="1" bestFit="1"/>
    <col min="8" max="8" style="21" width="10.576428571428572" customWidth="1" bestFit="1"/>
    <col min="9" max="9" style="21" width="8.576428571428572" customWidth="1" bestFit="1"/>
    <col min="10" max="10" style="21" width="9.576428571428572" customWidth="1" bestFit="1"/>
    <col min="11" max="11" style="21" width="9.576428571428572" customWidth="1" bestFit="1"/>
    <col min="12" max="12" style="21" width="8.576428571428572" customWidth="1" bestFit="1"/>
    <col min="13" max="13" style="21" width="10.147857142857141" customWidth="1" bestFit="1"/>
    <col min="14" max="14" style="21" width="10.147857142857141" customWidth="1" bestFit="1"/>
    <col min="15" max="15" style="21" width="10.147857142857141" customWidth="1" bestFit="1"/>
    <col min="16" max="16" style="21" width="10.147857142857141" customWidth="1" bestFit="1"/>
    <col min="17" max="17" style="21" width="11.862142857142858" customWidth="1" bestFit="1"/>
    <col min="18" max="18" style="21" width="9.576428571428572" customWidth="1" bestFit="1"/>
    <col min="19" max="19" style="21" width="10.576428571428572" customWidth="1" bestFit="1"/>
    <col min="20" max="20" style="21" width="10.576428571428572" customWidth="1" bestFit="1"/>
    <col min="21" max="21" style="21" width="8.290714285714287" customWidth="1" bestFit="1"/>
    <col min="22" max="22" style="21" width="8.147857142857141" customWidth="1" bestFit="1"/>
    <col min="23" max="23" style="89" width="8.576428571428572" customWidth="1" bestFit="1"/>
    <col min="24" max="24" style="21" width="9.147857142857141" customWidth="1" bestFit="1"/>
    <col min="25" max="25" style="21" width="12.43357142857143" customWidth="1" bestFit="1"/>
    <col min="26" max="26" style="21" width="12.43357142857143" customWidth="1" bestFit="1"/>
    <col min="27" max="27" style="21" width="12.43357142857143" customWidth="1" bestFit="1"/>
    <col min="28" max="28" style="21" width="12.43357142857143" customWidth="1" bestFit="1"/>
    <col min="29" max="29" style="21" width="12.43357142857143" customWidth="1" bestFit="1"/>
    <col min="30" max="30" style="21" width="12.43357142857143" customWidth="1" bestFit="1"/>
    <col min="31" max="31" style="21" width="12.43357142857143" customWidth="1" bestFit="1"/>
    <col min="32" max="32" style="21" width="12.43357142857143" customWidth="1" bestFit="1"/>
    <col min="33" max="33" style="21" width="12.43357142857143" customWidth="1" bestFit="1"/>
  </cols>
  <sheetData>
    <row x14ac:dyDescent="0.25" r="1" customHeight="1" ht="16">
      <c r="A1" s="29" t="s">
        <v>14</v>
      </c>
      <c r="B1" s="29" t="s">
        <v>14</v>
      </c>
      <c r="C1" s="29" t="s">
        <v>14</v>
      </c>
      <c r="D1" s="29" t="s">
        <v>14</v>
      </c>
      <c r="E1" s="29" t="s">
        <v>14</v>
      </c>
      <c r="F1" s="29" t="s">
        <v>14</v>
      </c>
      <c r="G1" s="29" t="s">
        <v>14</v>
      </c>
      <c r="H1" s="29" t="s">
        <v>14</v>
      </c>
      <c r="I1" s="29" t="s">
        <v>14</v>
      </c>
      <c r="J1" s="29" t="s">
        <v>14</v>
      </c>
      <c r="K1" s="29" t="s">
        <v>14</v>
      </c>
      <c r="L1" s="29" t="s">
        <v>14</v>
      </c>
      <c r="M1" s="29" t="s">
        <v>14</v>
      </c>
      <c r="N1" s="29" t="s">
        <v>14</v>
      </c>
      <c r="O1" s="29" t="s">
        <v>14</v>
      </c>
      <c r="P1" s="29" t="s">
        <v>14</v>
      </c>
      <c r="Q1" s="29" t="s">
        <v>14</v>
      </c>
      <c r="R1" s="29" t="s">
        <v>14</v>
      </c>
      <c r="S1" s="29" t="s">
        <v>14</v>
      </c>
      <c r="T1" s="29" t="s">
        <v>14</v>
      </c>
      <c r="U1" s="29" t="s">
        <v>14</v>
      </c>
      <c r="V1" s="29" t="s">
        <v>14</v>
      </c>
      <c r="W1" s="30">
        <v>0.2</v>
      </c>
      <c r="X1" s="31"/>
      <c r="Y1" s="31"/>
      <c r="Z1" s="31"/>
      <c r="AA1" s="31"/>
      <c r="AB1" s="3"/>
      <c r="AC1" s="3"/>
      <c r="AD1" s="3"/>
      <c r="AE1" s="3"/>
      <c r="AF1" s="3"/>
      <c r="AG1" s="3"/>
    </row>
    <row x14ac:dyDescent="0.25" r="2" customHeight="1" ht="74.5" customFormat="1" s="6">
      <c r="A2" s="4"/>
      <c r="B2" s="32" t="s">
        <v>15</v>
      </c>
      <c r="C2" s="32" t="s">
        <v>16</v>
      </c>
      <c r="D2" s="32" t="s">
        <v>17</v>
      </c>
      <c r="E2" s="33" t="s">
        <v>18</v>
      </c>
      <c r="F2" s="34" t="s">
        <v>19</v>
      </c>
      <c r="G2" s="32" t="s">
        <v>20</v>
      </c>
      <c r="H2" s="32" t="s">
        <v>21</v>
      </c>
      <c r="I2" s="33" t="s">
        <v>22</v>
      </c>
      <c r="J2" s="35" t="s">
        <v>23</v>
      </c>
      <c r="K2" s="36" t="s">
        <v>24</v>
      </c>
      <c r="L2" s="37" t="s">
        <v>25</v>
      </c>
      <c r="M2" s="38" t="s">
        <v>26</v>
      </c>
      <c r="N2" s="39" t="s">
        <v>27</v>
      </c>
      <c r="O2" s="40" t="s">
        <v>28</v>
      </c>
      <c r="P2" s="41" t="s">
        <v>29</v>
      </c>
      <c r="Q2" s="42" t="s">
        <v>30</v>
      </c>
      <c r="R2" s="43" t="s">
        <v>31</v>
      </c>
      <c r="S2" s="42" t="s">
        <v>32</v>
      </c>
      <c r="T2" s="44" t="s">
        <v>33</v>
      </c>
      <c r="U2" s="44" t="s">
        <v>34</v>
      </c>
      <c r="V2" s="44" t="s">
        <v>35</v>
      </c>
      <c r="W2" s="45" t="s">
        <v>36</v>
      </c>
      <c r="X2" s="44" t="s">
        <v>37</v>
      </c>
      <c r="Y2" s="44" t="s">
        <v>38</v>
      </c>
      <c r="Z2" s="46" t="s">
        <v>39</v>
      </c>
      <c r="AA2" s="44" t="s">
        <v>40</v>
      </c>
      <c r="AB2" s="4"/>
      <c r="AC2" s="4"/>
      <c r="AD2" s="4"/>
      <c r="AE2" s="46" t="s">
        <v>41</v>
      </c>
      <c r="AF2" s="44" t="s">
        <v>42</v>
      </c>
      <c r="AG2" s="46" t="s">
        <v>43</v>
      </c>
    </row>
    <row x14ac:dyDescent="0.25" r="3" customHeight="1" ht="17.25">
      <c r="A3" s="47" t="s">
        <v>44</v>
      </c>
      <c r="B3" s="48">
        <f>COUNT(Kings!A3:A12)</f>
      </c>
      <c r="C3" s="49">
        <f>SUM(Kings!T3:T12)</f>
      </c>
      <c r="D3" s="49">
        <f>SUM(Kings!U3:U12)</f>
      </c>
      <c r="E3" s="50">
        <f>SUM(Kings!Q3:Q12)</f>
      </c>
      <c r="F3" s="51">
        <f>SUM(Kings!W3:W12)</f>
      </c>
      <c r="G3" s="49">
        <f>SUM(Kings!X3:X12)</f>
      </c>
      <c r="H3" s="49">
        <f>SUM(Kings!Z3:Z12)</f>
      </c>
      <c r="I3" s="52">
        <f>H3/G3</f>
      </c>
      <c r="J3" s="53">
        <f>1/I3</f>
      </c>
      <c r="K3" s="54">
        <f>1-J3</f>
      </c>
      <c r="L3" s="55">
        <f>SUM(Kings!AF3:AF12)</f>
      </c>
      <c r="M3" s="49">
        <f>L3*J3</f>
      </c>
      <c r="N3" s="56">
        <f>L3*K3</f>
      </c>
      <c r="O3" s="57">
        <f>G3-M3</f>
      </c>
      <c r="P3" s="58">
        <f>O3-N3</f>
      </c>
      <c r="Q3" s="59">
        <f>SUM(Kings!BC3:BC12)</f>
      </c>
      <c r="R3" s="60">
        <f>SUM(Kings!BK3:BK12)</f>
      </c>
      <c r="S3" s="59">
        <f>Q3-R3</f>
      </c>
      <c r="T3" s="49">
        <f>SUM(Kings!AE3:AE12)</f>
      </c>
      <c r="U3" s="61">
        <f>SUM(Kings!BI3:BI12)</f>
      </c>
      <c r="V3" s="49">
        <f>G3/B3</f>
      </c>
      <c r="W3" s="62">
        <f>IF(((L3/G3)-1)&lt;0,"-na- ",(L3/G3)-1)</f>
      </c>
      <c r="X3" s="49"/>
      <c r="Y3" s="49">
        <f>N3*W1</f>
      </c>
      <c r="Z3" s="12">
        <f>N3-Y3</f>
      </c>
      <c r="AA3" s="48">
        <f>IF(((Z3/G3)-1)&lt;0,"-na-",(Z3/G3)-1)</f>
      </c>
      <c r="AB3" s="3"/>
      <c r="AC3" s="62"/>
      <c r="AD3" s="3"/>
      <c r="AE3" s="3"/>
      <c r="AF3" s="3"/>
      <c r="AG3" s="3"/>
    </row>
    <row x14ac:dyDescent="0.25" r="4" customHeight="1" ht="17.25">
      <c r="A4" s="5" t="s">
        <v>45</v>
      </c>
      <c r="B4" s="48">
        <f>COUNT(Kings!A13:A17)</f>
      </c>
      <c r="C4" s="49">
        <f>SUM(Kings!T13:T17)</f>
      </c>
      <c r="D4" s="49">
        <f>SUM(Kings!U13:U17)</f>
      </c>
      <c r="E4" s="50">
        <f>SUM(Kings!Q13:Q17)</f>
      </c>
      <c r="F4" s="51">
        <f>SUM(Kings!W13:W17)</f>
      </c>
      <c r="G4" s="49">
        <f>SUM(Kings!X13:X17)</f>
      </c>
      <c r="H4" s="49">
        <f>SUM(Kings!Z13:Z17)</f>
      </c>
      <c r="I4" s="52">
        <f>IFERROR(H4/G4,"0")</f>
      </c>
      <c r="J4" s="53">
        <f>1/I4</f>
      </c>
      <c r="K4" s="54">
        <f>1-J4</f>
      </c>
      <c r="L4" s="55">
        <f>SUM(Kings!AF13:AF17)</f>
      </c>
      <c r="M4" s="49">
        <f>L4*J4</f>
      </c>
      <c r="N4" s="56">
        <f>L4*K4</f>
      </c>
      <c r="O4" s="57">
        <f>G4-M4</f>
      </c>
      <c r="P4" s="58">
        <f>O4-N4</f>
      </c>
      <c r="Q4" s="59">
        <f>SUM(Kings!BC13:BC17)</f>
      </c>
      <c r="R4" s="60">
        <f>SUM(Kings!BK13:BK17)</f>
      </c>
      <c r="S4" s="59">
        <f>Q4-R4</f>
      </c>
      <c r="T4" s="63">
        <f>SUM(Kings!AE13:AE17)</f>
      </c>
      <c r="U4" s="64">
        <f>SUM(Kings!BI13:BI17)</f>
      </c>
      <c r="V4" s="63">
        <f>IFERROR(G4/B4,"")</f>
      </c>
      <c r="W4" s="65">
        <f>IF(((L4/G4)-1)&lt;0,"-na- ",(L4/G4)-1)</f>
      </c>
      <c r="X4" s="66"/>
      <c r="Y4" s="66"/>
      <c r="Z4" s="3"/>
      <c r="AA4" s="66"/>
      <c r="AB4" s="3"/>
      <c r="AC4" s="3"/>
      <c r="AD4" s="3"/>
      <c r="AE4" s="3"/>
      <c r="AF4" s="3"/>
      <c r="AG4" s="3"/>
    </row>
    <row x14ac:dyDescent="0.25" r="5" customHeight="1" ht="17.25">
      <c r="A5" s="47" t="s">
        <v>46</v>
      </c>
      <c r="B5" s="48">
        <f>COUNT(Kings!A18:A33)</f>
      </c>
      <c r="C5" s="49">
        <f>SUM(Kings!T18:T33)</f>
      </c>
      <c r="D5" s="49">
        <f>SUM(Kings!U18:U33)</f>
      </c>
      <c r="E5" s="50">
        <f>SUM(Kings!Q18:Q33)</f>
      </c>
      <c r="F5" s="51">
        <f>SUM(Kings!W18:W33)</f>
      </c>
      <c r="G5" s="49">
        <f>SUM(Kings!X18:X33)</f>
      </c>
      <c r="H5" s="49">
        <f>SUM(Kings!Z18:Z33)</f>
      </c>
      <c r="I5" s="52">
        <f>IFERROR(H5/G5,"0")</f>
      </c>
      <c r="J5" s="67">
        <f>IFERROR(1/I5,0)</f>
      </c>
      <c r="K5" s="68">
        <f>1-J5</f>
      </c>
      <c r="L5" s="55">
        <f>SUM(Kings!AF18:AF33)</f>
      </c>
      <c r="M5" s="49">
        <f>L5*J5</f>
      </c>
      <c r="N5" s="56">
        <f>L5*K5</f>
      </c>
      <c r="O5" s="57">
        <f>G5-M5</f>
      </c>
      <c r="P5" s="58">
        <f>O5-N5</f>
      </c>
      <c r="Q5" s="59">
        <f>SUM(Kings!BC18:BC33)</f>
      </c>
      <c r="R5" s="60">
        <f>SUM(Kings!BK18:BK33)</f>
      </c>
      <c r="S5" s="59">
        <f>Q5-R5</f>
      </c>
      <c r="T5" s="49">
        <f>SUM(Kings!AE18:AE33)</f>
      </c>
      <c r="U5" s="61">
        <f>IFERROR(SUM(Kings!BI18:BI33),0)</f>
      </c>
      <c r="V5" s="49">
        <f>IFERROR(G5/B5,"")</f>
      </c>
      <c r="W5" s="69">
        <f>IFERROR(IF(((L5/G5)-1)&lt;0,"-na- ",(L5/G5)-1),0)</f>
      </c>
      <c r="X5" s="70"/>
      <c r="Y5" s="70"/>
      <c r="Z5" s="3"/>
      <c r="AA5" s="49"/>
      <c r="AB5" s="3"/>
      <c r="AC5" s="3"/>
      <c r="AD5" s="3"/>
      <c r="AE5" s="3"/>
      <c r="AF5" s="12"/>
      <c r="AG5" s="3"/>
    </row>
    <row x14ac:dyDescent="0.25" r="6" customHeight="1" ht="17.25">
      <c r="A6" s="5" t="s">
        <v>47</v>
      </c>
      <c r="B6" s="48">
        <f>COUNT(Kings!A34:A46)</f>
      </c>
      <c r="C6" s="49">
        <f>SUM(Kings!T34:T46)</f>
      </c>
      <c r="D6" s="49">
        <f>SUM(Kings!U34:U46)</f>
      </c>
      <c r="E6" s="50">
        <f>SUM(Kings!Q34:Q46)</f>
      </c>
      <c r="F6" s="51">
        <f>SUM(Kings!W34:W46)</f>
      </c>
      <c r="G6" s="49">
        <f>SUM(Kings!X34:X46)</f>
      </c>
      <c r="H6" s="49">
        <f>SUM(Kings!Z34:Z46)</f>
      </c>
      <c r="I6" s="52">
        <f>IFERROR(H6/G6,"0")</f>
      </c>
      <c r="J6" s="67">
        <f>IFERROR(1/I6,0)</f>
      </c>
      <c r="K6" s="68">
        <f>1-J6</f>
      </c>
      <c r="L6" s="55">
        <f>SUM(Kings!AF34:AF46)</f>
      </c>
      <c r="M6" s="49">
        <f>L6*J6</f>
      </c>
      <c r="N6" s="56">
        <f>L6*K6</f>
      </c>
      <c r="O6" s="57">
        <f>G6-M6</f>
      </c>
      <c r="P6" s="58">
        <f>O6-N6</f>
      </c>
      <c r="Q6" s="59">
        <f>SUM(Kings!BC34:BC46)</f>
      </c>
      <c r="R6" s="60">
        <f>SUM(Kings!BK34:BK46)</f>
      </c>
      <c r="S6" s="59">
        <f>Q6-R6</f>
      </c>
      <c r="T6" s="49">
        <f>SUM(Kings!AE34:AE46)</f>
      </c>
      <c r="U6" s="61">
        <f>IFERROR(SUM(Kings!BI34:BI46),0)</f>
      </c>
      <c r="V6" s="49">
        <f>IFERROR(G6/B6,"")</f>
      </c>
      <c r="W6" s="69">
        <f>IFERROR(IF(((L6/G6)-1)&lt;0,"-na- ",(L6/G6)-1),0)</f>
      </c>
      <c r="X6" s="70"/>
      <c r="Y6" s="70"/>
      <c r="Z6" s="47"/>
      <c r="AA6" s="49"/>
      <c r="AB6" s="47"/>
      <c r="AC6" s="47"/>
      <c r="AD6" s="47"/>
      <c r="AE6" s="47"/>
      <c r="AF6" s="12"/>
      <c r="AG6" s="47"/>
    </row>
    <row x14ac:dyDescent="0.25" r="7" customHeight="1" ht="17.25">
      <c r="A7" s="5" t="s">
        <v>48</v>
      </c>
      <c r="B7" s="48">
        <f>COUNT(Kings!A47:A57)</f>
      </c>
      <c r="C7" s="49">
        <f>SUM(Kings!T47:T57)</f>
      </c>
      <c r="D7" s="49">
        <f>SUM(Kings!U47:U57)</f>
      </c>
      <c r="E7" s="50">
        <f>SUM(Kings!Q47:Q57)</f>
      </c>
      <c r="F7" s="51">
        <f>SUM(Kings!W47:W57)</f>
      </c>
      <c r="G7" s="49">
        <f>SUM(Kings!X47:X57)</f>
      </c>
      <c r="H7" s="49">
        <f>SUM(Kings!Z47:Z57)</f>
      </c>
      <c r="I7" s="52">
        <f>IFERROR(H7/G7,"0")</f>
      </c>
      <c r="J7" s="67">
        <f>IFERROR(1/I7,0)</f>
      </c>
      <c r="K7" s="68">
        <f>1-J7</f>
      </c>
      <c r="L7" s="55">
        <f>SUM(Kings!AF47:AF57)</f>
      </c>
      <c r="M7" s="49">
        <f>L7*J7</f>
      </c>
      <c r="N7" s="56">
        <f>L7*K7</f>
      </c>
      <c r="O7" s="57">
        <f>G7-M7</f>
      </c>
      <c r="P7" s="58">
        <f>O7-N7</f>
      </c>
      <c r="Q7" s="59">
        <f>SUM(Kings!BC47:BC57)</f>
      </c>
      <c r="R7" s="60">
        <f>SUM(Kings!BK47:BK57)</f>
      </c>
      <c r="S7" s="59">
        <f>Q7-R7</f>
      </c>
      <c r="T7" s="49">
        <f>SUM(Kings!AE47:AE57)</f>
      </c>
      <c r="U7" s="61">
        <f>IFERROR(SUM(Kings!BI47:BI57),0)</f>
      </c>
      <c r="V7" s="49">
        <f>IFERROR(G7/B7,"")</f>
      </c>
      <c r="W7" s="69">
        <f>IFERROR(IF(((L7/G7)-1)&lt;0,"-na- ",(L7/G7)-1),0)</f>
      </c>
      <c r="X7" s="70"/>
      <c r="Y7" s="70"/>
      <c r="Z7" s="47"/>
      <c r="AA7" s="49"/>
      <c r="AB7" s="47"/>
      <c r="AC7" s="47"/>
      <c r="AD7" s="47"/>
      <c r="AE7" s="47"/>
      <c r="AF7" s="12"/>
      <c r="AG7" s="47"/>
    </row>
    <row x14ac:dyDescent="0.25" r="8" customHeight="1" ht="17.25">
      <c r="A8" s="5" t="s">
        <v>49</v>
      </c>
      <c r="B8" s="48">
        <f>COUNT(Kings!A58:A70)</f>
      </c>
      <c r="C8" s="49">
        <f>SUM(Kings!T58:T70)</f>
      </c>
      <c r="D8" s="49">
        <f>SUM(Kings!U58:U70)</f>
      </c>
      <c r="E8" s="50">
        <f>SUM(Kings!Q58:Q70)</f>
      </c>
      <c r="F8" s="51">
        <f>SUM(Kings!W58:W70)</f>
      </c>
      <c r="G8" s="49">
        <f>SUM(Kings!X58:X70)</f>
      </c>
      <c r="H8" s="49">
        <f>SUM(Kings!Z58:Z70)</f>
      </c>
      <c r="I8" s="52">
        <f>IFERROR(H8/G8,"0")</f>
      </c>
      <c r="J8" s="67">
        <f>IFERROR(1/I8,0)</f>
      </c>
      <c r="K8" s="68">
        <f>1-J8</f>
      </c>
      <c r="L8" s="55">
        <f>SUM(Kings!AF58:AF70)</f>
      </c>
      <c r="M8" s="49">
        <f>L8*J8</f>
      </c>
      <c r="N8" s="56">
        <f>L8*K8</f>
      </c>
      <c r="O8" s="57">
        <f>G8-M8</f>
      </c>
      <c r="P8" s="58">
        <f>O8-N8</f>
      </c>
      <c r="Q8" s="59">
        <f>SUM(Kings!BC58:BC70)</f>
      </c>
      <c r="R8" s="60">
        <f>SUM(Kings!BK58:BK70)</f>
      </c>
      <c r="S8" s="59">
        <f>Q8-R8</f>
      </c>
      <c r="T8" s="49">
        <f>SUM(Kings!AE58:AE70)</f>
      </c>
      <c r="U8" s="61">
        <f>IFERROR(SUM(Kings!BI58:BI70),0)</f>
      </c>
      <c r="V8" s="49">
        <f>IFERROR(G8/B8,"")</f>
      </c>
      <c r="W8" s="69">
        <f>IFERROR(IF(((L8/G8)-1)&lt;0,"-na- ",(L8/G8)-1),0)</f>
      </c>
      <c r="X8" s="70"/>
      <c r="Y8" s="70"/>
      <c r="Z8" s="47"/>
      <c r="AA8" s="49"/>
      <c r="AB8" s="47"/>
      <c r="AC8" s="47"/>
      <c r="AD8" s="47"/>
      <c r="AE8" s="47"/>
      <c r="AF8" s="12"/>
      <c r="AG8" s="47"/>
    </row>
    <row x14ac:dyDescent="0.25" r="9" customHeight="1" ht="17.25">
      <c r="A9" s="5"/>
      <c r="B9" s="70"/>
      <c r="C9" s="49"/>
      <c r="D9" s="49"/>
      <c r="E9" s="71"/>
      <c r="F9" s="72"/>
      <c r="G9" s="49"/>
      <c r="H9" s="49"/>
      <c r="I9" s="71"/>
      <c r="J9" s="63"/>
      <c r="K9" s="72"/>
      <c r="L9" s="55"/>
      <c r="M9" s="49">
        <f>L9*J9</f>
      </c>
      <c r="N9" s="56">
        <f>L9*K9</f>
      </c>
      <c r="O9" s="57">
        <f>G9-M9</f>
      </c>
      <c r="P9" s="58">
        <f>O9-N9</f>
      </c>
      <c r="Q9" s="59"/>
      <c r="R9" s="73"/>
      <c r="S9" s="59">
        <f>Q9-R9</f>
      </c>
      <c r="T9" s="63"/>
      <c r="U9" s="3"/>
      <c r="V9" s="63"/>
      <c r="W9" s="14"/>
      <c r="X9" s="66"/>
      <c r="Y9" s="66"/>
      <c r="Z9" s="3"/>
      <c r="AA9" s="66"/>
      <c r="AB9" s="3"/>
      <c r="AC9" s="3"/>
      <c r="AD9" s="3"/>
      <c r="AE9" s="3"/>
      <c r="AF9" s="3"/>
      <c r="AG9" s="3"/>
    </row>
    <row x14ac:dyDescent="0.25" r="10" customHeight="1" ht="17.25">
      <c r="A10" s="5" t="s">
        <v>50</v>
      </c>
      <c r="B10" s="48">
        <f>SUM(B3:B9)</f>
      </c>
      <c r="C10" s="49">
        <f>SUM(C3:C9)</f>
      </c>
      <c r="D10" s="49">
        <f>SUM(D3:D9)</f>
      </c>
      <c r="E10" s="74">
        <f>SUM(E3:E9)</f>
      </c>
      <c r="F10" s="75">
        <f>SUM(F3:F9)</f>
      </c>
      <c r="G10" s="49">
        <f>SUM(G3:G9)</f>
      </c>
      <c r="H10" s="49">
        <f>SUM(H3:H9)</f>
      </c>
      <c r="I10" s="76">
        <f>H10/G10</f>
      </c>
      <c r="J10" s="77"/>
      <c r="K10" s="75"/>
      <c r="L10" s="78">
        <f>SUM(L3:L9)</f>
      </c>
      <c r="M10" s="79">
        <f>SUM(M3:M9)</f>
      </c>
      <c r="N10" s="80">
        <f>SUM(N3:N9)</f>
      </c>
      <c r="O10" s="81">
        <f>SUM(O3:O9)</f>
      </c>
      <c r="P10" s="81">
        <f>SUM(P3:P9)</f>
      </c>
      <c r="Q10" s="82">
        <f>SUM(Q3:Q9)</f>
      </c>
      <c r="R10" s="83">
        <f>SUM(R3:R9)</f>
      </c>
      <c r="S10" s="82">
        <f>SUM(S3:S9)</f>
      </c>
      <c r="T10" s="63">
        <f>SUM(T3:T9)</f>
      </c>
      <c r="U10" s="64">
        <f>AVERAGEIF(U3:U9,"&lt;&gt;0")</f>
      </c>
      <c r="V10" s="63">
        <f>G10/B10</f>
      </c>
      <c r="W10" s="14"/>
      <c r="X10" s="66"/>
      <c r="Y10" s="66"/>
      <c r="Z10" s="3"/>
      <c r="AA10" s="66"/>
      <c r="AB10" s="3"/>
      <c r="AC10" s="3"/>
      <c r="AD10" s="3"/>
      <c r="AE10" s="18">
        <f>MEDIAN(Kings!X3:X50)</f>
      </c>
      <c r="AF10" s="16">
        <f>MEDIAN(Kings!G3:G57)</f>
      </c>
      <c r="AG10" s="16">
        <f>AVERAGE(Kings!G3:G57)</f>
      </c>
    </row>
    <row x14ac:dyDescent="0.25" r="11" customHeight="1" ht="17.25">
      <c r="A11" s="5"/>
      <c r="B11" s="3"/>
      <c r="C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4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x14ac:dyDescent="0.25" r="12" customHeight="1" ht="17.25">
      <c r="A12" s="84" t="s">
        <v>51</v>
      </c>
      <c r="B12" s="84"/>
      <c r="C12" s="84"/>
      <c r="D12" s="85">
        <f>D13/D14</f>
      </c>
      <c r="E12" s="8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4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x14ac:dyDescent="0.25" r="13" customHeight="1" ht="17.25">
      <c r="A13" s="5" t="s">
        <v>52</v>
      </c>
      <c r="B13" s="3"/>
      <c r="C13" s="3"/>
      <c r="D13" s="1">
        <f>S10</f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4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x14ac:dyDescent="0.25" r="14" customHeight="1" ht="17.25">
      <c r="A14" s="5" t="s">
        <v>53</v>
      </c>
      <c r="B14" s="3"/>
      <c r="C14" s="3"/>
      <c r="D14" s="1">
        <f>C10</f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4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x14ac:dyDescent="0.25" r="15" customHeight="1" ht="17.25">
      <c r="A15" s="5"/>
      <c r="B15" s="3"/>
      <c r="C15" s="3"/>
      <c r="D15" s="2"/>
      <c r="E15" s="3"/>
      <c r="F15" s="3"/>
      <c r="G15" s="3"/>
      <c r="H15" s="86"/>
      <c r="I15" s="86"/>
      <c r="J15" s="86"/>
      <c r="K15" s="8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4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x14ac:dyDescent="0.25" r="16" customHeight="1" ht="17.25">
      <c r="A16" s="5"/>
      <c r="B16" s="3"/>
      <c r="C16" s="3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4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x14ac:dyDescent="0.25" r="17" customHeight="1" ht="17.25">
      <c r="A17" s="87" t="s">
        <v>54</v>
      </c>
      <c r="B17" s="3"/>
      <c r="C17" s="3"/>
      <c r="D17" s="85">
        <f>D18/D19</f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4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x14ac:dyDescent="0.25" r="18" customHeight="1" ht="17.25">
      <c r="A18" s="87" t="s">
        <v>55</v>
      </c>
      <c r="B18" s="3"/>
      <c r="C18" s="3"/>
      <c r="D18" s="1">
        <f>D13+L10</f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4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x14ac:dyDescent="0.25" r="19" customHeight="1" ht="17.25">
      <c r="A19" s="87" t="s">
        <v>56</v>
      </c>
      <c r="B19" s="3"/>
      <c r="C19" s="3"/>
      <c r="D19" s="1">
        <f>D14</f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4"/>
      <c r="X19" s="3"/>
      <c r="Y19" s="3"/>
      <c r="Z19" s="3"/>
      <c r="AA19" s="3"/>
      <c r="AB19" s="3"/>
      <c r="AC19" s="3"/>
      <c r="AD19" s="3"/>
      <c r="AE19" s="3"/>
      <c r="AF19" s="3"/>
      <c r="AG19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8"/>
  <sheetViews>
    <sheetView workbookViewId="0"/>
  </sheetViews>
  <sheetFormatPr defaultRowHeight="15" x14ac:dyDescent="0.25"/>
  <cols>
    <col min="1" max="1" style="27" width="28.576428571428572" customWidth="1" bestFit="1"/>
    <col min="2" max="2" style="21" width="12.43357142857143" customWidth="1" bestFit="1" hidden="1"/>
    <col min="3" max="3" style="21" width="15.576428571428572" customWidth="1" bestFit="1"/>
    <col min="4" max="4" style="28" width="11.290714285714287" customWidth="1" bestFit="1"/>
    <col min="5" max="5" style="21" width="12.576428571428572" customWidth="1" bestFit="1"/>
    <col min="6" max="6" style="21" width="12.576428571428572" customWidth="1" bestFit="1"/>
    <col min="7" max="7" style="22" width="11.862142857142858" customWidth="1" bestFit="1"/>
    <col min="8" max="8" style="21" width="17.290714285714284" customWidth="1" bestFit="1"/>
    <col min="9" max="9" style="21" width="17.290714285714284" customWidth="1" bestFit="1"/>
    <col min="10" max="10" style="22" width="12.43357142857143" customWidth="1" bestFit="1"/>
    <col min="11" max="11" style="27" width="28.576428571428572" customWidth="1" bestFit="1"/>
    <col min="12" max="12" style="28" width="11.147857142857141" customWidth="1" bestFit="1"/>
    <col min="13" max="13" style="22" width="12.43357142857143" customWidth="1" bestFit="1"/>
    <col min="14" max="14" style="21" width="11.862142857142858" customWidth="1" bestFit="1"/>
  </cols>
  <sheetData>
    <row x14ac:dyDescent="0.25" r="1" customHeight="1" ht="17.25">
      <c r="A1" s="1"/>
      <c r="B1" s="3"/>
      <c r="C1" s="3"/>
      <c r="D1" s="1"/>
      <c r="E1" s="3"/>
      <c r="F1" s="3"/>
      <c r="G1" s="4"/>
      <c r="H1" s="3"/>
      <c r="I1" s="3"/>
      <c r="J1" s="4"/>
      <c r="K1" s="1"/>
      <c r="L1" s="1"/>
      <c r="M1" s="4"/>
      <c r="N1" s="3"/>
    </row>
    <row x14ac:dyDescent="0.25" r="2" customHeight="1" ht="17.25">
      <c r="A2" s="23" t="s">
        <v>0</v>
      </c>
      <c r="B2" s="3"/>
      <c r="C2" s="5"/>
      <c r="D2" s="1"/>
      <c r="E2" s="3"/>
      <c r="F2" s="3"/>
      <c r="G2" s="4"/>
      <c r="H2" s="3"/>
      <c r="I2" s="3"/>
      <c r="J2" s="4"/>
      <c r="K2" s="1"/>
      <c r="L2" s="1"/>
      <c r="M2" s="4"/>
      <c r="N2" s="3"/>
    </row>
    <row x14ac:dyDescent="0.25" r="3" customHeight="1" ht="17.25">
      <c r="A3" s="1">
        <v>-1</v>
      </c>
      <c r="B3" s="3"/>
      <c r="C3" s="3"/>
      <c r="D3" s="1"/>
      <c r="E3" s="3"/>
      <c r="F3" s="3"/>
      <c r="G3" s="4"/>
      <c r="H3" s="3"/>
      <c r="I3" s="3"/>
      <c r="J3" s="4"/>
      <c r="K3" s="1"/>
      <c r="L3" s="1"/>
      <c r="M3" s="4"/>
      <c r="N3" s="3"/>
    </row>
    <row x14ac:dyDescent="0.25" r="4" customHeight="1" ht="32" customFormat="1" s="6">
      <c r="A4" s="7"/>
      <c r="B4" s="8" t="s">
        <v>1</v>
      </c>
      <c r="C4" s="8" t="s">
        <v>12</v>
      </c>
      <c r="D4" s="24" t="s">
        <v>13</v>
      </c>
      <c r="E4" s="9" t="s">
        <v>4</v>
      </c>
      <c r="F4" s="10" t="s">
        <v>5</v>
      </c>
      <c r="G4" s="4"/>
      <c r="H4" s="4"/>
      <c r="I4" s="4"/>
      <c r="J4" s="4"/>
      <c r="K4" s="7"/>
      <c r="L4" s="7"/>
      <c r="M4" s="4"/>
      <c r="N4" s="4"/>
    </row>
    <row x14ac:dyDescent="0.25" r="5" customHeight="1" ht="17.25">
      <c r="A5" s="11">
        <v>25568.79196759259</v>
      </c>
      <c r="B5" s="1">
        <f>E5*A$3</f>
      </c>
      <c r="C5" s="1"/>
      <c r="D5" s="1"/>
      <c r="E5" s="1"/>
      <c r="F5" s="12">
        <f>IF(ISBLANK(B5),D5,B5)</f>
      </c>
      <c r="G5" s="4"/>
      <c r="H5" s="3" t="s">
        <v>6</v>
      </c>
      <c r="I5" s="13">
        <f>XIRR</f>
      </c>
      <c r="J5" s="4"/>
      <c r="K5" s="25"/>
      <c r="L5" s="1"/>
      <c r="M5" s="4"/>
      <c r="N5" s="3"/>
    </row>
    <row x14ac:dyDescent="0.25" r="6" customHeight="1" ht="17.25">
      <c r="A6" s="11">
        <v>25568.79196759259</v>
      </c>
      <c r="B6" s="1">
        <f>E6*A$3</f>
      </c>
      <c r="C6" s="1"/>
      <c r="D6" s="1"/>
      <c r="E6" s="1">
        <f>SUM(BHB!X3+Kings!X3+CV!X3)</f>
      </c>
      <c r="F6" s="12">
        <f>IF(ISBLANK(B6),D6,B6)</f>
      </c>
      <c r="G6" s="4"/>
      <c r="H6" s="3"/>
      <c r="I6" s="14"/>
      <c r="J6" s="4"/>
      <c r="K6" s="25"/>
      <c r="L6" s="1"/>
      <c r="M6" s="4"/>
      <c r="N6" s="3"/>
    </row>
    <row x14ac:dyDescent="0.25" r="7" customHeight="1" ht="17.25">
      <c r="A7" s="11">
        <v>25568.79196759259</v>
      </c>
      <c r="B7" s="1">
        <f>E7*A$3</f>
      </c>
      <c r="C7" s="1"/>
      <c r="D7" s="1"/>
      <c r="E7" s="1">
        <f>SUM(BHB!X4)</f>
      </c>
      <c r="F7" s="12">
        <f>IF(ISBLANK(B7),D7,B7)</f>
      </c>
      <c r="G7" s="4"/>
      <c r="H7" s="3"/>
      <c r="I7" s="3"/>
      <c r="J7" s="4"/>
      <c r="K7" s="25"/>
      <c r="L7" s="1"/>
      <c r="M7" s="4"/>
      <c r="N7" s="3"/>
    </row>
    <row x14ac:dyDescent="0.25" r="8" customHeight="1" ht="17.25">
      <c r="A8" s="11">
        <v>25568.79196759259</v>
      </c>
      <c r="B8" s="1">
        <f>E8*A$3</f>
      </c>
      <c r="C8" s="1">
        <f>SUM(B6:C7)</f>
      </c>
      <c r="D8" s="1">
        <v>-13695</v>
      </c>
      <c r="E8" s="1">
        <f>SUM(BHB!X5+Kings!X4+CV!X4)</f>
      </c>
      <c r="F8" s="12">
        <f>IF(ISBLANK(B8),D8,B8)</f>
      </c>
      <c r="G8" s="4"/>
      <c r="H8" s="3" t="s">
        <v>7</v>
      </c>
      <c r="I8" s="15">
        <f>SUM(B6:B94)</f>
      </c>
      <c r="J8" s="4"/>
      <c r="K8" s="11">
        <v>25568.79196759259</v>
      </c>
      <c r="L8" s="1">
        <v>-13695</v>
      </c>
      <c r="M8" s="4"/>
      <c r="N8" s="26">
        <f>XIRR(L8:L45,K8:K45)</f>
      </c>
    </row>
    <row x14ac:dyDescent="0.25" r="9" customHeight="1" ht="17.25">
      <c r="A9" s="11">
        <v>25568.79196759259</v>
      </c>
      <c r="B9" s="1">
        <f>E9*A$3</f>
      </c>
      <c r="C9" s="1"/>
      <c r="D9" s="1"/>
      <c r="E9" s="1">
        <f>SUM(CV!X5:X6)</f>
      </c>
      <c r="F9" s="12">
        <f>IF(ISBLANK(B9),D9,B9)</f>
      </c>
      <c r="G9" s="4"/>
      <c r="H9" s="3" t="s">
        <v>8</v>
      </c>
      <c r="I9" s="1">
        <f>SUM(D6:D94)</f>
      </c>
      <c r="J9" s="4"/>
      <c r="K9" s="11">
        <v>25568.79196759259</v>
      </c>
      <c r="L9" s="1">
        <v>-52340</v>
      </c>
      <c r="M9" s="4"/>
      <c r="N9" s="3"/>
    </row>
    <row x14ac:dyDescent="0.25" r="10" customHeight="1" ht="17.25">
      <c r="A10" s="11">
        <v>25568.79196759259</v>
      </c>
      <c r="B10" s="1">
        <f>E10*A$3</f>
      </c>
      <c r="C10" s="1"/>
      <c r="D10" s="1"/>
      <c r="E10" s="1"/>
      <c r="F10" s="12">
        <f>IF(ISBLANK(B10),D10,B10)</f>
      </c>
      <c r="G10" s="4"/>
      <c r="H10" s="3" t="s">
        <v>9</v>
      </c>
      <c r="I10" s="1">
        <f>SUM(I8:I9)</f>
      </c>
      <c r="J10" s="4"/>
      <c r="K10" s="11">
        <v>25568.79196759259</v>
      </c>
      <c r="L10" s="1">
        <v>1096.81</v>
      </c>
      <c r="M10" s="4"/>
      <c r="N10" s="3"/>
    </row>
    <row x14ac:dyDescent="0.25" r="11" customHeight="1" ht="17.25">
      <c r="A11" s="11">
        <v>25568.79196759259</v>
      </c>
      <c r="B11" s="1">
        <f>E11*A$3</f>
      </c>
      <c r="C11" s="1"/>
      <c r="D11" s="1"/>
      <c r="E11" s="1">
        <f>SUM(Kings!X6+CV!X7)</f>
      </c>
      <c r="F11" s="12">
        <f>IF(ISBLANK(B11),D11,B11)</f>
      </c>
      <c r="G11" s="4"/>
      <c r="H11" s="3" t="s">
        <v>3</v>
      </c>
      <c r="I11" s="15">
        <f>SUM(#REF!)</f>
      </c>
      <c r="J11" s="4"/>
      <c r="K11" s="11">
        <v>25568.79196759259</v>
      </c>
      <c r="L11" s="1">
        <v>-38757.5</v>
      </c>
      <c r="M11" s="4"/>
      <c r="N11" s="3"/>
    </row>
    <row x14ac:dyDescent="0.25" r="12" customHeight="1" ht="17.25">
      <c r="A12" s="11">
        <v>25568.79196759259</v>
      </c>
      <c r="B12" s="1">
        <f>E12*A$3</f>
      </c>
      <c r="C12" s="1"/>
      <c r="D12" s="1"/>
      <c r="E12" s="1">
        <f>SUM(Kings!X7+CV!X8)</f>
      </c>
      <c r="F12" s="12">
        <f>IF(ISBLANK(B12),D12,B12)</f>
      </c>
      <c r="G12" s="4"/>
      <c r="H12" s="5" t="s">
        <v>10</v>
      </c>
      <c r="I12" s="1">
        <f>SUM(I10:I11)</f>
      </c>
      <c r="J12" s="4"/>
      <c r="K12" s="11">
        <v>25568.79196759259</v>
      </c>
      <c r="L12" s="1">
        <v>2498.73</v>
      </c>
      <c r="M12" s="4"/>
      <c r="N12" s="3"/>
    </row>
    <row x14ac:dyDescent="0.25" r="13" customHeight="1" ht="17.25">
      <c r="A13" s="11">
        <v>25568.79196759259</v>
      </c>
      <c r="B13" s="1">
        <f>E13*A$3</f>
      </c>
      <c r="C13" s="1">
        <f>SUM(B8:B12)</f>
      </c>
      <c r="D13" s="1">
        <v>-52340</v>
      </c>
      <c r="E13" s="1"/>
      <c r="F13" s="12">
        <f>IF(ISBLANK(B13),D13,B13)</f>
      </c>
      <c r="G13" s="4"/>
      <c r="H13" s="5" t="s">
        <v>11</v>
      </c>
      <c r="I13" s="1">
        <f>SUM(F5:F95)</f>
      </c>
      <c r="J13" s="4"/>
      <c r="K13" s="11">
        <v>25568.79196759259</v>
      </c>
      <c r="L13" s="1">
        <v>-20870</v>
      </c>
      <c r="M13" s="4"/>
      <c r="N13" s="3"/>
    </row>
    <row x14ac:dyDescent="0.25" r="14" customHeight="1" ht="17.25">
      <c r="A14" s="11">
        <v>25568.79196759259</v>
      </c>
      <c r="B14" s="1">
        <f>E14*A$3</f>
      </c>
      <c r="C14" s="1"/>
      <c r="D14" s="1"/>
      <c r="E14" s="1">
        <f>SUM(Kings!X8+CV!X9)</f>
      </c>
      <c r="F14" s="12">
        <f>IF(ISBLANK(B14),D14,B14)</f>
      </c>
      <c r="G14" s="4"/>
      <c r="H14" s="3"/>
      <c r="I14" s="3"/>
      <c r="J14" s="4"/>
      <c r="K14" s="11">
        <v>25568.79196759259</v>
      </c>
      <c r="L14" s="1">
        <v>3497.34</v>
      </c>
      <c r="M14" s="4"/>
      <c r="N14" s="3"/>
    </row>
    <row x14ac:dyDescent="0.25" r="15" customHeight="1" ht="17.25">
      <c r="A15" s="11">
        <v>25568.79196759259</v>
      </c>
      <c r="B15" s="1">
        <f>E15*A$3</f>
      </c>
      <c r="C15" s="1"/>
      <c r="D15" s="1"/>
      <c r="E15" s="1">
        <f>SUM(BHB!X6:X7)</f>
      </c>
      <c r="F15" s="12">
        <f>IF(ISBLANK(B15),D15,B15)</f>
      </c>
      <c r="G15" s="4"/>
      <c r="H15" s="3"/>
      <c r="I15" s="3"/>
      <c r="J15" s="4"/>
      <c r="K15" s="11">
        <v>25568.79196759259</v>
      </c>
      <c r="L15" s="1">
        <v>-23390</v>
      </c>
      <c r="M15" s="4"/>
      <c r="N15" s="3"/>
    </row>
    <row x14ac:dyDescent="0.25" r="16" customHeight="1" ht="17.25">
      <c r="A16" s="11">
        <v>25568.79196759259</v>
      </c>
      <c r="B16" s="1">
        <f>E16*A$3</f>
      </c>
      <c r="C16" s="1"/>
      <c r="D16" s="1"/>
      <c r="E16" s="1">
        <f>SUM(Kings!X9)</f>
      </c>
      <c r="F16" s="12">
        <f>IF(ISBLANK(B16),D16,B16)</f>
      </c>
      <c r="G16" s="4"/>
      <c r="H16" s="3"/>
      <c r="I16" s="3"/>
      <c r="J16" s="4"/>
      <c r="K16" s="11">
        <v>25568.79196759259</v>
      </c>
      <c r="L16" s="1">
        <v>4013.93</v>
      </c>
      <c r="M16" s="4"/>
      <c r="N16" s="3"/>
    </row>
    <row x14ac:dyDescent="0.25" r="17" customHeight="1" ht="17.25">
      <c r="A17" s="11">
        <v>25568.79196759259</v>
      </c>
      <c r="B17" s="1">
        <f>E17*A$3</f>
      </c>
      <c r="C17" s="1">
        <f>RTR!B8</f>
      </c>
      <c r="D17" s="1">
        <v>1096.81</v>
      </c>
      <c r="E17" s="1">
        <f>SUM(BHB!X8+Kings!X10+CV!X10)</f>
      </c>
      <c r="F17" s="12">
        <f>IF(ISBLANK(B17),D17,B17)</f>
      </c>
      <c r="G17" s="4"/>
      <c r="H17" s="3"/>
      <c r="I17" s="3"/>
      <c r="J17" s="4"/>
      <c r="K17" s="11">
        <v>25568.79196759259</v>
      </c>
      <c r="L17" s="1">
        <v>5127.209999999999</v>
      </c>
      <c r="M17" s="4"/>
      <c r="N17" s="3"/>
    </row>
    <row x14ac:dyDescent="0.25" r="18" customHeight="1" ht="17.25">
      <c r="A18" s="11">
        <v>25568.79196759259</v>
      </c>
      <c r="B18" s="1"/>
      <c r="C18" s="1">
        <f>SUM(B13:B17)</f>
      </c>
      <c r="D18" s="1">
        <v>-38757.5</v>
      </c>
      <c r="E18" s="1"/>
      <c r="F18" s="12">
        <f>IF(ISBLANK(B18),D18,B18)</f>
      </c>
      <c r="G18" s="4"/>
      <c r="H18" s="3"/>
      <c r="I18" s="3"/>
      <c r="J18" s="4"/>
      <c r="K18" s="11">
        <v>25568.79196759259</v>
      </c>
      <c r="L18" s="1">
        <v>-19630</v>
      </c>
      <c r="M18" s="4"/>
      <c r="N18" s="3"/>
    </row>
    <row x14ac:dyDescent="0.25" r="19" customHeight="1" ht="17.25">
      <c r="A19" s="11">
        <v>25568.79196759259</v>
      </c>
      <c r="B19" s="1">
        <f>E19*A$3</f>
      </c>
      <c r="C19" s="1"/>
      <c r="D19" s="1"/>
      <c r="E19" s="1"/>
      <c r="F19" s="12">
        <f>IF(ISBLANK(B19),D19,B19)</f>
      </c>
      <c r="G19" s="4"/>
      <c r="H19" s="3"/>
      <c r="I19" s="3"/>
      <c r="J19" s="4"/>
      <c r="K19" s="11">
        <v>25568.79196759259</v>
      </c>
      <c r="L19" s="1">
        <v>5753.429999999999</v>
      </c>
      <c r="M19" s="4"/>
      <c r="N19" s="3"/>
    </row>
    <row x14ac:dyDescent="0.25" r="20" customHeight="1" ht="17.25">
      <c r="A20" s="11">
        <v>25568.79196759259</v>
      </c>
      <c r="B20" s="1">
        <f>E20*A$3</f>
      </c>
      <c r="C20" s="1"/>
      <c r="D20" s="1"/>
      <c r="E20" s="1">
        <f>SUM(BHB!X9+CV!X11)</f>
      </c>
      <c r="F20" s="12">
        <f>IF(ISBLANK(B20),D20,B20)</f>
      </c>
      <c r="G20" s="4"/>
      <c r="H20" s="3"/>
      <c r="I20" s="3"/>
      <c r="J20" s="4"/>
      <c r="K20" s="11">
        <v>25568.79196759259</v>
      </c>
      <c r="L20" s="1">
        <v>-41270</v>
      </c>
      <c r="M20" s="4"/>
      <c r="N20" s="3"/>
    </row>
    <row x14ac:dyDescent="0.25" r="21" customHeight="1" ht="17.25">
      <c r="A21" s="11">
        <v>25568.79196759259</v>
      </c>
      <c r="B21" s="1">
        <f>E21*A$3</f>
      </c>
      <c r="C21" s="1"/>
      <c r="D21" s="1"/>
      <c r="E21" s="1"/>
      <c r="F21" s="12">
        <f>IF(ISBLANK(B21),D21,B21)</f>
      </c>
      <c r="G21" s="4"/>
      <c r="H21" s="3"/>
      <c r="I21" s="3"/>
      <c r="J21" s="4"/>
      <c r="K21" s="11">
        <v>25568.79196759259</v>
      </c>
      <c r="L21" s="1">
        <v>6046.41</v>
      </c>
      <c r="M21" s="4"/>
      <c r="N21" s="3"/>
    </row>
    <row x14ac:dyDescent="0.25" r="22" customHeight="1" ht="17.25">
      <c r="A22" s="11">
        <v>25568.79196759259</v>
      </c>
      <c r="B22" s="1">
        <f>E22*A$3</f>
      </c>
      <c r="C22" s="1">
        <f>RTR!C8</f>
      </c>
      <c r="D22" s="1">
        <v>2498.73</v>
      </c>
      <c r="E22" s="1">
        <f>SUM(Kings!X11)</f>
      </c>
      <c r="F22" s="12">
        <f>IF(ISBLANK(B22),D22,B22)</f>
      </c>
      <c r="G22" s="4"/>
      <c r="H22" s="3"/>
      <c r="I22" s="3"/>
      <c r="J22" s="4"/>
      <c r="K22" s="11">
        <v>25568.79196759259</v>
      </c>
      <c r="L22" s="1">
        <v>-31930</v>
      </c>
      <c r="M22" s="4"/>
      <c r="N22" s="3"/>
    </row>
    <row x14ac:dyDescent="0.25" r="23" customHeight="1" ht="17.25">
      <c r="A23" s="11">
        <v>25568.79196759259</v>
      </c>
      <c r="B23" s="1"/>
      <c r="C23" s="1">
        <f>SUM(B18:B22)</f>
      </c>
      <c r="D23" s="1">
        <v>-20870</v>
      </c>
      <c r="E23" s="1"/>
      <c r="F23" s="12">
        <f>IF(ISBLANK(B23),D23,B23)</f>
      </c>
      <c r="G23" s="4"/>
      <c r="H23" s="3"/>
      <c r="I23" s="3"/>
      <c r="J23" s="4"/>
      <c r="K23" s="11">
        <v>25568.79196759259</v>
      </c>
      <c r="L23" s="1">
        <v>7724.15</v>
      </c>
      <c r="M23" s="4"/>
      <c r="N23" s="3"/>
    </row>
    <row x14ac:dyDescent="0.25" r="24" customHeight="1" ht="17.25">
      <c r="A24" s="11">
        <v>25568.79196759259</v>
      </c>
      <c r="B24" s="1">
        <f>E24*A$3</f>
      </c>
      <c r="C24" s="1"/>
      <c r="D24" s="1"/>
      <c r="E24" s="1"/>
      <c r="F24" s="12">
        <f>IF(ISBLANK(B24),D24,B24)</f>
      </c>
      <c r="G24" s="4"/>
      <c r="H24" s="3"/>
      <c r="I24" s="3"/>
      <c r="J24" s="4"/>
      <c r="K24" s="11">
        <v>25568.79196759259</v>
      </c>
      <c r="L24" s="1">
        <v>-50940</v>
      </c>
      <c r="M24" s="4"/>
      <c r="N24" s="3"/>
    </row>
    <row x14ac:dyDescent="0.25" r="25" customHeight="1" ht="17.25">
      <c r="A25" s="11">
        <v>25568.79196759259</v>
      </c>
      <c r="B25" s="1">
        <f>E25*A$3</f>
      </c>
      <c r="C25" s="1"/>
      <c r="D25" s="1"/>
      <c r="E25" s="1">
        <f>SUM(BHB!T10+Kings!T12+CV!T12)</f>
      </c>
      <c r="F25" s="12">
        <f>IF(ISBLANK(B25),D25,B25)</f>
      </c>
      <c r="G25" s="4"/>
      <c r="H25" s="3"/>
      <c r="I25" s="3"/>
      <c r="J25" s="4"/>
      <c r="K25" s="11">
        <v>25568.79196759259</v>
      </c>
      <c r="L25" s="1">
        <v>6235.08</v>
      </c>
      <c r="M25" s="4"/>
      <c r="N25" s="3"/>
    </row>
    <row x14ac:dyDescent="0.25" r="26" customHeight="1" ht="17.25">
      <c r="A26" s="11">
        <v>25568.79196759259</v>
      </c>
      <c r="B26" s="1">
        <f>E26*A$3</f>
      </c>
      <c r="C26" s="1"/>
      <c r="D26" s="1"/>
      <c r="E26" s="1"/>
      <c r="F26" s="12">
        <f>IF(ISBLANK(B26),D26,B26)</f>
      </c>
      <c r="G26" s="4"/>
      <c r="H26" s="3"/>
      <c r="I26" s="3"/>
      <c r="J26" s="4"/>
      <c r="K26" s="11">
        <v>25568.79196759259</v>
      </c>
      <c r="L26" s="1">
        <v>-122802.5</v>
      </c>
      <c r="M26" s="4"/>
      <c r="N26" s="3"/>
    </row>
    <row x14ac:dyDescent="0.25" r="27" customHeight="1" ht="17.25">
      <c r="A27" s="11">
        <v>25568.79196759259</v>
      </c>
      <c r="B27" s="1">
        <f>E27*A$3</f>
      </c>
      <c r="C27" s="1">
        <f>RTR!D8</f>
      </c>
      <c r="D27" s="1">
        <v>3497.34</v>
      </c>
      <c r="E27" s="1">
        <f>SUM(BHB!T11)</f>
      </c>
      <c r="F27" s="12">
        <f>IF(ISBLANK(B27),D27,B27)</f>
      </c>
      <c r="G27" s="4"/>
      <c r="H27" s="3"/>
      <c r="I27" s="3"/>
      <c r="J27" s="4"/>
      <c r="K27" s="11">
        <v>25568.79196759259</v>
      </c>
      <c r="L27" s="1">
        <v>14978.17</v>
      </c>
      <c r="M27" s="4"/>
      <c r="N27" s="3"/>
    </row>
    <row x14ac:dyDescent="0.25" r="28" customHeight="1" ht="17.25">
      <c r="A28" s="11">
        <v>25568.79196759259</v>
      </c>
      <c r="B28" s="1"/>
      <c r="C28" s="1">
        <f>SUM(B23:B27)</f>
      </c>
      <c r="D28" s="1">
        <v>-23390</v>
      </c>
      <c r="E28" s="1"/>
      <c r="F28" s="12">
        <f>IF(ISBLANK(B28),D28,B28)</f>
      </c>
      <c r="G28" s="4"/>
      <c r="H28" s="3"/>
      <c r="I28" s="3"/>
      <c r="J28" s="4"/>
      <c r="K28" s="11">
        <v>25568.79196759259</v>
      </c>
      <c r="L28" s="1">
        <v>-42962.5</v>
      </c>
      <c r="M28" s="4"/>
      <c r="N28" s="3"/>
    </row>
    <row x14ac:dyDescent="0.25" r="29" customHeight="1" ht="17.25">
      <c r="A29" s="11">
        <v>25568.79196759259</v>
      </c>
      <c r="B29" s="1">
        <f>E29*A$3</f>
      </c>
      <c r="C29" s="1"/>
      <c r="D29" s="1"/>
      <c r="E29" s="1"/>
      <c r="F29" s="12">
        <f>IF(ISBLANK(B29),D29,B29)</f>
      </c>
      <c r="G29" s="4"/>
      <c r="H29" s="3"/>
      <c r="I29" s="3"/>
      <c r="J29" s="4"/>
      <c r="K29" s="11">
        <v>25568.79196759259</v>
      </c>
      <c r="L29" s="1">
        <v>22817.93</v>
      </c>
      <c r="M29" s="4"/>
      <c r="N29" s="3"/>
    </row>
    <row x14ac:dyDescent="0.25" r="30" customHeight="1" ht="17.25">
      <c r="A30" s="11">
        <v>25568.79196759259</v>
      </c>
      <c r="B30" s="1">
        <f>E30*A$3</f>
      </c>
      <c r="C30" s="1"/>
      <c r="D30" s="1"/>
      <c r="E30" s="1"/>
      <c r="F30" s="12">
        <f>IF(ISBLANK(B30),D30,B30)</f>
      </c>
      <c r="G30" s="4"/>
      <c r="H30" s="3"/>
      <c r="I30" s="3"/>
      <c r="J30" s="4"/>
      <c r="K30" s="11">
        <v>25568.79196759259</v>
      </c>
      <c r="L30" s="1">
        <v>-71672.5</v>
      </c>
      <c r="M30" s="4"/>
      <c r="N30" s="3"/>
    </row>
    <row x14ac:dyDescent="0.25" r="31" customHeight="1" ht="17.25">
      <c r="A31" s="11">
        <v>25568.79196759259</v>
      </c>
      <c r="B31" s="1">
        <f>E31*A$3</f>
      </c>
      <c r="C31" s="1">
        <f>RTR!E8</f>
      </c>
      <c r="D31" s="1">
        <v>4013.93</v>
      </c>
      <c r="E31" s="1"/>
      <c r="F31" s="12">
        <f>IF(ISBLANK(B31),D31,B31)</f>
      </c>
      <c r="G31" s="4"/>
      <c r="H31" s="3"/>
      <c r="I31" s="3"/>
      <c r="J31" s="4"/>
      <c r="K31" s="11">
        <v>25568.79196759259</v>
      </c>
      <c r="L31" s="1">
        <v>19854.52</v>
      </c>
      <c r="M31" s="4"/>
      <c r="N31" s="3"/>
    </row>
    <row x14ac:dyDescent="0.25" r="32" customHeight="1" ht="17.25">
      <c r="A32" s="11">
        <v>25568.79196759259</v>
      </c>
      <c r="B32" s="1"/>
      <c r="C32" s="1">
        <f>SUM(B28:B31)</f>
      </c>
      <c r="D32" s="1">
        <v>0</v>
      </c>
      <c r="E32" s="1"/>
      <c r="F32" s="12">
        <f>IF(ISBLANK(B32),D32,B32)</f>
      </c>
      <c r="G32" s="4"/>
      <c r="H32" s="3"/>
      <c r="I32" s="3"/>
      <c r="J32" s="4"/>
      <c r="K32" s="11">
        <v>25568.79196759259</v>
      </c>
      <c r="L32" s="1">
        <v>-78315</v>
      </c>
      <c r="M32" s="4"/>
      <c r="N32" s="3"/>
    </row>
    <row x14ac:dyDescent="0.25" r="33" customHeight="1" ht="17.25">
      <c r="A33" s="11">
        <v>25568.79196759259</v>
      </c>
      <c r="B33" s="1">
        <f>E33*A$3</f>
      </c>
      <c r="C33" s="1"/>
      <c r="D33" s="1"/>
      <c r="E33" s="1">
        <f>SUM(BHB!T12+CV!T14)</f>
      </c>
      <c r="F33" s="12">
        <f>IF(ISBLANK(B33),D33,B33)</f>
      </c>
      <c r="G33" s="4"/>
      <c r="H33" s="3"/>
      <c r="I33" s="3"/>
      <c r="J33" s="4"/>
      <c r="K33" s="11">
        <v>25568.79196759259</v>
      </c>
      <c r="L33" s="1">
        <v>23304.71</v>
      </c>
      <c r="M33" s="4"/>
      <c r="N33" s="3"/>
    </row>
    <row x14ac:dyDescent="0.25" r="34" customHeight="1" ht="17.25">
      <c r="A34" s="11">
        <v>25568.79196759259</v>
      </c>
      <c r="B34" s="1">
        <f>E34*A$3</f>
      </c>
      <c r="C34" s="1"/>
      <c r="D34" s="1"/>
      <c r="E34" s="1"/>
      <c r="F34" s="12">
        <f>IF(ISBLANK(B34),D34,B34)</f>
      </c>
      <c r="G34" s="4"/>
      <c r="H34" s="3"/>
      <c r="I34" s="3"/>
      <c r="J34" s="4"/>
      <c r="K34" s="11">
        <v>25568.79196759259</v>
      </c>
      <c r="L34" s="1">
        <v>-71025</v>
      </c>
      <c r="M34" s="4"/>
      <c r="N34" s="3"/>
    </row>
    <row x14ac:dyDescent="0.25" r="35" customHeight="1" ht="17.25">
      <c r="A35" s="11">
        <v>25568.79196759259</v>
      </c>
      <c r="B35" s="1">
        <f>E35*A$3</f>
      </c>
      <c r="C35" s="1"/>
      <c r="D35" s="1"/>
      <c r="E35" s="1">
        <f>SUM(BHB!X12,CV!X15)</f>
      </c>
      <c r="F35" s="12">
        <f>IF(ISBLANK(B35),D35,B35)</f>
      </c>
      <c r="G35" s="4"/>
      <c r="H35" s="3"/>
      <c r="I35" s="3"/>
      <c r="J35" s="4"/>
      <c r="K35" s="11">
        <v>25568.79196759259</v>
      </c>
      <c r="L35" s="1">
        <v>23341.86</v>
      </c>
      <c r="M35" s="4"/>
      <c r="N35" s="3"/>
    </row>
    <row x14ac:dyDescent="0.25" r="36" customHeight="1" ht="17.25">
      <c r="A36" s="11">
        <v>25568.79196759259</v>
      </c>
      <c r="B36" s="1">
        <f>E36*A$3</f>
      </c>
      <c r="C36" s="1">
        <f>RTR!F8</f>
      </c>
      <c r="D36" s="1">
        <v>5127.209999999999</v>
      </c>
      <c r="E36" s="1"/>
      <c r="F36" s="12">
        <f>IF(ISBLANK(B36),D36,B36)</f>
      </c>
      <c r="G36" s="4"/>
      <c r="H36" s="3"/>
      <c r="I36" s="3"/>
      <c r="J36" s="4"/>
      <c r="K36" s="11">
        <v>25568.79196759259</v>
      </c>
      <c r="L36" s="1">
        <v>-46680</v>
      </c>
      <c r="M36" s="4"/>
      <c r="N36" s="3"/>
    </row>
    <row x14ac:dyDescent="0.25" r="37" customHeight="1" ht="17.25">
      <c r="A37" s="11">
        <v>25568.79196759259</v>
      </c>
      <c r="B37" s="1">
        <f>E37*A$3</f>
      </c>
      <c r="C37" s="1">
        <f>SUM(B32:B36)</f>
      </c>
      <c r="D37" s="1">
        <v>-19630</v>
      </c>
      <c r="E37" s="1"/>
      <c r="F37" s="12">
        <f>IF(ISBLANK(B37),D37,B37)</f>
      </c>
      <c r="G37" s="4"/>
      <c r="H37" s="3"/>
      <c r="I37" s="3"/>
      <c r="J37" s="4"/>
      <c r="K37" s="11">
        <v>25568.79196759259</v>
      </c>
      <c r="L37" s="1">
        <v>21030.06</v>
      </c>
      <c r="M37" s="4"/>
      <c r="N37" s="3"/>
    </row>
    <row x14ac:dyDescent="0.25" r="38" customHeight="1" ht="17.25">
      <c r="A38" s="11">
        <v>25568.79196759259</v>
      </c>
      <c r="B38" s="1">
        <f>E38*A$3</f>
      </c>
      <c r="C38" s="1"/>
      <c r="D38" s="1"/>
      <c r="E38" s="1">
        <f>SUM(Kings!X14:X15,ACS!X3)</f>
      </c>
      <c r="F38" s="12">
        <f>IF(ISBLANK(B38),D38,B38)</f>
      </c>
      <c r="G38" s="4"/>
      <c r="H38" s="3"/>
      <c r="I38" s="3"/>
      <c r="J38" s="4"/>
      <c r="K38" s="11">
        <v>25568.79196759259</v>
      </c>
      <c r="L38" s="1">
        <v>-50667</v>
      </c>
      <c r="M38" s="4"/>
      <c r="N38" s="3"/>
    </row>
    <row x14ac:dyDescent="0.25" r="39" customHeight="1" ht="17.25">
      <c r="A39" s="11">
        <v>25568.79196759259</v>
      </c>
      <c r="B39" s="1">
        <f>E39*A$3</f>
      </c>
      <c r="C39" s="1"/>
      <c r="D39" s="1"/>
      <c r="E39" s="1"/>
      <c r="F39" s="12">
        <f>IF(ISBLANK(B39),D39,B39)</f>
      </c>
      <c r="G39" s="4"/>
      <c r="H39" s="3"/>
      <c r="I39" s="3"/>
      <c r="J39" s="4"/>
      <c r="K39" s="11">
        <v>25568.79196759259</v>
      </c>
      <c r="L39" s="1">
        <v>26002.76</v>
      </c>
      <c r="M39" s="4"/>
      <c r="N39" s="3"/>
    </row>
    <row x14ac:dyDescent="0.25" r="40" customHeight="1" ht="17.25">
      <c r="A40" s="11">
        <v>25568.79196759259</v>
      </c>
      <c r="B40" s="1">
        <f>E40*A$3</f>
      </c>
      <c r="C40" s="1"/>
      <c r="D40" s="1"/>
      <c r="E40" s="1"/>
      <c r="F40" s="12">
        <f>IF(ISBLANK(B40),D40,B40)</f>
      </c>
      <c r="G40" s="4"/>
      <c r="H40" s="3"/>
      <c r="I40" s="3"/>
      <c r="J40" s="4"/>
      <c r="K40" s="11">
        <v>25568.79196759259</v>
      </c>
      <c r="L40" s="1">
        <v>-147253</v>
      </c>
      <c r="M40" s="4"/>
      <c r="N40" s="3"/>
    </row>
    <row x14ac:dyDescent="0.25" r="41" customHeight="1" ht="17.25">
      <c r="A41" s="11">
        <v>25568.79196759259</v>
      </c>
      <c r="B41" s="1">
        <f>E41*A$3</f>
      </c>
      <c r="C41" s="1">
        <f>RTR!G8</f>
      </c>
      <c r="D41" s="1">
        <v>5753.429999999999</v>
      </c>
      <c r="E41" s="1"/>
      <c r="F41" s="12">
        <f>IF(ISBLANK(B41),D41,B41)</f>
      </c>
      <c r="G41" s="4"/>
      <c r="H41" s="3"/>
      <c r="I41" s="3"/>
      <c r="J41" s="4"/>
      <c r="K41" s="11">
        <v>25568.79196759259</v>
      </c>
      <c r="L41" s="1">
        <v>37047.49000000001</v>
      </c>
      <c r="M41" s="4"/>
      <c r="N41" s="3"/>
    </row>
    <row x14ac:dyDescent="0.25" r="42" customHeight="1" ht="17.25">
      <c r="A42" s="11">
        <v>25568.79196759259</v>
      </c>
      <c r="B42" s="1">
        <f>E42*A$3</f>
      </c>
      <c r="C42" s="1">
        <f>((SUM(ACS!X3)+BHB!X14+SUM(CV!X16:X17)+SUM(Kings!X14:X17)))*-1</f>
      </c>
      <c r="D42" s="1">
        <v>-41270</v>
      </c>
      <c r="E42" s="1"/>
      <c r="F42" s="12">
        <f>IF(ISBLANK(B42),D42,B42)</f>
      </c>
      <c r="G42" s="4"/>
      <c r="H42" s="3"/>
      <c r="I42" s="3"/>
      <c r="J42" s="4"/>
      <c r="K42" s="11">
        <v>25568.79196759259</v>
      </c>
      <c r="L42" s="1">
        <v>-69585</v>
      </c>
      <c r="M42" s="4"/>
      <c r="N42" s="3"/>
    </row>
    <row x14ac:dyDescent="0.25" r="43" customHeight="1" ht="17.25">
      <c r="A43" s="11">
        <v>25568.79196759259</v>
      </c>
      <c r="B43" s="1">
        <f>E43*A$3</f>
      </c>
      <c r="C43" s="1"/>
      <c r="D43" s="1"/>
      <c r="E43" s="1"/>
      <c r="F43" s="12">
        <f>IF(ISBLANK(B43),D43,B43)</f>
      </c>
      <c r="G43" s="4"/>
      <c r="H43" s="3"/>
      <c r="I43" s="3"/>
      <c r="J43" s="4"/>
      <c r="K43" s="11">
        <v>25568.79196759259</v>
      </c>
      <c r="L43" s="1">
        <v>34680.57</v>
      </c>
      <c r="M43" s="4"/>
      <c r="N43" s="3"/>
    </row>
    <row x14ac:dyDescent="0.25" r="44" customHeight="1" ht="17.25">
      <c r="A44" s="11">
        <v>25568.79196759259</v>
      </c>
      <c r="B44" s="1">
        <f>E44*A$3</f>
      </c>
      <c r="C44" s="1"/>
      <c r="D44" s="1"/>
      <c r="E44" s="1"/>
      <c r="F44" s="12">
        <f>IF(ISBLANK(B44),D44,B44)</f>
      </c>
      <c r="G44" s="4"/>
      <c r="H44" s="3"/>
      <c r="I44" s="3"/>
      <c r="J44" s="4"/>
      <c r="K44" s="11">
        <v>25568.79196759259</v>
      </c>
      <c r="L44" s="1">
        <v>-68565</v>
      </c>
      <c r="M44" s="4"/>
      <c r="N44" s="3"/>
    </row>
    <row x14ac:dyDescent="0.25" r="45" customHeight="1" ht="17.25">
      <c r="A45" s="11">
        <v>25568.79196759259</v>
      </c>
      <c r="B45" s="1">
        <f>E45*A$3</f>
      </c>
      <c r="C45" s="1"/>
      <c r="D45" s="1"/>
      <c r="E45" s="1"/>
      <c r="F45" s="12">
        <f>IF(ISBLANK(B45),D45,B45)</f>
      </c>
      <c r="G45" s="4"/>
      <c r="H45" s="3"/>
      <c r="I45" s="3"/>
      <c r="J45" s="4"/>
      <c r="K45" s="11">
        <v>25568.79196759259</v>
      </c>
      <c r="L45" s="1">
        <v>750000</v>
      </c>
      <c r="M45" s="4"/>
      <c r="N45" s="3"/>
    </row>
    <row x14ac:dyDescent="0.25" r="46" customHeight="1" ht="17.25">
      <c r="A46" s="11">
        <v>25568.79196759259</v>
      </c>
      <c r="B46" s="1">
        <f>E46*A$3</f>
      </c>
      <c r="C46" s="1">
        <f>RTR!H8</f>
      </c>
      <c r="D46" s="1">
        <v>6046.41</v>
      </c>
      <c r="E46" s="1"/>
      <c r="F46" s="12">
        <f>IF(ISBLANK(B46),D46,B46)</f>
      </c>
      <c r="G46" s="4"/>
      <c r="H46" s="3"/>
      <c r="I46" s="3"/>
      <c r="J46" s="4"/>
      <c r="K46" s="11">
        <v>25568.79196759259</v>
      </c>
      <c r="L46" s="1"/>
      <c r="M46" s="4"/>
      <c r="N46" s="3"/>
    </row>
    <row x14ac:dyDescent="0.25" r="47" customHeight="1" ht="17.25">
      <c r="A47" s="11">
        <v>25568.79196759259</v>
      </c>
      <c r="B47" s="1">
        <f>E47*A$3</f>
      </c>
      <c r="C47" s="1">
        <f>(SUM(BHB!X15:X17)+CV!X17)*-1</f>
      </c>
      <c r="D47" s="1">
        <v>-31930</v>
      </c>
      <c r="E47" s="1"/>
      <c r="F47" s="12">
        <f>IF(ISBLANK(B47),D47,B47)</f>
      </c>
      <c r="G47" s="4"/>
      <c r="H47" s="3"/>
      <c r="I47" s="3"/>
      <c r="J47" s="4"/>
      <c r="K47" s="11">
        <v>25568.79196759259</v>
      </c>
      <c r="L47" s="1"/>
      <c r="M47" s="4"/>
      <c r="N47" s="3"/>
    </row>
    <row x14ac:dyDescent="0.25" r="48" customHeight="1" ht="17.25">
      <c r="A48" s="11">
        <v>25568.79196759259</v>
      </c>
      <c r="B48" s="1">
        <f>E48*A$3</f>
      </c>
      <c r="C48" s="1"/>
      <c r="D48" s="1"/>
      <c r="E48" s="1"/>
      <c r="F48" s="12">
        <f>IF(ISBLANK(B48),D48,B48)</f>
      </c>
      <c r="G48" s="4"/>
      <c r="H48" s="3"/>
      <c r="I48" s="3"/>
      <c r="J48" s="4"/>
      <c r="K48" s="11">
        <v>25568.79196759259</v>
      </c>
      <c r="L48" s="1"/>
      <c r="M48" s="4"/>
      <c r="N48" s="3"/>
    </row>
    <row x14ac:dyDescent="0.25" r="49" customHeight="1" ht="17.25">
      <c r="A49" s="11">
        <v>25568.79196759259</v>
      </c>
      <c r="B49" s="1">
        <f>E49*A$3</f>
      </c>
      <c r="C49" s="1"/>
      <c r="D49" s="1"/>
      <c r="E49" s="1"/>
      <c r="F49" s="12">
        <f>IF(ISBLANK(B49),D49,B49)</f>
      </c>
      <c r="G49" s="4"/>
      <c r="H49" s="3"/>
      <c r="I49" s="3"/>
      <c r="J49" s="4"/>
      <c r="K49" s="1"/>
      <c r="L49" s="1"/>
      <c r="M49" s="4"/>
      <c r="N49" s="3"/>
    </row>
    <row x14ac:dyDescent="0.25" r="50" customHeight="1" ht="17.25">
      <c r="A50" s="11">
        <v>25568.79196759259</v>
      </c>
      <c r="B50" s="1">
        <f>E50*A$3</f>
      </c>
      <c r="C50" s="1"/>
      <c r="D50" s="1"/>
      <c r="E50" s="1"/>
      <c r="F50" s="12">
        <f>IF(ISBLANK(B50),D50,B50)</f>
      </c>
      <c r="G50" s="4"/>
      <c r="H50" s="3"/>
      <c r="I50" s="3"/>
      <c r="J50" s="4"/>
      <c r="K50" s="1"/>
      <c r="L50" s="1"/>
      <c r="M50" s="4"/>
      <c r="N50" s="3"/>
    </row>
    <row x14ac:dyDescent="0.25" r="51" customHeight="1" ht="17.25">
      <c r="A51" s="11">
        <v>25568.79196759259</v>
      </c>
      <c r="B51" s="1">
        <f>E51*A$3</f>
      </c>
      <c r="C51" s="1">
        <f>RTR!I8</f>
      </c>
      <c r="D51" s="1">
        <v>7724.15</v>
      </c>
      <c r="E51" s="1"/>
      <c r="F51" s="12">
        <f>IF(ISBLANK(B51),D51,B51)</f>
      </c>
      <c r="G51" s="4"/>
      <c r="H51" s="3"/>
      <c r="I51" s="3"/>
      <c r="J51" s="4"/>
      <c r="K51" s="1"/>
      <c r="L51" s="1"/>
      <c r="M51" s="4"/>
      <c r="N51" s="3"/>
    </row>
    <row x14ac:dyDescent="0.25" r="52" customHeight="1" ht="17.25">
      <c r="A52" s="11">
        <v>25568.79196759259</v>
      </c>
      <c r="B52" s="1">
        <f>E52*A$3</f>
      </c>
      <c r="C52" s="1">
        <f>(SUM(BHB!X18:X20)+SUM(CV!X18:X19)+SUM(Kings!X18:X20))*-1</f>
      </c>
      <c r="D52" s="1">
        <v>-50940</v>
      </c>
      <c r="E52" s="1"/>
      <c r="F52" s="12">
        <f>IF(ISBLANK(B52),D52,B52)</f>
      </c>
      <c r="G52" s="4"/>
      <c r="H52" s="3"/>
      <c r="I52" s="3"/>
      <c r="J52" s="4"/>
      <c r="K52" s="1"/>
      <c r="L52" s="1"/>
      <c r="M52" s="4"/>
      <c r="N52" s="3"/>
    </row>
    <row x14ac:dyDescent="0.25" r="53" customHeight="1" ht="17.25">
      <c r="A53" s="11">
        <v>25568.79196759259</v>
      </c>
      <c r="B53" s="1">
        <f>E53*A$3</f>
      </c>
      <c r="C53" s="1"/>
      <c r="D53" s="1"/>
      <c r="E53" s="1"/>
      <c r="F53" s="12">
        <f>IF(ISBLANK(B53),D53,B53)</f>
      </c>
      <c r="G53" s="4"/>
      <c r="H53" s="3"/>
      <c r="I53" s="3"/>
      <c r="J53" s="4"/>
      <c r="K53" s="1"/>
      <c r="L53" s="1"/>
      <c r="M53" s="4"/>
      <c r="N53" s="3"/>
    </row>
    <row x14ac:dyDescent="0.25" r="54" customHeight="1" ht="17.25">
      <c r="A54" s="11">
        <v>25568.79196759259</v>
      </c>
      <c r="B54" s="1">
        <f>E54*A$3</f>
      </c>
      <c r="C54" s="1"/>
      <c r="D54" s="1"/>
      <c r="E54" s="1"/>
      <c r="F54" s="12">
        <f>IF(ISBLANK(B54),D54,B54)</f>
      </c>
      <c r="G54" s="4"/>
      <c r="H54" s="3"/>
      <c r="I54" s="3"/>
      <c r="J54" s="4"/>
      <c r="K54" s="1"/>
      <c r="L54" s="1"/>
      <c r="M54" s="4"/>
      <c r="N54" s="3"/>
    </row>
    <row x14ac:dyDescent="0.25" r="55" customHeight="1" ht="17.25">
      <c r="A55" s="11">
        <v>25568.79196759259</v>
      </c>
      <c r="B55" s="1">
        <f>E55*A$3</f>
      </c>
      <c r="C55" s="1">
        <f>RTR!J8</f>
      </c>
      <c r="D55" s="1">
        <v>6235.08</v>
      </c>
      <c r="E55" s="1"/>
      <c r="F55" s="12">
        <f>IF(ISBLANK(B55),D55,B55)</f>
      </c>
      <c r="G55" s="4"/>
      <c r="H55" s="3"/>
      <c r="I55" s="3"/>
      <c r="J55" s="4"/>
      <c r="K55" s="1"/>
      <c r="L55" s="1"/>
      <c r="M55" s="4"/>
      <c r="N55" s="3"/>
    </row>
    <row x14ac:dyDescent="0.25" r="56" customHeight="1" ht="17.25">
      <c r="A56" s="11">
        <v>25568.79196759259</v>
      </c>
      <c r="B56" s="1">
        <f>E56*A$3</f>
      </c>
      <c r="C56" s="1">
        <f>(SUM(ACS!X4:X11)+SUM(BHB!X21)+SUM(Boom!X3)+SUM(CV!X20:X24)+SUM(Kings!X21:X25))*-1</f>
      </c>
      <c r="D56" s="1">
        <v>-122802.5</v>
      </c>
      <c r="E56" s="1"/>
      <c r="F56" s="12">
        <f>IF(ISBLANK(B56),D56,B56)</f>
      </c>
      <c r="G56" s="4"/>
      <c r="H56" s="3"/>
      <c r="I56" s="3"/>
      <c r="J56" s="4"/>
      <c r="K56" s="1"/>
      <c r="L56" s="1"/>
      <c r="M56" s="4"/>
      <c r="N56" s="3"/>
    </row>
    <row x14ac:dyDescent="0.25" r="57" customHeight="1" ht="17.25">
      <c r="A57" s="11">
        <v>25568.79196759259</v>
      </c>
      <c r="B57" s="1">
        <f>E57*A$3</f>
      </c>
      <c r="C57" s="1"/>
      <c r="D57" s="1"/>
      <c r="E57" s="1"/>
      <c r="F57" s="12">
        <f>IF(ISBLANK(B57),D57,B57)</f>
      </c>
      <c r="G57" s="4"/>
      <c r="H57" s="3"/>
      <c r="I57" s="3"/>
      <c r="J57" s="4"/>
      <c r="K57" s="1"/>
      <c r="L57" s="1"/>
      <c r="M57" s="4"/>
      <c r="N57" s="3"/>
    </row>
    <row x14ac:dyDescent="0.25" r="58" customHeight="1" ht="17.25">
      <c r="A58" s="11">
        <v>25568.79196759259</v>
      </c>
      <c r="B58" s="1">
        <f>E58*A$3</f>
      </c>
      <c r="C58" s="1"/>
      <c r="D58" s="1"/>
      <c r="E58" s="1"/>
      <c r="F58" s="12">
        <f>IF(ISBLANK(B58),D58,B58)</f>
      </c>
      <c r="G58" s="4"/>
      <c r="H58" s="3"/>
      <c r="I58" s="3"/>
      <c r="J58" s="4"/>
      <c r="K58" s="1"/>
      <c r="L58" s="1"/>
      <c r="M58" s="4"/>
      <c r="N58" s="3"/>
    </row>
    <row x14ac:dyDescent="0.25" r="59" customHeight="1" ht="17.25">
      <c r="A59" s="11">
        <v>25568.79196759259</v>
      </c>
      <c r="B59" s="1">
        <f>E59*A$3</f>
      </c>
      <c r="C59" s="1"/>
      <c r="D59" s="1"/>
      <c r="E59" s="1"/>
      <c r="F59" s="12">
        <f>IF(ISBLANK(B59),D59,B59)</f>
      </c>
      <c r="G59" s="4"/>
      <c r="H59" s="3"/>
      <c r="I59" s="3"/>
      <c r="J59" s="4"/>
      <c r="K59" s="1"/>
      <c r="L59" s="1"/>
      <c r="M59" s="4"/>
      <c r="N59" s="3"/>
    </row>
    <row x14ac:dyDescent="0.25" r="60" customHeight="1" ht="17.25">
      <c r="A60" s="11">
        <v>25568.79196759259</v>
      </c>
      <c r="B60" s="1">
        <f>E60*A$3</f>
      </c>
      <c r="C60" s="1">
        <f>RTR!K8</f>
      </c>
      <c r="D60" s="1">
        <v>14978.17</v>
      </c>
      <c r="E60" s="1"/>
      <c r="F60" s="12">
        <f>IF(ISBLANK(B60),D60,B60)</f>
      </c>
      <c r="G60" s="4"/>
      <c r="H60" s="3"/>
      <c r="I60" s="3"/>
      <c r="J60" s="4"/>
      <c r="K60" s="1"/>
      <c r="L60" s="1"/>
      <c r="M60" s="4"/>
      <c r="N60" s="3"/>
    </row>
    <row x14ac:dyDescent="0.25" r="61" customHeight="1" ht="17.25">
      <c r="A61" s="11">
        <v>25568.79196759259</v>
      </c>
      <c r="B61" s="1">
        <f>E61*A$3</f>
      </c>
      <c r="C61" s="1">
        <f>(SUM(ACS!X12:X16)+SUM(BHB!X22:X25)+SUM(Boom!X5:X6)+SUM(CV!X25))*-1</f>
      </c>
      <c r="D61" s="1">
        <v>-42962.5</v>
      </c>
      <c r="E61" s="1"/>
      <c r="F61" s="12">
        <f>IF(ISBLANK(B61),D61,B61)</f>
      </c>
      <c r="G61" s="4"/>
      <c r="H61" s="3"/>
      <c r="I61" s="3"/>
      <c r="J61" s="4"/>
      <c r="K61" s="1"/>
      <c r="L61" s="1"/>
      <c r="M61" s="4"/>
      <c r="N61" s="3"/>
    </row>
    <row x14ac:dyDescent="0.25" r="62" customHeight="1" ht="17.25">
      <c r="A62" s="11">
        <v>25568.79196759259</v>
      </c>
      <c r="B62" s="1">
        <f>E62*A$3</f>
      </c>
      <c r="C62" s="1"/>
      <c r="D62" s="1"/>
      <c r="E62" s="1"/>
      <c r="F62" s="12">
        <f>IF(ISBLANK(B62),D62,B62)</f>
      </c>
      <c r="G62" s="4"/>
      <c r="H62" s="3"/>
      <c r="I62" s="3"/>
      <c r="J62" s="4"/>
      <c r="K62" s="1"/>
      <c r="L62" s="1"/>
      <c r="M62" s="4"/>
      <c r="N62" s="3"/>
    </row>
    <row x14ac:dyDescent="0.25" r="63" customHeight="1" ht="17.25">
      <c r="A63" s="11">
        <v>25568.79196759259</v>
      </c>
      <c r="B63" s="1">
        <f>E63*A$3</f>
      </c>
      <c r="C63" s="1"/>
      <c r="D63" s="1"/>
      <c r="E63" s="1"/>
      <c r="F63" s="12">
        <f>IF(ISBLANK(B63),D63,B63)</f>
      </c>
      <c r="G63" s="4"/>
      <c r="H63" s="3"/>
      <c r="I63" s="3"/>
      <c r="J63" s="4"/>
      <c r="K63" s="1"/>
      <c r="L63" s="1"/>
      <c r="M63" s="4"/>
      <c r="N63" s="3"/>
    </row>
    <row x14ac:dyDescent="0.25" r="64" customHeight="1" ht="17.25">
      <c r="A64" s="11">
        <v>25568.79196759259</v>
      </c>
      <c r="B64" s="1">
        <f>E64*A$3</f>
      </c>
      <c r="C64" s="3"/>
      <c r="D64" s="1"/>
      <c r="E64" s="1"/>
      <c r="F64" s="12">
        <f>IF(ISBLANK(B64),D64,B64)</f>
      </c>
      <c r="G64" s="4"/>
      <c r="H64" s="3"/>
      <c r="I64" s="3"/>
      <c r="J64" s="4"/>
      <c r="K64" s="1"/>
      <c r="L64" s="1"/>
      <c r="M64" s="4"/>
      <c r="N64" s="3"/>
    </row>
    <row x14ac:dyDescent="0.25" r="65" customHeight="1" ht="17.25">
      <c r="A65" s="11">
        <v>25568.79196759259</v>
      </c>
      <c r="B65" s="1">
        <f>E65*A$3</f>
      </c>
      <c r="C65" s="1">
        <f>RTR!L8</f>
      </c>
      <c r="D65" s="1">
        <v>22817.93</v>
      </c>
      <c r="E65" s="1"/>
      <c r="F65" s="12">
        <f>IF(ISBLANK(B65),D65,B65)</f>
      </c>
      <c r="G65" s="4"/>
      <c r="H65" s="3"/>
      <c r="I65" s="3"/>
      <c r="J65" s="4"/>
      <c r="K65" s="1"/>
      <c r="L65" s="1"/>
      <c r="M65" s="4"/>
      <c r="N65" s="3"/>
    </row>
    <row x14ac:dyDescent="0.25" r="66" customHeight="1" ht="17.25">
      <c r="A66" s="11">
        <v>25568.79196759259</v>
      </c>
      <c r="B66" s="1">
        <f>E66*A$3</f>
      </c>
      <c r="C66" s="1">
        <f>(SUM(ACS!X17:X20)+SUM(BHB!X26:X27)+SUM(Kings!X26:X31))*-1</f>
      </c>
      <c r="D66" s="1">
        <v>-71672.5</v>
      </c>
      <c r="E66" s="1"/>
      <c r="F66" s="12">
        <f>IF(ISBLANK(B66),D66,B66)</f>
      </c>
      <c r="G66" s="4"/>
      <c r="H66" s="3"/>
      <c r="I66" s="3"/>
      <c r="J66" s="4"/>
      <c r="K66" s="1"/>
      <c r="L66" s="1"/>
      <c r="M66" s="4"/>
      <c r="N66" s="3"/>
    </row>
    <row x14ac:dyDescent="0.25" r="67" customHeight="1" ht="17.25">
      <c r="A67" s="11">
        <v>25568.79196759259</v>
      </c>
      <c r="B67" s="1">
        <f>E67*A$3</f>
      </c>
      <c r="C67" s="1"/>
      <c r="D67" s="1"/>
      <c r="E67" s="1"/>
      <c r="F67" s="12">
        <f>IF(ISBLANK(B67),D67,B67)</f>
      </c>
      <c r="G67" s="4"/>
      <c r="H67" s="3"/>
      <c r="I67" s="3"/>
      <c r="J67" s="4"/>
      <c r="K67" s="1"/>
      <c r="L67" s="1"/>
      <c r="M67" s="4"/>
      <c r="N67" s="3"/>
    </row>
    <row x14ac:dyDescent="0.25" r="68" customHeight="1" ht="17.25">
      <c r="A68" s="11">
        <v>25568.79196759259</v>
      </c>
      <c r="B68" s="1">
        <f>E68*A$3</f>
      </c>
      <c r="C68" s="1"/>
      <c r="D68" s="1"/>
      <c r="E68" s="1"/>
      <c r="F68" s="12">
        <f>IF(ISBLANK(B68),D68,B68)</f>
      </c>
      <c r="G68" s="4"/>
      <c r="H68" s="3"/>
      <c r="I68" s="3"/>
      <c r="J68" s="4"/>
      <c r="K68" s="1"/>
      <c r="L68" s="1"/>
      <c r="M68" s="4"/>
      <c r="N68" s="3"/>
    </row>
    <row x14ac:dyDescent="0.25" r="69" customHeight="1" ht="17.25">
      <c r="A69" s="11">
        <v>25568.79196759259</v>
      </c>
      <c r="B69" s="1">
        <f>E69*A$3</f>
      </c>
      <c r="C69" s="1"/>
      <c r="D69" s="1"/>
      <c r="E69" s="1"/>
      <c r="F69" s="12">
        <f>IF(ISBLANK(B69),D69,B69)</f>
      </c>
      <c r="G69" s="4"/>
      <c r="H69" s="3"/>
      <c r="I69" s="3"/>
      <c r="J69" s="4"/>
      <c r="K69" s="1"/>
      <c r="L69" s="1"/>
      <c r="M69" s="4"/>
      <c r="N69" s="3"/>
    </row>
    <row x14ac:dyDescent="0.25" r="70" customHeight="1" ht="17.25">
      <c r="A70" s="11">
        <v>25568.79196759259</v>
      </c>
      <c r="B70" s="1">
        <f>E70*A$3</f>
      </c>
      <c r="C70" s="1">
        <f>RTR!M8</f>
      </c>
      <c r="D70" s="1">
        <v>19854.52</v>
      </c>
      <c r="E70" s="1"/>
      <c r="F70" s="12">
        <f>IF(ISBLANK(B70),D70,B70)</f>
      </c>
      <c r="G70" s="4"/>
      <c r="H70" s="3"/>
      <c r="I70" s="3"/>
      <c r="J70" s="4"/>
      <c r="K70" s="1"/>
      <c r="L70" s="1"/>
      <c r="M70" s="4"/>
      <c r="N70" s="3"/>
    </row>
    <row x14ac:dyDescent="0.25" r="71" customHeight="1" ht="17.25">
      <c r="A71" s="11">
        <v>25568.79196759259</v>
      </c>
      <c r="B71" s="1">
        <f>E71*A$3</f>
      </c>
      <c r="C71" s="1">
        <f>(SUM(ACS!X21:X24)+SUM(BHB!X28)+SUM(Boom!X7:X8)+SUM(CV!X26:X28)+SUM(Kings!X32:X34))*-1</f>
      </c>
      <c r="D71" s="1">
        <v>-78315</v>
      </c>
      <c r="E71" s="1"/>
      <c r="F71" s="12">
        <f>IF(ISBLANK(B71),D71,B71)</f>
      </c>
      <c r="G71" s="4"/>
      <c r="H71" s="3"/>
      <c r="I71" s="3"/>
      <c r="J71" s="4"/>
      <c r="K71" s="1"/>
      <c r="L71" s="1"/>
      <c r="M71" s="4"/>
      <c r="N71" s="3"/>
    </row>
    <row x14ac:dyDescent="0.25" r="72" customHeight="1" ht="17.25">
      <c r="A72" s="11">
        <v>25568.79196759259</v>
      </c>
      <c r="B72" s="1">
        <f>E72*A$3</f>
      </c>
      <c r="C72" s="1"/>
      <c r="D72" s="1"/>
      <c r="E72" s="1"/>
      <c r="F72" s="12">
        <f>IF(ISBLANK(B72),D72,B72)</f>
      </c>
      <c r="G72" s="4"/>
      <c r="H72" s="3"/>
      <c r="I72" s="3"/>
      <c r="J72" s="4"/>
      <c r="K72" s="1"/>
      <c r="L72" s="1"/>
      <c r="M72" s="4"/>
      <c r="N72" s="3"/>
    </row>
    <row x14ac:dyDescent="0.25" r="73" customHeight="1" ht="17.25">
      <c r="A73" s="11">
        <v>25568.79196759259</v>
      </c>
      <c r="B73" s="1">
        <f>E73*A$3</f>
      </c>
      <c r="C73" s="1"/>
      <c r="D73" s="1"/>
      <c r="E73" s="1"/>
      <c r="F73" s="12">
        <f>IF(ISBLANK(B73),D73,B73)</f>
      </c>
      <c r="G73" s="4"/>
      <c r="H73" s="3"/>
      <c r="I73" s="3"/>
      <c r="J73" s="4"/>
      <c r="K73" s="1"/>
      <c r="L73" s="1"/>
      <c r="M73" s="4"/>
      <c r="N73" s="3"/>
    </row>
    <row x14ac:dyDescent="0.25" r="74" customHeight="1" ht="17.25">
      <c r="A74" s="11">
        <v>25568.79196759259</v>
      </c>
      <c r="B74" s="1">
        <f>E74*A$3</f>
      </c>
      <c r="C74" s="1"/>
      <c r="D74" s="1"/>
      <c r="E74" s="1"/>
      <c r="F74" s="12">
        <f>IF(ISBLANK(B74),D74,B74)</f>
      </c>
      <c r="G74" s="4"/>
      <c r="H74" s="3"/>
      <c r="I74" s="3"/>
      <c r="J74" s="4"/>
      <c r="K74" s="1"/>
      <c r="L74" s="1"/>
      <c r="M74" s="4"/>
      <c r="N74" s="3"/>
    </row>
    <row x14ac:dyDescent="0.25" r="75" customHeight="1" ht="17.25">
      <c r="A75" s="11">
        <v>25568.79196759259</v>
      </c>
      <c r="B75" s="1">
        <f>E75*A$3</f>
      </c>
      <c r="C75" s="1">
        <f>RTR!N8</f>
      </c>
      <c r="D75" s="1">
        <v>23304.71</v>
      </c>
      <c r="E75" s="1"/>
      <c r="F75" s="12">
        <f>IF(ISBLANK(B75),D75,B75)</f>
      </c>
      <c r="G75" s="4"/>
      <c r="H75" s="3"/>
      <c r="I75" s="3"/>
      <c r="J75" s="4"/>
      <c r="K75" s="1"/>
      <c r="L75" s="1"/>
      <c r="M75" s="4"/>
      <c r="N75" s="3"/>
    </row>
    <row x14ac:dyDescent="0.25" r="76" customHeight="1" ht="17.25">
      <c r="A76" s="11">
        <v>25568.79196759259</v>
      </c>
      <c r="B76" s="1">
        <f>E76*A$3</f>
      </c>
      <c r="C76" s="1">
        <f>(SUM(BHB!X29)+SUM(Boom!X9:X13)+SUM(CV!X29:X31)+SUM(HHC!X3)+SUM(Kings!X35:X37))*-1</f>
      </c>
      <c r="D76" s="1">
        <v>-71025</v>
      </c>
      <c r="E76" s="1"/>
      <c r="F76" s="12">
        <f>IF(ISBLANK(B76),D76,B76)</f>
      </c>
      <c r="G76" s="4"/>
      <c r="H76" s="3"/>
      <c r="I76" s="3"/>
      <c r="J76" s="4"/>
      <c r="K76" s="1"/>
      <c r="L76" s="1"/>
      <c r="M76" s="4"/>
      <c r="N76" s="3"/>
    </row>
    <row x14ac:dyDescent="0.25" r="77" customHeight="1" ht="17.25">
      <c r="A77" s="11">
        <v>25568.79196759259</v>
      </c>
      <c r="B77" s="1">
        <f>E77*A$3</f>
      </c>
      <c r="C77" s="1"/>
      <c r="D77" s="1"/>
      <c r="E77" s="1"/>
      <c r="F77" s="12">
        <f>IF(ISBLANK(B77),D77,B77)</f>
      </c>
      <c r="G77" s="4"/>
      <c r="H77" s="3"/>
      <c r="I77" s="3"/>
      <c r="J77" s="4"/>
      <c r="K77" s="1"/>
      <c r="L77" s="1"/>
      <c r="M77" s="4"/>
      <c r="N77" s="3"/>
    </row>
    <row x14ac:dyDescent="0.25" r="78" customHeight="1" ht="17.25">
      <c r="A78" s="11">
        <v>25568.79196759259</v>
      </c>
      <c r="B78" s="1">
        <f>E78*A$3</f>
      </c>
      <c r="C78" s="1"/>
      <c r="D78" s="1"/>
      <c r="E78" s="1"/>
      <c r="F78" s="12">
        <f>IF(ISBLANK(B78),D78,B78)</f>
      </c>
      <c r="G78" s="4"/>
      <c r="H78" s="3"/>
      <c r="I78" s="3"/>
      <c r="J78" s="4"/>
      <c r="K78" s="1"/>
      <c r="L78" s="1"/>
      <c r="M78" s="4"/>
      <c r="N78" s="3"/>
    </row>
    <row x14ac:dyDescent="0.25" r="79" customHeight="1" ht="17.25">
      <c r="A79" s="11">
        <v>25568.79196759259</v>
      </c>
      <c r="B79" s="1">
        <f>E79*A$3</f>
      </c>
      <c r="C79" s="1"/>
      <c r="D79" s="1"/>
      <c r="E79" s="1"/>
      <c r="F79" s="12">
        <f>IF(ISBLANK(B79),D79,B79)</f>
      </c>
      <c r="G79" s="4"/>
      <c r="H79" s="3"/>
      <c r="I79" s="3"/>
      <c r="J79" s="4"/>
      <c r="K79" s="1"/>
      <c r="L79" s="1"/>
      <c r="M79" s="4"/>
      <c r="N79" s="3"/>
    </row>
    <row x14ac:dyDescent="0.25" r="80" customHeight="1" ht="17.25">
      <c r="A80" s="11">
        <v>25568.79196759259</v>
      </c>
      <c r="B80" s="1">
        <f>E80*A$3</f>
      </c>
      <c r="C80" s="1">
        <f>RTR!O8</f>
      </c>
      <c r="D80" s="1">
        <v>23341.86</v>
      </c>
      <c r="E80" s="1"/>
      <c r="F80" s="12">
        <f>IF(ISBLANK(B80),D80,B80)</f>
      </c>
      <c r="G80" s="4"/>
      <c r="H80" s="3"/>
      <c r="I80" s="3"/>
      <c r="J80" s="4"/>
      <c r="K80" s="1"/>
      <c r="L80" s="1"/>
      <c r="M80" s="4"/>
      <c r="N80" s="3"/>
    </row>
    <row x14ac:dyDescent="0.25" r="81" customHeight="1" ht="17.25">
      <c r="A81" s="11">
        <v>25568.79196759259</v>
      </c>
      <c r="B81" s="1">
        <f>E81*A$3</f>
      </c>
      <c r="C81" s="1">
        <f>(SUM(BHB!X30:X31)+SUM(Boom!X14:X20)+SUM(Kings!X38:X39))*-1</f>
      </c>
      <c r="D81" s="1">
        <v>-46680</v>
      </c>
      <c r="E81" s="1"/>
      <c r="F81" s="12">
        <f>IF(ISBLANK(B81),D81,B81)</f>
      </c>
      <c r="G81" s="4"/>
      <c r="H81" s="3"/>
      <c r="I81" s="3"/>
      <c r="J81" s="4"/>
      <c r="K81" s="1"/>
      <c r="L81" s="1"/>
      <c r="M81" s="4"/>
      <c r="N81" s="3"/>
    </row>
    <row x14ac:dyDescent="0.25" r="82" customHeight="1" ht="17.25">
      <c r="A82" s="11">
        <v>25568.79196759259</v>
      </c>
      <c r="B82" s="1">
        <f>E82*A$3</f>
      </c>
      <c r="C82" s="1"/>
      <c r="D82" s="1"/>
      <c r="E82" s="1"/>
      <c r="F82" s="12">
        <f>IF(ISBLANK(B82),D82,B82)</f>
      </c>
      <c r="G82" s="4"/>
      <c r="H82" s="3"/>
      <c r="I82" s="3"/>
      <c r="J82" s="4"/>
      <c r="K82" s="1"/>
      <c r="L82" s="1"/>
      <c r="M82" s="4"/>
      <c r="N82" s="3"/>
    </row>
    <row x14ac:dyDescent="0.25" r="83" customHeight="1" ht="17.25">
      <c r="A83" s="11">
        <v>25568.79196759259</v>
      </c>
      <c r="B83" s="1">
        <f>E83*A$3</f>
      </c>
      <c r="C83" s="1"/>
      <c r="D83" s="1"/>
      <c r="E83" s="1"/>
      <c r="F83" s="12">
        <f>IF(ISBLANK(B83),D83,B83)</f>
      </c>
      <c r="G83" s="4"/>
      <c r="H83" s="3"/>
      <c r="I83" s="3"/>
      <c r="J83" s="4"/>
      <c r="K83" s="1"/>
      <c r="L83" s="1"/>
      <c r="M83" s="4"/>
      <c r="N83" s="3"/>
    </row>
    <row x14ac:dyDescent="0.25" r="84" customHeight="1" ht="17.25">
      <c r="A84" s="11">
        <v>25568.79196759259</v>
      </c>
      <c r="B84" s="1">
        <f>E84*A$3</f>
      </c>
      <c r="C84" s="1"/>
      <c r="D84" s="1"/>
      <c r="E84" s="1"/>
      <c r="F84" s="12">
        <f>IF(ISBLANK(B84),D84,B84)</f>
      </c>
      <c r="G84" s="4"/>
      <c r="H84" s="3"/>
      <c r="I84" s="3"/>
      <c r="J84" s="4"/>
      <c r="K84" s="1"/>
      <c r="L84" s="1"/>
      <c r="M84" s="4"/>
      <c r="N84" s="3"/>
    </row>
    <row x14ac:dyDescent="0.25" r="85" customHeight="1" ht="17.25">
      <c r="A85" s="11">
        <v>25568.79196759259</v>
      </c>
      <c r="B85" s="1">
        <f>E85*A$3</f>
      </c>
      <c r="C85" s="1">
        <f>RTR!P8</f>
      </c>
      <c r="D85" s="1">
        <v>21030.06</v>
      </c>
      <c r="E85" s="1"/>
      <c r="F85" s="12">
        <f>IF(ISBLANK(B85),D85,B85)</f>
      </c>
      <c r="G85" s="4"/>
      <c r="H85" s="3"/>
      <c r="I85" s="3"/>
      <c r="J85" s="4"/>
      <c r="K85" s="1"/>
      <c r="L85" s="1"/>
      <c r="M85" s="4"/>
      <c r="N85" s="3"/>
    </row>
    <row x14ac:dyDescent="0.25" r="86" customHeight="1" ht="17.25">
      <c r="A86" s="11">
        <v>25568.79196759259</v>
      </c>
      <c r="B86" s="1">
        <f>E86*A$3</f>
      </c>
      <c r="C86" s="1">
        <f>(SUM(BHB!X32:X36)+SUM(CV!X33:X34)+SUM(Kings!X40:X42))*-1</f>
      </c>
      <c r="D86" s="1">
        <v>-50667</v>
      </c>
      <c r="E86" s="1"/>
      <c r="F86" s="12">
        <f>IF(ISBLANK(B86),D86,B86)</f>
      </c>
      <c r="G86" s="4"/>
      <c r="H86" s="3"/>
      <c r="I86" s="3"/>
      <c r="J86" s="4"/>
      <c r="K86" s="1"/>
      <c r="L86" s="1"/>
      <c r="M86" s="4"/>
      <c r="N86" s="3"/>
    </row>
    <row x14ac:dyDescent="0.25" r="87" customHeight="1" ht="17.25">
      <c r="A87" s="11">
        <v>25568.79196759259</v>
      </c>
      <c r="B87" s="1">
        <f>E87*A$3</f>
      </c>
      <c r="C87" s="1"/>
      <c r="D87" s="1"/>
      <c r="E87" s="1"/>
      <c r="F87" s="12">
        <f>IF(ISBLANK(B87),D87,B87)</f>
      </c>
      <c r="G87" s="4"/>
      <c r="H87" s="3"/>
      <c r="I87" s="3"/>
      <c r="J87" s="4"/>
      <c r="K87" s="1"/>
      <c r="L87" s="1"/>
      <c r="M87" s="4"/>
      <c r="N87" s="3"/>
    </row>
    <row x14ac:dyDescent="0.25" r="88" customHeight="1" ht="17.25">
      <c r="A88" s="11">
        <v>25568.79196759259</v>
      </c>
      <c r="B88" s="1">
        <f>E88*A$3</f>
      </c>
      <c r="C88" s="1"/>
      <c r="D88" s="1"/>
      <c r="E88" s="1"/>
      <c r="F88" s="12">
        <f>IF(ISBLANK(B88),D88,B88)</f>
      </c>
      <c r="G88" s="4"/>
      <c r="H88" s="3"/>
      <c r="I88" s="3"/>
      <c r="J88" s="4"/>
      <c r="K88" s="1"/>
      <c r="L88" s="1"/>
      <c r="M88" s="4"/>
      <c r="N88" s="3"/>
    </row>
    <row x14ac:dyDescent="0.25" r="89" customHeight="1" ht="17.25">
      <c r="A89" s="11">
        <v>25568.79196759259</v>
      </c>
      <c r="B89" s="1">
        <f>E89*A$3</f>
      </c>
      <c r="C89" s="1"/>
      <c r="D89" s="1"/>
      <c r="E89" s="1"/>
      <c r="F89" s="12">
        <f>IF(ISBLANK(B89),D89,B89)</f>
      </c>
      <c r="G89" s="4"/>
      <c r="H89" s="3"/>
      <c r="I89" s="3"/>
      <c r="J89" s="4"/>
      <c r="K89" s="1"/>
      <c r="L89" s="1"/>
      <c r="M89" s="4"/>
      <c r="N89" s="3"/>
    </row>
    <row x14ac:dyDescent="0.25" r="90" customHeight="1" ht="17.25">
      <c r="A90" s="11">
        <v>25568.79196759259</v>
      </c>
      <c r="B90" s="1">
        <f>E90*A$3</f>
      </c>
      <c r="C90" s="1">
        <f>RTR!Q8</f>
      </c>
      <c r="D90" s="1">
        <v>26002.76</v>
      </c>
      <c r="E90" s="1"/>
      <c r="F90" s="12">
        <f>IF(ISBLANK(B90),D90,B90)</f>
      </c>
      <c r="G90" s="4"/>
      <c r="H90" s="3"/>
      <c r="I90" s="3"/>
      <c r="J90" s="4"/>
      <c r="K90" s="1"/>
      <c r="L90" s="1"/>
      <c r="M90" s="4"/>
      <c r="N90" s="3"/>
    </row>
    <row x14ac:dyDescent="0.25" r="91" customHeight="1" ht="17.25">
      <c r="A91" s="11">
        <v>25568.79196759259</v>
      </c>
      <c r="B91" s="1">
        <f>E91*A$3</f>
      </c>
      <c r="C91" s="1">
        <f>(SUM(ACS!X25:X34)+SUM(BHB!X37:X38)+SUM(Boom!X21:X25)+SUM(CV!X35:X40)+SUM(HHC!X4)+SUM(Kings!X43:X47))*-1</f>
      </c>
      <c r="D91" s="1">
        <v>-147253</v>
      </c>
      <c r="E91" s="1"/>
      <c r="F91" s="12">
        <f>IF(ISBLANK(B91),D91,B91)</f>
      </c>
      <c r="G91" s="4"/>
      <c r="H91" s="3"/>
      <c r="I91" s="3"/>
      <c r="J91" s="4"/>
      <c r="K91" s="1"/>
      <c r="L91" s="1"/>
      <c r="M91" s="4"/>
      <c r="N91" s="3"/>
    </row>
    <row x14ac:dyDescent="0.25" r="92" customHeight="1" ht="17.25">
      <c r="A92" s="11">
        <v>25568.79196759259</v>
      </c>
      <c r="B92" s="1">
        <f>E92*A$3</f>
      </c>
      <c r="C92" s="1"/>
      <c r="D92" s="1"/>
      <c r="E92" s="1"/>
      <c r="F92" s="12">
        <f>IF(ISBLANK(B92),D92,B92)</f>
      </c>
      <c r="G92" s="4"/>
      <c r="H92" s="3"/>
      <c r="I92" s="3"/>
      <c r="J92" s="4"/>
      <c r="K92" s="1"/>
      <c r="L92" s="1"/>
      <c r="M92" s="4"/>
      <c r="N92" s="3"/>
    </row>
    <row x14ac:dyDescent="0.25" r="93" customHeight="1" ht="17.25">
      <c r="A93" s="11">
        <v>25568.79196759259</v>
      </c>
      <c r="B93" s="1">
        <f>E93*A$3</f>
      </c>
      <c r="C93" s="1"/>
      <c r="D93" s="1"/>
      <c r="E93" s="1"/>
      <c r="F93" s="12">
        <f>IF(ISBLANK(B93),D93,B93)</f>
      </c>
      <c r="G93" s="4"/>
      <c r="H93" s="3"/>
      <c r="I93" s="3"/>
      <c r="J93" s="4"/>
      <c r="K93" s="1"/>
      <c r="L93" s="1"/>
      <c r="M93" s="4"/>
      <c r="N93" s="3"/>
    </row>
    <row x14ac:dyDescent="0.25" r="94" customHeight="1" ht="17.25">
      <c r="A94" s="11">
        <v>25568.79196759259</v>
      </c>
      <c r="B94" s="1">
        <f>E94*A$3</f>
      </c>
      <c r="C94" s="1"/>
      <c r="D94" s="1"/>
      <c r="E94" s="1"/>
      <c r="F94" s="12">
        <f>IF(ISBLANK(B94),D94,B94)</f>
      </c>
      <c r="G94" s="4"/>
      <c r="H94" s="3"/>
      <c r="I94" s="3"/>
      <c r="J94" s="4"/>
      <c r="K94" s="1"/>
      <c r="L94" s="1"/>
      <c r="M94" s="4"/>
      <c r="N94" s="3"/>
    </row>
    <row x14ac:dyDescent="0.25" r="95" customHeight="1" ht="17.25">
      <c r="A95" s="11">
        <v>25568.79196759259</v>
      </c>
      <c r="B95" s="3"/>
      <c r="C95" s="1">
        <f>RTR!R8</f>
      </c>
      <c r="D95" s="1">
        <v>37047.49000000001</v>
      </c>
      <c r="E95" s="3"/>
      <c r="F95" s="3"/>
      <c r="G95" s="4"/>
      <c r="H95" s="3"/>
      <c r="I95" s="3"/>
      <c r="J95" s="4"/>
      <c r="K95" s="1"/>
      <c r="L95" s="1"/>
      <c r="M95" s="4"/>
      <c r="N95" s="3"/>
    </row>
    <row x14ac:dyDescent="0.25" r="96" customHeight="1" ht="17.25">
      <c r="A96" s="11">
        <v>25568.79196759259</v>
      </c>
      <c r="B96" s="1"/>
      <c r="C96" s="1">
        <f>(SUM(ACS!X35:X36)+SUM(BHB!X39)+SUM(Boom!X26)+SUM(CV!X41:X43)+SUM(HHC!X5)+SUM(Kings!X48:X51))*-1</f>
      </c>
      <c r="D96" s="1">
        <v>-69585</v>
      </c>
      <c r="E96" s="3"/>
      <c r="F96" s="3"/>
      <c r="G96" s="4"/>
      <c r="H96" s="3"/>
      <c r="I96" s="3"/>
      <c r="J96" s="4"/>
      <c r="K96" s="1"/>
      <c r="L96" s="1"/>
      <c r="M96" s="4"/>
      <c r="N96" s="3"/>
    </row>
    <row x14ac:dyDescent="0.25" r="97" customHeight="1" ht="17.25">
      <c r="A97" s="11">
        <v>25568.79196759259</v>
      </c>
      <c r="B97" s="3"/>
      <c r="C97" s="3"/>
      <c r="D97" s="1"/>
      <c r="E97" s="3"/>
      <c r="F97" s="3"/>
      <c r="G97" s="4"/>
      <c r="H97" s="3"/>
      <c r="I97" s="3"/>
      <c r="J97" s="4"/>
      <c r="K97" s="1"/>
      <c r="L97" s="1"/>
      <c r="M97" s="4"/>
      <c r="N97" s="3"/>
    </row>
    <row x14ac:dyDescent="0.25" r="98" customHeight="1" ht="17.25">
      <c r="A98" s="11">
        <v>25568.79196759259</v>
      </c>
      <c r="B98" s="3"/>
      <c r="C98" s="3"/>
      <c r="D98" s="1"/>
      <c r="E98" s="3"/>
      <c r="F98" s="3"/>
      <c r="G98" s="4"/>
      <c r="H98" s="3"/>
      <c r="I98" s="3"/>
      <c r="J98" s="4"/>
      <c r="K98" s="1"/>
      <c r="L98" s="1"/>
      <c r="M98" s="4"/>
      <c r="N98" s="3"/>
    </row>
    <row x14ac:dyDescent="0.25" r="99" customHeight="1" ht="17.25">
      <c r="A99" s="11">
        <v>25568.79196759259</v>
      </c>
      <c r="B99" s="3"/>
      <c r="C99" s="3"/>
      <c r="D99" s="1"/>
      <c r="E99" s="3"/>
      <c r="F99" s="3"/>
      <c r="G99" s="4"/>
      <c r="H99" s="3"/>
      <c r="I99" s="3"/>
      <c r="J99" s="4"/>
      <c r="K99" s="1"/>
      <c r="L99" s="1"/>
      <c r="M99" s="4"/>
      <c r="N99" s="3"/>
    </row>
    <row x14ac:dyDescent="0.25" r="100" customHeight="1" ht="17.25">
      <c r="A100" s="11">
        <v>25568.79196759259</v>
      </c>
      <c r="B100" s="3"/>
      <c r="C100" s="1">
        <f>RTR!S8</f>
      </c>
      <c r="D100" s="1">
        <v>34680.57</v>
      </c>
      <c r="E100" s="3"/>
      <c r="F100" s="3"/>
      <c r="G100" s="4"/>
      <c r="H100" s="3"/>
      <c r="I100" s="3"/>
      <c r="J100" s="4"/>
      <c r="K100" s="1"/>
      <c r="L100" s="1"/>
      <c r="M100" s="4"/>
      <c r="N100" s="3"/>
    </row>
    <row x14ac:dyDescent="0.25" r="101" customHeight="1" ht="17.25">
      <c r="A101" s="11">
        <v>25568.79196759259</v>
      </c>
      <c r="B101" s="3"/>
      <c r="C101" s="1">
        <f>(SUM(ACS!X37:X41)+SUM(BHB!X40:X42)+SUM(CV!X45)+SUM(Kings!X52:X53))*-1</f>
      </c>
      <c r="D101" s="1">
        <v>-68565</v>
      </c>
      <c r="E101" s="3"/>
      <c r="F101" s="3"/>
      <c r="G101" s="4"/>
      <c r="H101" s="3"/>
      <c r="I101" s="3"/>
      <c r="J101" s="4"/>
      <c r="K101" s="1"/>
      <c r="L101" s="1"/>
      <c r="M101" s="4"/>
      <c r="N101" s="3"/>
    </row>
    <row x14ac:dyDescent="0.25" r="102" customHeight="1" ht="17.25">
      <c r="A102" s="11">
        <v>25568.79196759259</v>
      </c>
      <c r="B102" s="3"/>
      <c r="C102" s="3"/>
      <c r="D102" s="1"/>
      <c r="E102" s="3"/>
      <c r="F102" s="3"/>
      <c r="G102" s="4"/>
      <c r="H102" s="3"/>
      <c r="I102" s="3"/>
      <c r="J102" s="4"/>
      <c r="K102" s="1"/>
      <c r="L102" s="1"/>
      <c r="M102" s="4"/>
      <c r="N102" s="3"/>
    </row>
    <row x14ac:dyDescent="0.25" r="103" customHeight="1" ht="17.25">
      <c r="A103" s="11">
        <v>25568.79196759259</v>
      </c>
      <c r="B103" s="3"/>
      <c r="C103" s="3"/>
      <c r="D103" s="1"/>
      <c r="E103" s="3"/>
      <c r="F103" s="3"/>
      <c r="G103" s="4"/>
      <c r="H103" s="3"/>
      <c r="I103" s="3"/>
      <c r="J103" s="4"/>
      <c r="K103" s="1"/>
      <c r="L103" s="1"/>
      <c r="M103" s="4"/>
      <c r="N103" s="3"/>
    </row>
    <row x14ac:dyDescent="0.25" r="104" customHeight="1" ht="17.25">
      <c r="A104" s="11">
        <v>25568.79196759259</v>
      </c>
      <c r="B104" s="3"/>
      <c r="C104" s="3"/>
      <c r="D104" s="1"/>
      <c r="E104" s="3"/>
      <c r="F104" s="3"/>
      <c r="G104" s="4"/>
      <c r="H104" s="3"/>
      <c r="I104" s="3"/>
      <c r="J104" s="4"/>
      <c r="K104" s="1"/>
      <c r="L104" s="1"/>
      <c r="M104" s="4"/>
      <c r="N104" s="3"/>
    </row>
    <row x14ac:dyDescent="0.25" r="105" customHeight="1" ht="17.25">
      <c r="A105" s="11">
        <v>25568.79196759259</v>
      </c>
      <c r="B105" s="3"/>
      <c r="C105" s="3"/>
      <c r="D105" s="1"/>
      <c r="E105" s="3"/>
      <c r="F105" s="3"/>
      <c r="G105" s="4"/>
      <c r="H105" s="3"/>
      <c r="I105" s="3"/>
      <c r="J105" s="4"/>
      <c r="K105" s="1"/>
      <c r="L105" s="1"/>
      <c r="M105" s="4"/>
      <c r="N105" s="3"/>
    </row>
    <row x14ac:dyDescent="0.25" r="106" customHeight="1" ht="17.25">
      <c r="A106" s="11">
        <v>25568.79196759259</v>
      </c>
      <c r="B106" s="3"/>
      <c r="C106" s="3"/>
      <c r="D106" s="1"/>
      <c r="E106" s="3"/>
      <c r="F106" s="3"/>
      <c r="G106" s="4"/>
      <c r="H106" s="3"/>
      <c r="I106" s="3"/>
      <c r="J106" s="4"/>
      <c r="K106" s="1"/>
      <c r="L106" s="1"/>
      <c r="M106" s="4"/>
      <c r="N106" s="3"/>
    </row>
    <row x14ac:dyDescent="0.25" r="107" customHeight="1" ht="17.25">
      <c r="A107" s="11">
        <v>25568.79196759259</v>
      </c>
      <c r="B107" s="3"/>
      <c r="C107" s="3"/>
      <c r="D107" s="1"/>
      <c r="E107" s="3"/>
      <c r="F107" s="3"/>
      <c r="G107" s="4"/>
      <c r="H107" s="3"/>
      <c r="I107" s="3"/>
      <c r="J107" s="4"/>
      <c r="K107" s="1"/>
      <c r="L107" s="1"/>
      <c r="M107" s="4"/>
      <c r="N107" s="3"/>
    </row>
    <row x14ac:dyDescent="0.25" r="108" customHeight="1" ht="17.25">
      <c r="A108" s="11">
        <v>25568.79196759259</v>
      </c>
      <c r="B108" s="3"/>
      <c r="C108" s="3"/>
      <c r="D108" s="1"/>
      <c r="E108" s="3"/>
      <c r="F108" s="3"/>
      <c r="G108" s="4"/>
      <c r="H108" s="3"/>
      <c r="I108" s="3"/>
      <c r="J108" s="4"/>
      <c r="K108" s="1"/>
      <c r="L108" s="1"/>
      <c r="M108" s="4"/>
      <c r="N108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8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9" width="28.576428571428572" customWidth="1" bestFit="1"/>
    <col min="2" max="2" style="20" width="15.576428571428572" customWidth="1" bestFit="1"/>
    <col min="3" max="3" style="20" width="11.290714285714287" customWidth="1" bestFit="1"/>
    <col min="4" max="4" style="20" width="12.862142857142858" customWidth="1" bestFit="1"/>
    <col min="5" max="5" style="21" width="12.576428571428572" customWidth="1" bestFit="1"/>
    <col min="6" max="6" style="21" width="12.576428571428572" customWidth="1" bestFit="1"/>
    <col min="7" max="7" style="22" width="11.862142857142858" customWidth="1" bestFit="1"/>
    <col min="8" max="8" style="21" width="17.290714285714284" customWidth="1" bestFit="1"/>
    <col min="9" max="9" style="21" width="17.290714285714284" customWidth="1" bestFit="1"/>
  </cols>
  <sheetData>
    <row x14ac:dyDescent="0.25" r="1" customHeight="1" ht="17.25">
      <c r="A1" s="1"/>
      <c r="B1" s="2"/>
      <c r="C1" s="2"/>
      <c r="D1" s="2"/>
      <c r="E1" s="3"/>
      <c r="F1" s="3"/>
      <c r="G1" s="4"/>
      <c r="H1" s="3"/>
      <c r="I1" s="3"/>
    </row>
    <row x14ac:dyDescent="0.25" r="2" customHeight="1" ht="17.25">
      <c r="A2" s="1"/>
      <c r="B2" s="5" t="s">
        <v>0</v>
      </c>
      <c r="C2" s="2"/>
      <c r="D2" s="2"/>
      <c r="E2" s="3"/>
      <c r="F2" s="3"/>
      <c r="G2" s="4"/>
      <c r="H2" s="3"/>
      <c r="I2" s="3"/>
    </row>
    <row x14ac:dyDescent="0.25" r="3" customHeight="1" ht="17.25">
      <c r="A3" s="1">
        <v>-1</v>
      </c>
      <c r="B3" s="2"/>
      <c r="C3" s="2"/>
      <c r="D3" s="2"/>
      <c r="E3" s="3"/>
      <c r="F3" s="3"/>
      <c r="G3" s="4"/>
      <c r="H3" s="3"/>
      <c r="I3" s="3"/>
    </row>
    <row x14ac:dyDescent="0.25" r="4" customHeight="1" ht="32" customFormat="1" s="6">
      <c r="A4" s="7"/>
      <c r="B4" s="8" t="s">
        <v>1</v>
      </c>
      <c r="C4" s="4" t="s">
        <v>2</v>
      </c>
      <c r="D4" s="4" t="s">
        <v>3</v>
      </c>
      <c r="E4" s="9" t="s">
        <v>4</v>
      </c>
      <c r="F4" s="10" t="s">
        <v>5</v>
      </c>
      <c r="G4" s="4"/>
      <c r="H4" s="4"/>
      <c r="I4" s="4"/>
    </row>
    <row x14ac:dyDescent="0.25" r="5" customHeight="1" ht="17.25">
      <c r="A5" s="11">
        <v>25568.79196759259</v>
      </c>
      <c r="B5" s="1">
        <f>E5*A$3</f>
      </c>
      <c r="C5" s="2"/>
      <c r="D5" s="2"/>
      <c r="E5" s="1"/>
      <c r="F5" s="12">
        <f>IF(ISBLANK(B5),C5,B5)</f>
      </c>
      <c r="G5" s="4"/>
      <c r="H5" s="3" t="s">
        <v>6</v>
      </c>
      <c r="I5" s="13">
        <f>XIRR(F5:F106,A5:A106)</f>
      </c>
    </row>
    <row x14ac:dyDescent="0.25" r="6" customHeight="1" ht="17.25">
      <c r="A6" s="11">
        <v>25568.79196759259</v>
      </c>
      <c r="B6" s="1">
        <f>E6*A$3</f>
      </c>
      <c r="C6" s="2"/>
      <c r="D6" s="2"/>
      <c r="E6" s="1">
        <f>SUM(BHB!X3+Kings!X3+CV!X3)</f>
      </c>
      <c r="F6" s="12">
        <f>IF(ISBLANK(B6),C6,B6)</f>
      </c>
      <c r="G6" s="4"/>
      <c r="H6" s="3"/>
      <c r="I6" s="14"/>
    </row>
    <row x14ac:dyDescent="0.25" r="7" customHeight="1" ht="17.25">
      <c r="A7" s="11">
        <v>25568.79196759259</v>
      </c>
      <c r="B7" s="1">
        <f>E7*A$3</f>
      </c>
      <c r="C7" s="2"/>
      <c r="D7" s="2"/>
      <c r="E7" s="1">
        <f>SUM(BHB!X4)</f>
      </c>
      <c r="F7" s="12">
        <f>IF(ISBLANK(B7),C7,B7)</f>
      </c>
      <c r="G7" s="4"/>
      <c r="H7" s="3"/>
      <c r="I7" s="3"/>
    </row>
    <row x14ac:dyDescent="0.25" r="8" customHeight="1" ht="17.25">
      <c r="A8" s="11">
        <v>25568.79196759259</v>
      </c>
      <c r="B8" s="1">
        <f>E8*A$3</f>
      </c>
      <c r="C8" s="2"/>
      <c r="D8" s="2"/>
      <c r="E8" s="1">
        <f>SUM(BHB!X5+Kings!X4+CV!X4)</f>
      </c>
      <c r="F8" s="12">
        <f>IF(ISBLANK(B8),C8,B8)</f>
      </c>
      <c r="G8" s="4"/>
      <c r="H8" s="3" t="s">
        <v>7</v>
      </c>
      <c r="I8" s="15">
        <f>SUM(B6:B104)</f>
      </c>
    </row>
    <row x14ac:dyDescent="0.25" r="9" customHeight="1" ht="17.25">
      <c r="A9" s="11">
        <v>25568.79196759259</v>
      </c>
      <c r="B9" s="1">
        <f>E9*A$3</f>
      </c>
      <c r="C9" s="2"/>
      <c r="D9" s="2"/>
      <c r="E9" s="1">
        <f>SUM(CV!X5:X6)</f>
      </c>
      <c r="F9" s="12">
        <f>IF(ISBLANK(B9),C9,B9)</f>
      </c>
      <c r="G9" s="4"/>
      <c r="H9" s="3" t="s">
        <v>8</v>
      </c>
      <c r="I9" s="1">
        <f>SUM(C6:C104)</f>
      </c>
    </row>
    <row x14ac:dyDescent="0.25" r="10" customHeight="1" ht="17.25">
      <c r="A10" s="11">
        <v>25568.79196759259</v>
      </c>
      <c r="B10" s="1">
        <f>E10*A$3</f>
      </c>
      <c r="C10" s="2"/>
      <c r="D10" s="2"/>
      <c r="E10" s="1"/>
      <c r="F10" s="12">
        <f>IF(ISBLANK(B10),C10,B10)</f>
      </c>
      <c r="G10" s="4"/>
      <c r="H10" s="3" t="s">
        <v>9</v>
      </c>
      <c r="I10" s="1">
        <f>SUM(I8:I9)</f>
      </c>
    </row>
    <row x14ac:dyDescent="0.25" r="11" customHeight="1" ht="17.25">
      <c r="A11" s="11">
        <v>25568.79196759259</v>
      </c>
      <c r="B11" s="1">
        <f>E11*A$3</f>
      </c>
      <c r="C11" s="2"/>
      <c r="D11" s="2"/>
      <c r="E11" s="1">
        <f>SUM(Kings!X6+CV!X7)</f>
      </c>
      <c r="F11" s="12">
        <f>IF(ISBLANK(B11),C11,B11)</f>
      </c>
      <c r="G11" s="4"/>
      <c r="H11" s="3" t="s">
        <v>3</v>
      </c>
      <c r="I11" s="15">
        <f>SUM(D6:D107)</f>
      </c>
    </row>
    <row x14ac:dyDescent="0.25" r="12" customHeight="1" ht="17.25">
      <c r="A12" s="11">
        <v>25568.79196759259</v>
      </c>
      <c r="B12" s="1">
        <f>E12*A$3</f>
      </c>
      <c r="C12" s="2"/>
      <c r="D12" s="2"/>
      <c r="E12" s="1">
        <f>SUM(Kings!X7+CV!X8)</f>
      </c>
      <c r="F12" s="12">
        <f>IF(ISBLANK(B12),C12,B12)</f>
      </c>
      <c r="G12" s="4"/>
      <c r="H12" s="5" t="s">
        <v>10</v>
      </c>
      <c r="I12" s="1">
        <f>SUM(I10:I11)</f>
      </c>
    </row>
    <row x14ac:dyDescent="0.25" r="13" customHeight="1" ht="17.25">
      <c r="A13" s="11">
        <v>25568.79196759259</v>
      </c>
      <c r="B13" s="1">
        <f>E13*A$3</f>
      </c>
      <c r="C13" s="2"/>
      <c r="D13" s="2"/>
      <c r="E13" s="1"/>
      <c r="F13" s="12">
        <f>IF(ISBLANK(B13),C13,B13)</f>
      </c>
      <c r="G13" s="4"/>
      <c r="H13" s="5" t="s">
        <v>11</v>
      </c>
      <c r="I13" s="1">
        <f>SUM(F5:F106)</f>
      </c>
    </row>
    <row x14ac:dyDescent="0.25" r="14" customHeight="1" ht="17.25">
      <c r="A14" s="11">
        <v>25568.79196759259</v>
      </c>
      <c r="B14" s="1">
        <f>E14*A$3</f>
      </c>
      <c r="C14" s="2"/>
      <c r="D14" s="2"/>
      <c r="E14" s="1">
        <f>SUM(Kings!X8+CV!X9)</f>
      </c>
      <c r="F14" s="12">
        <f>IF(ISBLANK(B14),C14,B14)</f>
      </c>
      <c r="G14" s="4"/>
      <c r="H14" s="3"/>
      <c r="I14" s="3"/>
    </row>
    <row x14ac:dyDescent="0.25" r="15" customHeight="1" ht="17.25">
      <c r="A15" s="11">
        <v>25568.79196759259</v>
      </c>
      <c r="B15" s="1">
        <f>E15*A$3</f>
      </c>
      <c r="C15" s="2"/>
      <c r="D15" s="2"/>
      <c r="E15" s="1">
        <f>SUM(BHB!X6:X7)</f>
      </c>
      <c r="F15" s="12">
        <f>IF(ISBLANK(B15),C15,B15)</f>
      </c>
      <c r="G15" s="4"/>
      <c r="H15" s="3"/>
      <c r="I15" s="3"/>
    </row>
    <row x14ac:dyDescent="0.25" r="16" customHeight="1" ht="17.25">
      <c r="A16" s="11">
        <v>25568.79196759259</v>
      </c>
      <c r="B16" s="1">
        <f>E16*A$3</f>
      </c>
      <c r="C16" s="2"/>
      <c r="D16" s="2"/>
      <c r="E16" s="1">
        <f>SUM(Kings!X9)</f>
      </c>
      <c r="F16" s="12">
        <f>IF(ISBLANK(B16),C16,B16)</f>
      </c>
      <c r="G16" s="4"/>
      <c r="H16" s="3"/>
      <c r="I16" s="3"/>
    </row>
    <row x14ac:dyDescent="0.25" r="17" customHeight="1" ht="17.25">
      <c r="A17" s="11">
        <v>25568.79196759259</v>
      </c>
      <c r="B17" s="1">
        <f>E17*A$3</f>
      </c>
      <c r="C17" s="2"/>
      <c r="D17" s="2"/>
      <c r="E17" s="1">
        <f>SUM(BHB!X8+Kings!X10+CV!X10)</f>
      </c>
      <c r="F17" s="12">
        <f>IF(ISBLANK(B17),C17,B17)</f>
      </c>
      <c r="G17" s="4"/>
      <c r="H17" s="3"/>
      <c r="I17" s="3"/>
    </row>
    <row x14ac:dyDescent="0.25" r="18" customHeight="1" ht="17.25">
      <c r="A18" s="11">
        <v>25568.79196759259</v>
      </c>
      <c r="B18" s="1"/>
      <c r="C18" s="1">
        <f>SUM(Kings!AG3:AG6,BHB!AG3:AG4,CV!AG3:AG6)</f>
      </c>
      <c r="D18" s="1"/>
      <c r="E18" s="1"/>
      <c r="F18" s="12">
        <f>IF(ISBLANK(B18),C18,B18)</f>
      </c>
      <c r="G18" s="4"/>
      <c r="H18" s="3"/>
      <c r="I18" s="3"/>
    </row>
    <row x14ac:dyDescent="0.25" r="19" customHeight="1" ht="17.25">
      <c r="A19" s="11">
        <v>25568.79196759259</v>
      </c>
      <c r="B19" s="1">
        <f>E19*A$3</f>
      </c>
      <c r="C19" s="2"/>
      <c r="D19" s="2"/>
      <c r="E19" s="1"/>
      <c r="F19" s="12">
        <f>IF(ISBLANK(B19),C19,B19)</f>
      </c>
      <c r="G19" s="4"/>
      <c r="H19" s="3"/>
      <c r="I19" s="3"/>
    </row>
    <row x14ac:dyDescent="0.25" r="20" customHeight="1" ht="17.25">
      <c r="A20" s="11">
        <v>25568.79196759259</v>
      </c>
      <c r="B20" s="1">
        <f>E20*A$3</f>
      </c>
      <c r="C20" s="2"/>
      <c r="D20" s="2"/>
      <c r="E20" s="1">
        <f>SUM(BHB!X9+CV!X11)</f>
      </c>
      <c r="F20" s="12">
        <f>IF(ISBLANK(B20),C20,B20)</f>
      </c>
      <c r="G20" s="4"/>
      <c r="H20" s="3"/>
      <c r="I20" s="3"/>
    </row>
    <row x14ac:dyDescent="0.25" r="21" customHeight="1" ht="17.25">
      <c r="A21" s="11">
        <v>25568.79196759259</v>
      </c>
      <c r="B21" s="1">
        <f>E21*A$3</f>
      </c>
      <c r="C21" s="2"/>
      <c r="D21" s="2"/>
      <c r="E21" s="1"/>
      <c r="F21" s="12">
        <f>IF(ISBLANK(B21),C21,B21)</f>
      </c>
      <c r="G21" s="4"/>
      <c r="H21" s="3"/>
      <c r="I21" s="3"/>
    </row>
    <row x14ac:dyDescent="0.25" r="22" customHeight="1" ht="17.25">
      <c r="A22" s="11">
        <v>25568.79196759259</v>
      </c>
      <c r="B22" s="1">
        <f>E22*A$3</f>
      </c>
      <c r="C22" s="2"/>
      <c r="D22" s="2"/>
      <c r="E22" s="1">
        <f>SUM(Kings!X11)</f>
      </c>
      <c r="F22" s="12">
        <f>IF(ISBLANK(B22),C22,B22)</f>
      </c>
      <c r="G22" s="4"/>
      <c r="H22" s="3"/>
      <c r="I22" s="3"/>
    </row>
    <row x14ac:dyDescent="0.25" r="23" customHeight="1" ht="17.25">
      <c r="A23" s="11">
        <v>25568.79196759259</v>
      </c>
      <c r="B23" s="1"/>
      <c r="C23" s="16">
        <f>SUM(Kings!AH3:AH8,BHB!AH3:AH5,CV!AH3:AH9)</f>
      </c>
      <c r="D23" s="2"/>
      <c r="E23" s="1"/>
      <c r="F23" s="12">
        <f>IF(ISBLANK(B23),C23,B23)</f>
      </c>
      <c r="G23" s="4"/>
      <c r="H23" s="3"/>
      <c r="I23" s="3"/>
    </row>
    <row x14ac:dyDescent="0.25" r="24" customHeight="1" ht="17.25">
      <c r="A24" s="11">
        <v>25568.79196759259</v>
      </c>
      <c r="B24" s="1">
        <f>E24*A$3</f>
      </c>
      <c r="C24" s="2"/>
      <c r="D24" s="2"/>
      <c r="E24" s="1"/>
      <c r="F24" s="12">
        <f>IF(ISBLANK(B24),C24,B24)</f>
      </c>
      <c r="G24" s="4"/>
      <c r="H24" s="3"/>
      <c r="I24" s="3"/>
    </row>
    <row x14ac:dyDescent="0.25" r="25" customHeight="1" ht="17.25">
      <c r="A25" s="11">
        <v>25568.79196759259</v>
      </c>
      <c r="B25" s="1">
        <f>E25*A$3</f>
      </c>
      <c r="C25" s="2"/>
      <c r="D25" s="2"/>
      <c r="E25" s="1">
        <f>SUM(BHB!T10+Kings!T12+CV!T12)</f>
      </c>
      <c r="F25" s="12">
        <f>IF(ISBLANK(B25),C25,B25)</f>
      </c>
      <c r="G25" s="4"/>
      <c r="H25" s="3"/>
      <c r="I25" s="3"/>
    </row>
    <row x14ac:dyDescent="0.25" r="26" customHeight="1" ht="17.25">
      <c r="A26" s="11">
        <v>25568.79196759259</v>
      </c>
      <c r="B26" s="1">
        <f>E26*A$3</f>
      </c>
      <c r="C26" s="2"/>
      <c r="D26" s="2"/>
      <c r="E26" s="1"/>
      <c r="F26" s="12">
        <f>IF(ISBLANK(B26),C26,B26)</f>
      </c>
      <c r="G26" s="4"/>
      <c r="H26" s="3"/>
      <c r="I26" s="3"/>
    </row>
    <row x14ac:dyDescent="0.25" r="27" customHeight="1" ht="17.25">
      <c r="A27" s="11">
        <v>25568.79196759259</v>
      </c>
      <c r="B27" s="1">
        <f>E27*A$3</f>
      </c>
      <c r="C27" s="2"/>
      <c r="D27" s="2"/>
      <c r="E27" s="1">
        <f>SUM(BHB!T11)</f>
      </c>
      <c r="F27" s="12">
        <f>IF(ISBLANK(B27),C27,B27)</f>
      </c>
      <c r="G27" s="4"/>
      <c r="H27" s="3"/>
      <c r="I27" s="3"/>
    </row>
    <row x14ac:dyDescent="0.25" r="28" customHeight="1" ht="17.25">
      <c r="A28" s="11">
        <v>25568.79196759259</v>
      </c>
      <c r="B28" s="1"/>
      <c r="C28" s="1">
        <f>SUM(Kings!AI3:AI10,BHB!AI3:AI8,CV!AI3:AI9)</f>
      </c>
      <c r="D28" s="2"/>
      <c r="E28" s="1"/>
      <c r="F28" s="12">
        <f>IF(ISBLANK(B28),C28,B28)</f>
      </c>
      <c r="G28" s="4"/>
      <c r="H28" s="3"/>
      <c r="I28" s="3"/>
    </row>
    <row x14ac:dyDescent="0.25" r="29" customHeight="1" ht="17.25">
      <c r="A29" s="11">
        <v>25568.79196759259</v>
      </c>
      <c r="B29" s="1">
        <f>E29*A$3</f>
      </c>
      <c r="C29" s="2"/>
      <c r="D29" s="2"/>
      <c r="E29" s="1"/>
      <c r="F29" s="12">
        <f>IF(ISBLANK(B29),C29,B29)</f>
      </c>
      <c r="G29" s="4"/>
      <c r="H29" s="3"/>
      <c r="I29" s="3"/>
    </row>
    <row x14ac:dyDescent="0.25" r="30" customHeight="1" ht="17.25">
      <c r="A30" s="11">
        <v>25568.79196759259</v>
      </c>
      <c r="B30" s="1">
        <f>E30*A$3</f>
      </c>
      <c r="C30" s="2"/>
      <c r="D30" s="2"/>
      <c r="E30" s="1"/>
      <c r="F30" s="12">
        <f>IF(ISBLANK(B30),C30,B30)</f>
      </c>
      <c r="G30" s="4"/>
      <c r="H30" s="3"/>
      <c r="I30" s="3"/>
    </row>
    <row x14ac:dyDescent="0.25" r="31" customHeight="1" ht="17.25">
      <c r="A31" s="11">
        <v>25568.79196759259</v>
      </c>
      <c r="B31" s="1">
        <f>E31*A$3</f>
      </c>
      <c r="C31" s="2"/>
      <c r="D31" s="1">
        <f>SUM(Kings!U13+CV!U13)*A$3</f>
      </c>
      <c r="E31" s="1"/>
      <c r="F31" s="12">
        <f>IF(ISBLANK(B31),C31,B31)</f>
      </c>
      <c r="G31" s="4"/>
      <c r="H31" s="3"/>
      <c r="I31" s="3"/>
    </row>
    <row x14ac:dyDescent="0.25" r="32" customHeight="1" ht="17.25">
      <c r="A32" s="11">
        <v>25568.79196759259</v>
      </c>
      <c r="B32" s="1"/>
      <c r="C32" s="1">
        <f>SUM(Kings!AJ3:AJ11,BHB!AJ3:AJ9,CV!AJ3:AJ11)</f>
      </c>
      <c r="D32" s="2"/>
      <c r="E32" s="1"/>
      <c r="F32" s="12">
        <f>IF(ISBLANK(B32),C32,B32)</f>
      </c>
      <c r="G32" s="4"/>
      <c r="H32" s="3"/>
      <c r="I32" s="3"/>
    </row>
    <row x14ac:dyDescent="0.25" r="33" customHeight="1" ht="17.25">
      <c r="A33" s="11">
        <v>25568.79196759259</v>
      </c>
      <c r="B33" s="1">
        <f>E33*A$3</f>
      </c>
      <c r="C33" s="2"/>
      <c r="D33" s="2"/>
      <c r="E33" s="1">
        <f>SUM(BHB!T12+CV!T14)</f>
      </c>
      <c r="F33" s="12">
        <f>IF(ISBLANK(B33),C33,B33)</f>
      </c>
      <c r="G33" s="4"/>
      <c r="H33" s="3"/>
      <c r="I33" s="3"/>
    </row>
    <row x14ac:dyDescent="0.25" r="34" customHeight="1" ht="17.25">
      <c r="A34" s="11">
        <v>25568.79196759259</v>
      </c>
      <c r="B34" s="1">
        <f>E34*A$3</f>
      </c>
      <c r="C34" s="2"/>
      <c r="D34" s="2"/>
      <c r="E34" s="1"/>
      <c r="F34" s="12">
        <f>IF(ISBLANK(B34),C34,B34)</f>
      </c>
      <c r="G34" s="4"/>
      <c r="H34" s="3"/>
      <c r="I34" s="3"/>
    </row>
    <row x14ac:dyDescent="0.25" r="35" customHeight="1" ht="17.25">
      <c r="A35" s="11">
        <v>25568.79196759259</v>
      </c>
      <c r="B35" s="1">
        <f>E35*A$3</f>
      </c>
      <c r="C35" s="2"/>
      <c r="D35" s="2"/>
      <c r="E35" s="1">
        <f>SUM(BHB!X12,CV!X15)</f>
      </c>
      <c r="F35" s="12">
        <f>IF(ISBLANK(B35),C35,B35)</f>
      </c>
      <c r="G35" s="4"/>
      <c r="H35" s="3"/>
      <c r="I35" s="3"/>
    </row>
    <row x14ac:dyDescent="0.25" r="36" customHeight="1" ht="17.25">
      <c r="A36" s="11">
        <v>25568.79196759259</v>
      </c>
      <c r="B36" s="1">
        <f>E36*A$3</f>
      </c>
      <c r="C36" s="2"/>
      <c r="D36" s="2"/>
      <c r="E36" s="1"/>
      <c r="F36" s="12">
        <f>IF(ISBLANK(B36),C36,B36)</f>
      </c>
      <c r="G36" s="4"/>
      <c r="H36" s="3"/>
      <c r="I36" s="3"/>
    </row>
    <row x14ac:dyDescent="0.25" r="37" customHeight="1" ht="17.25">
      <c r="A37" s="11">
        <v>25568.79196759259</v>
      </c>
      <c r="B37" s="1">
        <f>E37*A$3</f>
      </c>
      <c r="C37" s="1">
        <f>SUM(Kings!AK3:AK12,BHB!AK3:AK11,CV!AK3:AK10)</f>
      </c>
      <c r="D37" s="2"/>
      <c r="E37" s="1"/>
      <c r="F37" s="12">
        <f>IF(ISBLANK(B37),C37,B37)</f>
      </c>
      <c r="G37" s="4"/>
      <c r="H37" s="3"/>
      <c r="I37" s="3"/>
    </row>
    <row x14ac:dyDescent="0.25" r="38" customHeight="1" ht="17.25">
      <c r="A38" s="11">
        <v>25568.79196759259</v>
      </c>
      <c r="B38" s="1">
        <f>E38*A$3</f>
      </c>
      <c r="C38" s="2"/>
      <c r="D38" s="2"/>
      <c r="E38" s="1">
        <f>SUM(Kings!X14:X15,ACS!X3)</f>
      </c>
      <c r="F38" s="12">
        <f>IF(ISBLANK(B38),C38,B38)</f>
      </c>
      <c r="G38" s="4"/>
      <c r="H38" s="3"/>
      <c r="I38" s="3"/>
    </row>
    <row x14ac:dyDescent="0.25" r="39" customHeight="1" ht="17.25">
      <c r="A39" s="11">
        <v>25568.79196759259</v>
      </c>
      <c r="B39" s="1">
        <f>E39*A$3</f>
      </c>
      <c r="C39" s="2"/>
      <c r="D39" s="2"/>
      <c r="E39" s="1"/>
      <c r="F39" s="12">
        <f>IF(ISBLANK(B39),C39,B39)</f>
      </c>
      <c r="G39" s="4"/>
      <c r="H39" s="3"/>
      <c r="I39" s="3"/>
    </row>
    <row x14ac:dyDescent="0.25" r="40" customHeight="1" ht="17.25">
      <c r="A40" s="11">
        <v>25568.79196759259</v>
      </c>
      <c r="B40" s="1">
        <f>E40*A$3</f>
      </c>
      <c r="C40" s="2"/>
      <c r="D40" s="2"/>
      <c r="E40" s="1"/>
      <c r="F40" s="12">
        <f>IF(ISBLANK(B40),C40,B40)</f>
      </c>
      <c r="G40" s="4"/>
      <c r="H40" s="3"/>
      <c r="I40" s="3"/>
    </row>
    <row x14ac:dyDescent="0.25" r="41" customHeight="1" ht="17.25">
      <c r="A41" s="11">
        <v>25568.79196759259</v>
      </c>
      <c r="B41" s="1">
        <f>E41*A$3</f>
      </c>
      <c r="C41" s="2"/>
      <c r="D41" s="2"/>
      <c r="E41" s="1"/>
      <c r="F41" s="12">
        <f>IF(ISBLANK(B41),C41,B41)</f>
      </c>
      <c r="G41" s="4"/>
      <c r="H41" s="3"/>
      <c r="I41" s="3"/>
    </row>
    <row x14ac:dyDescent="0.25" r="42" customHeight="1" ht="17.25">
      <c r="A42" s="11">
        <v>25568.79196759259</v>
      </c>
      <c r="B42" s="1">
        <f>E42*A$3</f>
      </c>
      <c r="C42" s="1">
        <f>SUM(Kings!AL3:AL12,BHB!AL3:AL11,CV!AL3:AL13)</f>
      </c>
      <c r="D42" s="2"/>
      <c r="E42" s="1"/>
      <c r="F42" s="12">
        <f>IF(ISBLANK(B42),C42,B42)</f>
      </c>
      <c r="G42" s="4"/>
      <c r="H42" s="3"/>
      <c r="I42" s="3"/>
    </row>
    <row x14ac:dyDescent="0.25" r="43" customHeight="1" ht="17.25">
      <c r="A43" s="11">
        <v>25568.79196759259</v>
      </c>
      <c r="B43" s="1">
        <f>E43*A$3</f>
      </c>
      <c r="C43" s="2"/>
      <c r="D43" s="2"/>
      <c r="E43" s="1"/>
      <c r="F43" s="12">
        <f>IF(ISBLANK(B43),C43,B43)</f>
      </c>
      <c r="G43" s="4"/>
      <c r="H43" s="3"/>
      <c r="I43" s="3"/>
    </row>
    <row x14ac:dyDescent="0.25" r="44" customHeight="1" ht="17.25">
      <c r="A44" s="11">
        <v>25568.79196759259</v>
      </c>
      <c r="B44" s="1">
        <f>E44*A$3</f>
      </c>
      <c r="C44" s="2"/>
      <c r="D44" s="2"/>
      <c r="E44" s="1"/>
      <c r="F44" s="12">
        <f>IF(ISBLANK(B44),C44,B44)</f>
      </c>
      <c r="G44" s="4"/>
      <c r="H44" s="3"/>
      <c r="I44" s="3"/>
    </row>
    <row x14ac:dyDescent="0.25" r="45" customHeight="1" ht="17.25">
      <c r="A45" s="11">
        <v>25568.79196759259</v>
      </c>
      <c r="B45" s="1">
        <f>E45*A$3</f>
      </c>
      <c r="C45" s="2"/>
      <c r="D45" s="2"/>
      <c r="E45" s="1"/>
      <c r="F45" s="12">
        <f>IF(ISBLANK(B45),C45,B45)</f>
      </c>
      <c r="G45" s="4"/>
      <c r="H45" s="3"/>
      <c r="I45" s="3"/>
    </row>
    <row x14ac:dyDescent="0.25" r="46" customHeight="1" ht="17.25">
      <c r="A46" s="11">
        <v>25568.79196759259</v>
      </c>
      <c r="B46" s="1">
        <f>E46*A$3</f>
      </c>
      <c r="C46" s="2"/>
      <c r="D46" s="2"/>
      <c r="E46" s="1"/>
      <c r="F46" s="12">
        <f>IF(ISBLANK(B46),C46,B46)</f>
      </c>
      <c r="G46" s="4"/>
      <c r="H46" s="3"/>
      <c r="I46" s="3"/>
    </row>
    <row x14ac:dyDescent="0.25" r="47" customHeight="1" ht="17.25">
      <c r="A47" s="11">
        <v>25568.79196759259</v>
      </c>
      <c r="B47" s="1">
        <f>E47*A$3</f>
      </c>
      <c r="C47" s="2"/>
      <c r="D47" s="2"/>
      <c r="E47" s="1"/>
      <c r="F47" s="12">
        <f>IF(ISBLANK(B47),C47,B47)</f>
      </c>
      <c r="G47" s="4"/>
      <c r="H47" s="3"/>
      <c r="I47" s="3"/>
    </row>
    <row x14ac:dyDescent="0.25" r="48" customHeight="1" ht="17.25">
      <c r="A48" s="11">
        <v>25568.79196759259</v>
      </c>
      <c r="B48" s="1">
        <f>E48*A$3</f>
      </c>
      <c r="C48" s="2"/>
      <c r="D48" s="2"/>
      <c r="E48" s="1"/>
      <c r="F48" s="12">
        <f>IF(ISBLANK(B48),C48,B48)</f>
      </c>
      <c r="G48" s="4"/>
      <c r="H48" s="3"/>
      <c r="I48" s="3"/>
    </row>
    <row x14ac:dyDescent="0.25" r="49" customHeight="1" ht="17.25">
      <c r="A49" s="11">
        <v>25568.79196759259</v>
      </c>
      <c r="B49" s="1">
        <f>E49*A$3</f>
      </c>
      <c r="C49" s="2"/>
      <c r="D49" s="2"/>
      <c r="E49" s="1"/>
      <c r="F49" s="12">
        <f>IF(ISBLANK(B49),C49,B49)</f>
      </c>
      <c r="G49" s="4"/>
      <c r="H49" s="3"/>
      <c r="I49" s="3"/>
    </row>
    <row x14ac:dyDescent="0.25" r="50" customHeight="1" ht="17.25">
      <c r="A50" s="11">
        <v>25568.79196759259</v>
      </c>
      <c r="B50" s="1">
        <f>E50*A$3</f>
      </c>
      <c r="C50" s="2"/>
      <c r="D50" s="2"/>
      <c r="E50" s="1"/>
      <c r="F50" s="12">
        <f>IF(ISBLANK(B50),C50,B50)</f>
      </c>
      <c r="G50" s="4"/>
      <c r="H50" s="3"/>
      <c r="I50" s="3"/>
    </row>
    <row x14ac:dyDescent="0.25" r="51" customHeight="1" ht="17.25">
      <c r="A51" s="11">
        <v>25568.79196759259</v>
      </c>
      <c r="B51" s="1">
        <f>E51*A$3</f>
      </c>
      <c r="C51" s="2"/>
      <c r="D51" s="2"/>
      <c r="E51" s="1"/>
      <c r="F51" s="12">
        <f>IF(ISBLANK(B51),C51,B51)</f>
      </c>
      <c r="G51" s="4"/>
      <c r="H51" s="3"/>
      <c r="I51" s="3"/>
    </row>
    <row x14ac:dyDescent="0.25" r="52" customHeight="1" ht="17.25">
      <c r="A52" s="11">
        <v>25568.79196759259</v>
      </c>
      <c r="B52" s="1">
        <f>E52*A$3</f>
      </c>
      <c r="C52" s="2"/>
      <c r="D52" s="2"/>
      <c r="E52" s="1"/>
      <c r="F52" s="12">
        <f>IF(ISBLANK(B52),C52,B52)</f>
      </c>
      <c r="G52" s="4"/>
      <c r="H52" s="3"/>
      <c r="I52" s="3"/>
    </row>
    <row x14ac:dyDescent="0.25" r="53" customHeight="1" ht="17.25">
      <c r="A53" s="11">
        <v>25568.79196759259</v>
      </c>
      <c r="B53" s="1">
        <f>E53*A$3</f>
      </c>
      <c r="C53" s="2"/>
      <c r="D53" s="2"/>
      <c r="E53" s="1"/>
      <c r="F53" s="12">
        <f>IF(ISBLANK(B53),C53,B53)</f>
      </c>
      <c r="G53" s="4"/>
      <c r="H53" s="3"/>
      <c r="I53" s="3"/>
    </row>
    <row x14ac:dyDescent="0.25" r="54" customHeight="1" ht="17.25">
      <c r="A54" s="11">
        <v>25568.79196759259</v>
      </c>
      <c r="B54" s="1">
        <f>E54*A$3</f>
      </c>
      <c r="C54" s="2"/>
      <c r="D54" s="2"/>
      <c r="E54" s="1"/>
      <c r="F54" s="12">
        <f>IF(ISBLANK(B54),C54,B54)</f>
      </c>
      <c r="G54" s="4"/>
      <c r="H54" s="3"/>
      <c r="I54" s="3"/>
    </row>
    <row x14ac:dyDescent="0.25" r="55" customHeight="1" ht="17.25">
      <c r="A55" s="11">
        <v>25568.79196759259</v>
      </c>
      <c r="B55" s="1">
        <f>E55*A$3</f>
      </c>
      <c r="C55" s="2"/>
      <c r="D55" s="2"/>
      <c r="E55" s="1"/>
      <c r="F55" s="12">
        <f>IF(ISBLANK(B55),C55,B55)</f>
      </c>
      <c r="G55" s="4"/>
      <c r="H55" s="3"/>
      <c r="I55" s="3"/>
    </row>
    <row x14ac:dyDescent="0.25" r="56" customHeight="1" ht="17.25">
      <c r="A56" s="11">
        <v>25568.79196759259</v>
      </c>
      <c r="B56" s="1">
        <f>E56*A$3</f>
      </c>
      <c r="C56" s="2"/>
      <c r="D56" s="2"/>
      <c r="E56" s="1"/>
      <c r="F56" s="12">
        <f>IF(ISBLANK(B56),C56,B56)</f>
      </c>
      <c r="G56" s="4"/>
      <c r="H56" s="3"/>
      <c r="I56" s="3"/>
    </row>
    <row x14ac:dyDescent="0.25" r="57" customHeight="1" ht="17.25">
      <c r="A57" s="11">
        <v>25568.79196759259</v>
      </c>
      <c r="B57" s="1">
        <f>E57*A$3</f>
      </c>
      <c r="C57" s="2"/>
      <c r="D57" s="2"/>
      <c r="E57" s="1"/>
      <c r="F57" s="12">
        <f>IF(ISBLANK(B57),C57,B57)</f>
      </c>
      <c r="G57" s="4"/>
      <c r="H57" s="3"/>
      <c r="I57" s="3"/>
    </row>
    <row x14ac:dyDescent="0.25" r="58" customHeight="1" ht="17.25">
      <c r="A58" s="11">
        <v>25568.79196759259</v>
      </c>
      <c r="B58" s="1">
        <f>E58*A$3</f>
      </c>
      <c r="C58" s="2"/>
      <c r="D58" s="2"/>
      <c r="E58" s="1"/>
      <c r="F58" s="12">
        <f>IF(ISBLANK(B58),C58,B58)</f>
      </c>
      <c r="G58" s="4"/>
      <c r="H58" s="3"/>
      <c r="I58" s="3"/>
    </row>
    <row x14ac:dyDescent="0.25" r="59" customHeight="1" ht="17.25">
      <c r="A59" s="11">
        <v>25568.79196759259</v>
      </c>
      <c r="B59" s="1">
        <f>E59*A$3</f>
      </c>
      <c r="C59" s="2"/>
      <c r="D59" s="2"/>
      <c r="E59" s="1"/>
      <c r="F59" s="12">
        <f>IF(ISBLANK(B59),C59,B59)</f>
      </c>
      <c r="G59" s="4"/>
      <c r="H59" s="3"/>
      <c r="I59" s="3"/>
    </row>
    <row x14ac:dyDescent="0.25" r="60" customHeight="1" ht="17.25">
      <c r="A60" s="11">
        <v>25568.79196759259</v>
      </c>
      <c r="B60" s="1">
        <f>E60*A$3</f>
      </c>
      <c r="C60" s="2"/>
      <c r="D60" s="2"/>
      <c r="E60" s="1"/>
      <c r="F60" s="12">
        <f>IF(ISBLANK(B60),C60,B60)</f>
      </c>
      <c r="G60" s="4"/>
      <c r="H60" s="3"/>
      <c r="I60" s="3"/>
    </row>
    <row x14ac:dyDescent="0.25" r="61" customHeight="1" ht="17.25">
      <c r="A61" s="11">
        <v>25568.79196759259</v>
      </c>
      <c r="B61" s="1">
        <f>E61*A$3</f>
      </c>
      <c r="C61" s="2"/>
      <c r="D61" s="2"/>
      <c r="E61" s="1"/>
      <c r="F61" s="12">
        <f>IF(ISBLANK(B61),C61,B61)</f>
      </c>
      <c r="G61" s="4"/>
      <c r="H61" s="3"/>
      <c r="I61" s="3"/>
    </row>
    <row x14ac:dyDescent="0.25" r="62" customHeight="1" ht="17.25">
      <c r="A62" s="11">
        <v>25568.79196759259</v>
      </c>
      <c r="B62" s="1">
        <f>E62*A$3</f>
      </c>
      <c r="C62" s="2"/>
      <c r="D62" s="2"/>
      <c r="E62" s="1"/>
      <c r="F62" s="12">
        <f>IF(ISBLANK(B62),C62,B62)</f>
      </c>
      <c r="G62" s="4"/>
      <c r="H62" s="3"/>
      <c r="I62" s="3"/>
    </row>
    <row x14ac:dyDescent="0.25" r="63" customHeight="1" ht="17.25">
      <c r="A63" s="11">
        <v>25568.79196759259</v>
      </c>
      <c r="B63" s="1">
        <f>E63*A$3</f>
      </c>
      <c r="C63" s="2"/>
      <c r="D63" s="2"/>
      <c r="E63" s="1"/>
      <c r="F63" s="12">
        <f>IF(ISBLANK(B63),C63,B63)</f>
      </c>
      <c r="G63" s="4"/>
      <c r="H63" s="3"/>
      <c r="I63" s="3"/>
    </row>
    <row x14ac:dyDescent="0.25" r="64" customHeight="1" ht="17.25">
      <c r="A64" s="11">
        <v>25568.79196759259</v>
      </c>
      <c r="B64" s="1">
        <f>E64*A$3</f>
      </c>
      <c r="C64" s="2"/>
      <c r="D64" s="2"/>
      <c r="E64" s="1"/>
      <c r="F64" s="12">
        <f>IF(ISBLANK(B64),C64,B64)</f>
      </c>
      <c r="G64" s="4"/>
      <c r="H64" s="3"/>
      <c r="I64" s="3"/>
    </row>
    <row x14ac:dyDescent="0.25" r="65" customHeight="1" ht="17.25">
      <c r="A65" s="11">
        <v>25568.79196759259</v>
      </c>
      <c r="B65" s="1">
        <f>E65*A$3</f>
      </c>
      <c r="C65" s="2"/>
      <c r="D65" s="2"/>
      <c r="E65" s="1"/>
      <c r="F65" s="12">
        <f>IF(ISBLANK(B65),C65,B65)</f>
      </c>
      <c r="G65" s="4"/>
      <c r="H65" s="3"/>
      <c r="I65" s="3"/>
    </row>
    <row x14ac:dyDescent="0.25" r="66" customHeight="1" ht="17.25">
      <c r="A66" s="11">
        <v>25568.79196759259</v>
      </c>
      <c r="B66" s="1">
        <f>E66*A$3</f>
      </c>
      <c r="C66" s="2"/>
      <c r="D66" s="2"/>
      <c r="E66" s="1"/>
      <c r="F66" s="12">
        <f>IF(ISBLANK(B66),C66,B66)</f>
      </c>
      <c r="G66" s="4"/>
      <c r="H66" s="3"/>
      <c r="I66" s="3"/>
    </row>
    <row x14ac:dyDescent="0.25" r="67" customHeight="1" ht="17.25">
      <c r="A67" s="11">
        <v>25568.79196759259</v>
      </c>
      <c r="B67" s="1">
        <f>E67*A$3</f>
      </c>
      <c r="C67" s="2"/>
      <c r="D67" s="2"/>
      <c r="E67" s="1"/>
      <c r="F67" s="12">
        <f>IF(ISBLANK(B67),C67,B67)</f>
      </c>
      <c r="G67" s="4"/>
      <c r="H67" s="3"/>
      <c r="I67" s="3"/>
    </row>
    <row x14ac:dyDescent="0.25" r="68" customHeight="1" ht="17.25">
      <c r="A68" s="11">
        <v>25568.79196759259</v>
      </c>
      <c r="B68" s="1">
        <f>E68*A$3</f>
      </c>
      <c r="C68" s="2"/>
      <c r="D68" s="2"/>
      <c r="E68" s="1"/>
      <c r="F68" s="12">
        <f>IF(ISBLANK(B68),C68,B68)</f>
      </c>
      <c r="G68" s="4"/>
      <c r="H68" s="3"/>
      <c r="I68" s="3"/>
    </row>
    <row x14ac:dyDescent="0.25" r="69" customHeight="1" ht="17.25">
      <c r="A69" s="11">
        <v>25568.79196759259</v>
      </c>
      <c r="B69" s="1">
        <f>E69*A$3</f>
      </c>
      <c r="C69" s="2"/>
      <c r="D69" s="2"/>
      <c r="E69" s="1"/>
      <c r="F69" s="12">
        <f>IF(ISBLANK(B69),C69,B69)</f>
      </c>
      <c r="G69" s="4"/>
      <c r="H69" s="3"/>
      <c r="I69" s="3"/>
    </row>
    <row x14ac:dyDescent="0.25" r="70" customHeight="1" ht="17.25">
      <c r="A70" s="11">
        <v>25568.79196759259</v>
      </c>
      <c r="B70" s="1">
        <f>E70*A$3</f>
      </c>
      <c r="C70" s="2"/>
      <c r="D70" s="2"/>
      <c r="E70" s="1"/>
      <c r="F70" s="12">
        <f>IF(ISBLANK(B70),C70,B70)</f>
      </c>
      <c r="G70" s="4"/>
      <c r="H70" s="3"/>
      <c r="I70" s="3"/>
    </row>
    <row x14ac:dyDescent="0.25" r="71" customHeight="1" ht="17.25">
      <c r="A71" s="11">
        <v>25568.79196759259</v>
      </c>
      <c r="B71" s="1">
        <f>E71*A$3</f>
      </c>
      <c r="C71" s="2"/>
      <c r="D71" s="2"/>
      <c r="E71" s="1"/>
      <c r="F71" s="12">
        <f>IF(ISBLANK(B71),C71,B71)</f>
      </c>
      <c r="G71" s="4"/>
      <c r="H71" s="3"/>
      <c r="I71" s="3"/>
    </row>
    <row x14ac:dyDescent="0.25" r="72" customHeight="1" ht="17.25">
      <c r="A72" s="11">
        <v>25568.79196759259</v>
      </c>
      <c r="B72" s="1">
        <f>E72*A$3</f>
      </c>
      <c r="C72" s="2"/>
      <c r="D72" s="2"/>
      <c r="E72" s="1"/>
      <c r="F72" s="12">
        <f>IF(ISBLANK(B72),C72,B72)</f>
      </c>
      <c r="G72" s="4"/>
      <c r="H72" s="3"/>
      <c r="I72" s="3"/>
    </row>
    <row x14ac:dyDescent="0.25" r="73" customHeight="1" ht="17.25">
      <c r="A73" s="11">
        <v>25568.79196759259</v>
      </c>
      <c r="B73" s="1">
        <f>E73*A$3</f>
      </c>
      <c r="C73" s="2"/>
      <c r="D73" s="2"/>
      <c r="E73" s="1"/>
      <c r="F73" s="12">
        <f>IF(ISBLANK(B73),C73,B73)</f>
      </c>
      <c r="G73" s="4"/>
      <c r="H73" s="3"/>
      <c r="I73" s="3"/>
    </row>
    <row x14ac:dyDescent="0.25" r="74" customHeight="1" ht="17.25">
      <c r="A74" s="11">
        <v>25568.79196759259</v>
      </c>
      <c r="B74" s="1">
        <f>E74*A$3</f>
      </c>
      <c r="C74" s="2"/>
      <c r="D74" s="2"/>
      <c r="E74" s="1"/>
      <c r="F74" s="12">
        <f>IF(ISBLANK(B74),C74,B74)</f>
      </c>
      <c r="G74" s="4"/>
      <c r="H74" s="3"/>
      <c r="I74" s="3"/>
    </row>
    <row x14ac:dyDescent="0.25" r="75" customHeight="1" ht="17.25">
      <c r="A75" s="11">
        <v>25568.79196759259</v>
      </c>
      <c r="B75" s="1">
        <f>E75*A$3</f>
      </c>
      <c r="C75" s="2"/>
      <c r="D75" s="2"/>
      <c r="E75" s="1"/>
      <c r="F75" s="12">
        <f>IF(ISBLANK(B75),C75,B75)</f>
      </c>
      <c r="G75" s="4"/>
      <c r="H75" s="3"/>
      <c r="I75" s="3"/>
    </row>
    <row x14ac:dyDescent="0.25" r="76" customHeight="1" ht="17.25">
      <c r="A76" s="11">
        <v>25568.79196759259</v>
      </c>
      <c r="B76" s="1">
        <f>E76*A$3</f>
      </c>
      <c r="C76" s="2"/>
      <c r="D76" s="2"/>
      <c r="E76" s="1"/>
      <c r="F76" s="12">
        <f>IF(ISBLANK(B76),C76,B76)</f>
      </c>
      <c r="G76" s="4"/>
      <c r="H76" s="3"/>
      <c r="I76" s="3"/>
    </row>
    <row x14ac:dyDescent="0.25" r="77" customHeight="1" ht="17.25">
      <c r="A77" s="11">
        <v>25568.79196759259</v>
      </c>
      <c r="B77" s="1">
        <f>E77*A$3</f>
      </c>
      <c r="C77" s="2"/>
      <c r="D77" s="2"/>
      <c r="E77" s="1"/>
      <c r="F77" s="12">
        <f>IF(ISBLANK(B77),C77,B77)</f>
      </c>
      <c r="G77" s="4"/>
      <c r="H77" s="3"/>
      <c r="I77" s="3"/>
    </row>
    <row x14ac:dyDescent="0.25" r="78" customHeight="1" ht="17.25">
      <c r="A78" s="11">
        <v>25568.79196759259</v>
      </c>
      <c r="B78" s="1">
        <f>E78*A$3</f>
      </c>
      <c r="C78" s="2"/>
      <c r="D78" s="2"/>
      <c r="E78" s="1"/>
      <c r="F78" s="12">
        <f>IF(ISBLANK(B78),C78,B78)</f>
      </c>
      <c r="G78" s="4"/>
      <c r="H78" s="3"/>
      <c r="I78" s="3"/>
    </row>
    <row x14ac:dyDescent="0.25" r="79" customHeight="1" ht="17.25">
      <c r="A79" s="11">
        <v>25568.79196759259</v>
      </c>
      <c r="B79" s="1">
        <f>E79*A$3</f>
      </c>
      <c r="C79" s="2"/>
      <c r="D79" s="2"/>
      <c r="E79" s="1"/>
      <c r="F79" s="12">
        <f>IF(ISBLANK(B79),C79,B79)</f>
      </c>
      <c r="G79" s="4"/>
      <c r="H79" s="3"/>
      <c r="I79" s="3"/>
    </row>
    <row x14ac:dyDescent="0.25" r="80" customHeight="1" ht="17.25">
      <c r="A80" s="11">
        <v>25568.79196759259</v>
      </c>
      <c r="B80" s="1">
        <f>E80*A$3</f>
      </c>
      <c r="C80" s="2"/>
      <c r="D80" s="2"/>
      <c r="E80" s="1"/>
      <c r="F80" s="12">
        <f>IF(ISBLANK(B80),C80,B80)</f>
      </c>
      <c r="G80" s="4"/>
      <c r="H80" s="3"/>
      <c r="I80" s="3"/>
    </row>
    <row x14ac:dyDescent="0.25" r="81" customHeight="1" ht="17.25">
      <c r="A81" s="11">
        <v>25568.79196759259</v>
      </c>
      <c r="B81" s="1">
        <f>E81*A$3</f>
      </c>
      <c r="C81" s="2"/>
      <c r="D81" s="2"/>
      <c r="E81" s="1"/>
      <c r="F81" s="12">
        <f>IF(ISBLANK(B81),C81,B81)</f>
      </c>
      <c r="G81" s="4"/>
      <c r="H81" s="3"/>
      <c r="I81" s="3"/>
    </row>
    <row x14ac:dyDescent="0.25" r="82" customHeight="1" ht="17.25">
      <c r="A82" s="11">
        <v>25568.79196759259</v>
      </c>
      <c r="B82" s="1">
        <f>E82*A$3</f>
      </c>
      <c r="C82" s="2"/>
      <c r="D82" s="2"/>
      <c r="E82" s="1"/>
      <c r="F82" s="12">
        <f>IF(ISBLANK(B82),C82,B82)</f>
      </c>
      <c r="G82" s="4"/>
      <c r="H82" s="3"/>
      <c r="I82" s="3"/>
    </row>
    <row x14ac:dyDescent="0.25" r="83" customHeight="1" ht="17.25">
      <c r="A83" s="11">
        <v>25568.79196759259</v>
      </c>
      <c r="B83" s="1">
        <f>E83*A$3</f>
      </c>
      <c r="C83" s="2"/>
      <c r="D83" s="2"/>
      <c r="E83" s="1"/>
      <c r="F83" s="12">
        <f>IF(ISBLANK(B83),C83,B83)</f>
      </c>
      <c r="G83" s="4"/>
      <c r="H83" s="3"/>
      <c r="I83" s="3"/>
    </row>
    <row x14ac:dyDescent="0.25" r="84" customHeight="1" ht="17.25">
      <c r="A84" s="11">
        <v>25568.79196759259</v>
      </c>
      <c r="B84" s="1">
        <f>E84*A$3</f>
      </c>
      <c r="C84" s="2"/>
      <c r="D84" s="2"/>
      <c r="E84" s="1"/>
      <c r="F84" s="12">
        <f>IF(ISBLANK(B84),C84,B84)</f>
      </c>
      <c r="G84" s="4"/>
      <c r="H84" s="3"/>
      <c r="I84" s="3"/>
    </row>
    <row x14ac:dyDescent="0.25" r="85" customHeight="1" ht="17.25">
      <c r="A85" s="11">
        <v>25568.79196759259</v>
      </c>
      <c r="B85" s="1">
        <f>E85*A$3</f>
      </c>
      <c r="C85" s="2"/>
      <c r="D85" s="2"/>
      <c r="E85" s="1"/>
      <c r="F85" s="12">
        <f>IF(ISBLANK(B85),C85,B85)</f>
      </c>
      <c r="G85" s="4"/>
      <c r="H85" s="3"/>
      <c r="I85" s="3"/>
    </row>
    <row x14ac:dyDescent="0.25" r="86" customHeight="1" ht="17.25">
      <c r="A86" s="11">
        <v>25568.79196759259</v>
      </c>
      <c r="B86" s="1">
        <f>E86*A$3</f>
      </c>
      <c r="C86" s="2"/>
      <c r="D86" s="2"/>
      <c r="E86" s="1"/>
      <c r="F86" s="12">
        <f>IF(ISBLANK(B86),C86,B86)</f>
      </c>
      <c r="G86" s="4"/>
      <c r="H86" s="3"/>
      <c r="I86" s="3"/>
    </row>
    <row x14ac:dyDescent="0.25" r="87" customHeight="1" ht="17.25">
      <c r="A87" s="11">
        <v>25568.79196759259</v>
      </c>
      <c r="B87" s="1">
        <f>E87*A$3</f>
      </c>
      <c r="C87" s="2"/>
      <c r="D87" s="2"/>
      <c r="E87" s="1"/>
      <c r="F87" s="12">
        <f>IF(ISBLANK(B87),C87,B87)</f>
      </c>
      <c r="G87" s="4"/>
      <c r="H87" s="3"/>
      <c r="I87" s="3"/>
    </row>
    <row x14ac:dyDescent="0.25" r="88" customHeight="1" ht="17.25">
      <c r="A88" s="11">
        <v>25568.79196759259</v>
      </c>
      <c r="B88" s="1">
        <f>E88*A$3</f>
      </c>
      <c r="C88" s="2"/>
      <c r="D88" s="2"/>
      <c r="E88" s="1"/>
      <c r="F88" s="12">
        <f>IF(ISBLANK(B88),C88,B88)</f>
      </c>
      <c r="G88" s="4"/>
      <c r="H88" s="3"/>
      <c r="I88" s="3"/>
    </row>
    <row x14ac:dyDescent="0.25" r="89" customHeight="1" ht="17.25">
      <c r="A89" s="11">
        <v>25568.79196759259</v>
      </c>
      <c r="B89" s="1">
        <f>E89*A$3</f>
      </c>
      <c r="C89" s="2"/>
      <c r="D89" s="2"/>
      <c r="E89" s="1"/>
      <c r="F89" s="12">
        <f>IF(ISBLANK(B89),C89,B89)</f>
      </c>
      <c r="G89" s="4"/>
      <c r="H89" s="3"/>
      <c r="I89" s="3"/>
    </row>
    <row x14ac:dyDescent="0.25" r="90" customHeight="1" ht="17.25">
      <c r="A90" s="11">
        <v>25568.79196759259</v>
      </c>
      <c r="B90" s="1">
        <f>E90*A$3</f>
      </c>
      <c r="C90" s="2"/>
      <c r="D90" s="2"/>
      <c r="E90" s="1"/>
      <c r="F90" s="12">
        <f>IF(ISBLANK(B90),C90,B90)</f>
      </c>
      <c r="G90" s="4"/>
      <c r="H90" s="3"/>
      <c r="I90" s="3"/>
    </row>
    <row x14ac:dyDescent="0.25" r="91" customHeight="1" ht="17.25">
      <c r="A91" s="11">
        <v>25568.79196759259</v>
      </c>
      <c r="B91" s="1">
        <f>E91*A$3</f>
      </c>
      <c r="C91" s="2"/>
      <c r="D91" s="2"/>
      <c r="E91" s="1"/>
      <c r="F91" s="12">
        <f>IF(ISBLANK(B91),C91,B91)</f>
      </c>
      <c r="G91" s="4"/>
      <c r="H91" s="3"/>
      <c r="I91" s="3"/>
    </row>
    <row x14ac:dyDescent="0.25" r="92" customHeight="1" ht="17.25">
      <c r="A92" s="11">
        <v>25568.79196759259</v>
      </c>
      <c r="B92" s="1">
        <f>E92*A$3</f>
      </c>
      <c r="C92" s="2"/>
      <c r="D92" s="2"/>
      <c r="E92" s="1"/>
      <c r="F92" s="12">
        <f>IF(ISBLANK(B92),C92,B92)</f>
      </c>
      <c r="G92" s="4"/>
      <c r="H92" s="3"/>
      <c r="I92" s="3"/>
    </row>
    <row x14ac:dyDescent="0.25" r="93" customHeight="1" ht="17.25">
      <c r="A93" s="11">
        <v>25568.79196759259</v>
      </c>
      <c r="B93" s="1">
        <f>E93*A$3</f>
      </c>
      <c r="C93" s="2"/>
      <c r="D93" s="2"/>
      <c r="E93" s="1"/>
      <c r="F93" s="12">
        <f>IF(ISBLANK(B93),C93,B93)</f>
      </c>
      <c r="G93" s="4"/>
      <c r="H93" s="3"/>
      <c r="I93" s="3"/>
    </row>
    <row x14ac:dyDescent="0.25" r="94" customHeight="1" ht="17.25">
      <c r="A94" s="11">
        <v>25568.79196759259</v>
      </c>
      <c r="B94" s="1">
        <f>E94*A$3</f>
      </c>
      <c r="C94" s="2"/>
      <c r="D94" s="2"/>
      <c r="E94" s="1"/>
      <c r="F94" s="12">
        <f>IF(ISBLANK(B94),C94,B94)</f>
      </c>
      <c r="G94" s="4"/>
      <c r="H94" s="3"/>
      <c r="I94" s="3"/>
    </row>
    <row x14ac:dyDescent="0.25" r="95" customHeight="1" ht="17.25">
      <c r="A95" s="11">
        <v>25568.79196759259</v>
      </c>
      <c r="B95" s="1">
        <f>E95*A$3</f>
      </c>
      <c r="C95" s="2"/>
      <c r="D95" s="2"/>
      <c r="E95" s="1"/>
      <c r="F95" s="12">
        <f>IF(ISBLANK(B95),C95,B95)</f>
      </c>
      <c r="G95" s="4"/>
      <c r="H95" s="3"/>
      <c r="I95" s="3"/>
    </row>
    <row x14ac:dyDescent="0.25" r="96" customHeight="1" ht="17.25">
      <c r="A96" s="11">
        <v>25568.79196759259</v>
      </c>
      <c r="B96" s="1">
        <f>E96*A$3</f>
      </c>
      <c r="C96" s="2"/>
      <c r="D96" s="2"/>
      <c r="E96" s="1"/>
      <c r="F96" s="12">
        <f>IF(ISBLANK(B96),C96,B96)</f>
      </c>
      <c r="G96" s="4"/>
      <c r="H96" s="3"/>
      <c r="I96" s="3"/>
    </row>
    <row x14ac:dyDescent="0.25" r="97" customHeight="1" ht="17.25">
      <c r="A97" s="11">
        <v>25568.79196759259</v>
      </c>
      <c r="B97" s="1">
        <f>E97*A$3</f>
      </c>
      <c r="C97" s="2"/>
      <c r="D97" s="2"/>
      <c r="E97" s="1"/>
      <c r="F97" s="12">
        <f>IF(ISBLANK(B97),C97,B97)</f>
      </c>
      <c r="G97" s="4"/>
      <c r="H97" s="3"/>
      <c r="I97" s="3"/>
    </row>
    <row x14ac:dyDescent="0.25" r="98" customHeight="1" ht="17.25">
      <c r="A98" s="11">
        <v>25568.79196759259</v>
      </c>
      <c r="B98" s="1">
        <f>E98*A$3</f>
      </c>
      <c r="C98" s="2"/>
      <c r="D98" s="2"/>
      <c r="E98" s="1"/>
      <c r="F98" s="12">
        <f>IF(ISBLANK(B98),C98,B98)</f>
      </c>
      <c r="G98" s="4"/>
      <c r="H98" s="3"/>
      <c r="I98" s="3"/>
    </row>
    <row x14ac:dyDescent="0.25" r="99" customHeight="1" ht="17.25">
      <c r="A99" s="11">
        <v>25568.79196759259</v>
      </c>
      <c r="B99" s="1">
        <f>E99*A$3</f>
      </c>
      <c r="C99" s="2"/>
      <c r="D99" s="2"/>
      <c r="E99" s="1"/>
      <c r="F99" s="12">
        <f>IF(ISBLANK(B99),C99,B99)</f>
      </c>
      <c r="G99" s="4"/>
      <c r="H99" s="3"/>
      <c r="I99" s="3"/>
    </row>
    <row x14ac:dyDescent="0.25" r="100" customHeight="1" ht="17.25">
      <c r="A100" s="11">
        <v>25568.79196759259</v>
      </c>
      <c r="B100" s="1">
        <f>E100*A$3</f>
      </c>
      <c r="C100" s="2"/>
      <c r="D100" s="2"/>
      <c r="E100" s="1"/>
      <c r="F100" s="12">
        <f>IF(ISBLANK(B100),C100,B100)</f>
      </c>
      <c r="G100" s="4"/>
      <c r="H100" s="3"/>
      <c r="I100" s="3"/>
    </row>
    <row x14ac:dyDescent="0.25" r="101" customHeight="1" ht="17.25">
      <c r="A101" s="11">
        <v>25568.79196759259</v>
      </c>
      <c r="B101" s="1">
        <f>E101*A$3</f>
      </c>
      <c r="C101" s="2"/>
      <c r="D101" s="2"/>
      <c r="E101" s="1"/>
      <c r="F101" s="12">
        <f>IF(ISBLANK(B101),C101,B101)</f>
      </c>
      <c r="G101" s="4"/>
      <c r="H101" s="3"/>
      <c r="I101" s="3"/>
    </row>
    <row x14ac:dyDescent="0.25" r="102" customHeight="1" ht="17.25">
      <c r="A102" s="11">
        <v>25568.79196759259</v>
      </c>
      <c r="B102" s="1">
        <f>E102*A$3</f>
      </c>
      <c r="C102" s="2"/>
      <c r="D102" s="2"/>
      <c r="E102" s="1"/>
      <c r="F102" s="12">
        <f>IF(ISBLANK(B102),C102,B102)</f>
      </c>
      <c r="G102" s="4"/>
      <c r="H102" s="3"/>
      <c r="I102" s="3"/>
    </row>
    <row x14ac:dyDescent="0.25" r="103" customHeight="1" ht="17.25">
      <c r="A103" s="11">
        <v>25568.79196759259</v>
      </c>
      <c r="B103" s="1">
        <f>E103*A$3</f>
      </c>
      <c r="C103" s="2"/>
      <c r="D103" s="2"/>
      <c r="E103" s="1"/>
      <c r="F103" s="12">
        <f>IF(ISBLANK(B103),C103,B103)</f>
      </c>
      <c r="G103" s="4"/>
      <c r="H103" s="3"/>
      <c r="I103" s="3"/>
    </row>
    <row x14ac:dyDescent="0.25" r="104" customHeight="1" ht="17.25">
      <c r="A104" s="11">
        <v>25568.79196759259</v>
      </c>
      <c r="B104" s="1">
        <f>E104*A$3</f>
      </c>
      <c r="C104" s="2"/>
      <c r="D104" s="2"/>
      <c r="E104" s="1"/>
      <c r="F104" s="12">
        <f>IF(ISBLANK(B104),C104,B104)</f>
      </c>
      <c r="G104" s="4"/>
      <c r="H104" s="3"/>
      <c r="I104" s="3"/>
    </row>
    <row x14ac:dyDescent="0.25" r="105" customHeight="1" ht="17.25">
      <c r="A105" s="17"/>
      <c r="B105" s="2"/>
      <c r="C105" s="2"/>
      <c r="D105" s="2"/>
      <c r="E105" s="3"/>
      <c r="F105" s="3"/>
      <c r="G105" s="4"/>
      <c r="H105" s="3"/>
      <c r="I105" s="3"/>
    </row>
    <row x14ac:dyDescent="0.25" r="106" customHeight="1" ht="17.25">
      <c r="A106" s="17"/>
      <c r="B106" s="1"/>
      <c r="C106" s="18"/>
      <c r="D106" s="18"/>
      <c r="E106" s="3"/>
      <c r="F106" s="3"/>
      <c r="G106" s="4"/>
      <c r="H106" s="3"/>
      <c r="I106" s="3"/>
    </row>
    <row x14ac:dyDescent="0.25" r="107" customHeight="1" ht="17.25">
      <c r="A107" s="17"/>
      <c r="B107" s="1"/>
      <c r="C107" s="18"/>
      <c r="D107" s="18"/>
      <c r="E107" s="3"/>
      <c r="F107" s="3"/>
      <c r="G107" s="4"/>
      <c r="H107" s="3"/>
      <c r="I107" s="3"/>
    </row>
    <row x14ac:dyDescent="0.25" r="108" customHeight="1" ht="17.25">
      <c r="A108" s="17"/>
      <c r="B108" s="1"/>
      <c r="C108" s="18"/>
      <c r="D108" s="18"/>
      <c r="E108" s="3"/>
      <c r="F108" s="3"/>
      <c r="G108" s="4"/>
      <c r="H108" s="3"/>
      <c r="I10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8"/>
  <sheetViews>
    <sheetView workbookViewId="0"/>
  </sheetViews>
  <sheetFormatPr defaultRowHeight="15" x14ac:dyDescent="0.25"/>
  <cols>
    <col min="1" max="1" style="88" width="50.14785714285715" customWidth="1" bestFit="1"/>
    <col min="2" max="2" style="20" width="13.005" customWidth="1" bestFit="1"/>
    <col min="3" max="3" style="21" width="1.1478571428571427" customWidth="1" bestFit="1"/>
    <col min="4" max="4" style="88" width="26.862142857142857" customWidth="1" bestFit="1"/>
    <col min="5" max="5" style="88" width="9.576428571428572" customWidth="1" bestFit="1"/>
    <col min="6" max="6" style="20" width="9.147857142857141" customWidth="1" bestFit="1"/>
    <col min="7" max="7" style="21" width="8.290714285714287" customWidth="1" bestFit="1"/>
    <col min="8" max="8" style="21" width="8.862142857142858" customWidth="1" bestFit="1"/>
    <col min="9" max="9" style="21" width="9.576428571428572" customWidth="1" bestFit="1"/>
    <col min="10" max="10" style="21" width="9.290714285714287" customWidth="1" bestFit="1"/>
    <col min="11" max="11" style="21" width="10.147857142857141" customWidth="1" bestFit="1"/>
    <col min="12" max="12" style="21" width="12.43357142857143" customWidth="1" bestFit="1"/>
  </cols>
  <sheetData>
    <row x14ac:dyDescent="0.25" r="1" customHeight="1" ht="16">
      <c r="A1" s="5" t="s">
        <v>1061</v>
      </c>
      <c r="B1" s="2"/>
      <c r="C1" s="3"/>
      <c r="D1" s="487" t="s">
        <v>1062</v>
      </c>
      <c r="E1" s="487"/>
      <c r="F1" s="487"/>
      <c r="G1" s="487"/>
      <c r="H1" s="487"/>
      <c r="I1" s="487"/>
      <c r="J1" s="487"/>
      <c r="K1" s="487"/>
      <c r="L1" s="3"/>
    </row>
    <row x14ac:dyDescent="0.25" r="2" customHeight="1" ht="17.25">
      <c r="A2" s="488" t="s">
        <v>1063</v>
      </c>
      <c r="B2" s="489">
        <f>'R&amp;H Portfolio'!S10</f>
      </c>
      <c r="C2" s="3"/>
      <c r="D2" s="5"/>
      <c r="E2" s="66" t="s">
        <v>1048</v>
      </c>
      <c r="F2" s="66" t="s">
        <v>59</v>
      </c>
      <c r="G2" s="66" t="s">
        <v>58</v>
      </c>
      <c r="H2" s="66" t="s">
        <v>64</v>
      </c>
      <c r="I2" s="66" t="s">
        <v>57</v>
      </c>
      <c r="J2" s="66" t="s">
        <v>62</v>
      </c>
      <c r="K2" s="66" t="s">
        <v>50</v>
      </c>
      <c r="L2" s="3"/>
    </row>
    <row x14ac:dyDescent="0.25" r="3" customHeight="1" ht="16">
      <c r="A3" s="470" t="s">
        <v>53</v>
      </c>
      <c r="B3" s="490">
        <f>'R&amp;H Portfolio'!C10</f>
      </c>
      <c r="C3" s="85"/>
      <c r="D3" s="491" t="s">
        <v>1064</v>
      </c>
      <c r="E3" s="492">
        <f>'BHB-P'!G10/SUM('BHB-P'!G10,'CV-P'!G10,'ACS-P'!G10,'Kings-P'!G10,'Boom-P'!G10,'HHC-P'!G10)</f>
      </c>
      <c r="F3" s="492">
        <f>'Boom-P'!G10/SUM('BHB-P'!G10,'CV-P'!G10,'ACS-P'!G10,'Kings-P'!G10,'Boom-P'!G10,'HHC-P'!G10)</f>
      </c>
      <c r="G3" s="492">
        <f>'HHC-P'!G10/SUM('BHB-P'!G10,'CV-P'!G10,'ACS-P'!G10,'Kings-P'!G10,'Boom-P'!G10,'HHC-P'!IG10)</f>
      </c>
      <c r="H3" s="492">
        <f>'Kings-P'!G10/SUM('CV-P'!G10,'BHB-P'!G10,'ACS-P'!G10,'Kings-P'!G10,'Boom-P'!G10,'HHC-P'!G10)</f>
      </c>
      <c r="I3" s="492">
        <f>'CV-P'!G10/SUM('BHB-P'!G10,'CV-P'!G10,'ACS-P'!G10,'Kings-P'!G10,'Boom-P'!G10,'HHC-P'!G10)</f>
      </c>
      <c r="J3" s="492">
        <f>'ACS-P'!G10/SUM('BHB-P'!G10,'CV-P'!G10,'ACS-P'!G10,'Kings-P'!G10,'Boom-P'!G10,'HHC-P'!G10)</f>
      </c>
      <c r="K3" s="492">
        <f>SUM(E3:J3)</f>
      </c>
      <c r="L3" s="3"/>
    </row>
    <row x14ac:dyDescent="0.25" r="4" customHeight="1" ht="17">
      <c r="A4" s="473" t="s">
        <v>1049</v>
      </c>
      <c r="B4" s="493">
        <f>B2/B3</f>
      </c>
      <c r="C4" s="1"/>
      <c r="D4" s="494" t="s">
        <v>1065</v>
      </c>
      <c r="E4" s="495">
        <f>'BHB-P'!P10</f>
      </c>
      <c r="F4" s="495">
        <f>'Boom-P'!P10</f>
      </c>
      <c r="G4" s="495">
        <f>'HHC-P'!P10</f>
      </c>
      <c r="H4" s="495">
        <f>'Kings-P'!P10</f>
      </c>
      <c r="I4" s="495">
        <f>'CV-P'!P10</f>
      </c>
      <c r="J4" s="495">
        <f>'ACS-P'!P10</f>
      </c>
      <c r="K4" s="495">
        <f>SUM(E4:J4)</f>
      </c>
      <c r="L4" s="3"/>
    </row>
    <row x14ac:dyDescent="0.25" r="5" customHeight="1" ht="16">
      <c r="A5" s="5"/>
      <c r="B5" s="2"/>
      <c r="C5" s="1"/>
      <c r="D5" s="491" t="s">
        <v>1066</v>
      </c>
      <c r="E5" s="496">
        <f>'BHB-P'!U10</f>
      </c>
      <c r="F5" s="496">
        <f>'Boom-P'!U10</f>
      </c>
      <c r="G5" s="497">
        <f>'HHC-P'!U10</f>
      </c>
      <c r="H5" s="496">
        <f>'Kings-P'!U10</f>
      </c>
      <c r="I5" s="496">
        <f>'CV-P'!U10</f>
      </c>
      <c r="J5" s="496">
        <f>'ACS-P'!U10</f>
      </c>
      <c r="K5" s="496">
        <f>AVERAGEIF(E5:J5,"&lt;&gt;0")</f>
      </c>
      <c r="L5" s="3"/>
    </row>
    <row x14ac:dyDescent="0.25" r="6" customHeight="1" ht="17">
      <c r="A6" s="498" t="s">
        <v>1067</v>
      </c>
      <c r="B6" s="2"/>
      <c r="C6" s="3"/>
      <c r="D6" s="499" t="s">
        <v>1068</v>
      </c>
      <c r="E6" s="500">
        <f>'BHB-P'!U10*'R&amp;H-P'!E3</f>
      </c>
      <c r="F6" s="500">
        <f>'Boom-P'!U10*'R&amp;H-P'!F3</f>
      </c>
      <c r="G6" s="500">
        <f>'HHC-P'!U10*'R&amp;H-P'!G3</f>
      </c>
      <c r="H6" s="500">
        <f>'Kings-P'!U10*'R&amp;H-P'!H3</f>
      </c>
      <c r="I6" s="500">
        <f>'CV-P'!U10*'R&amp;H-P'!I3</f>
      </c>
      <c r="J6" s="500">
        <f>'ACS-P'!U10*'R&amp;H-P'!J3</f>
      </c>
      <c r="K6" s="500">
        <f>SUM(E6:J6)</f>
      </c>
      <c r="L6" s="3"/>
    </row>
    <row x14ac:dyDescent="0.25" r="7" customHeight="1" ht="17">
      <c r="A7" s="488" t="s">
        <v>30</v>
      </c>
      <c r="B7" s="489">
        <f>B2</f>
      </c>
      <c r="C7" s="85"/>
      <c r="D7" s="491" t="s">
        <v>1053</v>
      </c>
      <c r="E7" s="501">
        <f>'BHB-P'!I10</f>
      </c>
      <c r="F7" s="501">
        <f>'Boom-P'!I10</f>
      </c>
      <c r="G7" s="501">
        <f>'HHC-P'!I10</f>
      </c>
      <c r="H7" s="501">
        <f>'Kings-P'!I10</f>
      </c>
      <c r="I7" s="501">
        <f>'CV-P'!I10</f>
      </c>
      <c r="J7" s="501">
        <f>'ACS-P'!I10</f>
      </c>
      <c r="K7" s="502">
        <f>SUMPRODUCT(E3:J3,E7:J7)</f>
      </c>
      <c r="L7" s="3"/>
    </row>
    <row x14ac:dyDescent="0.25" r="8" customHeight="1" ht="17">
      <c r="A8" s="470" t="s">
        <v>1069</v>
      </c>
      <c r="B8" s="503">
        <f>'R&amp;H Portfolio'!D10</f>
      </c>
      <c r="C8" s="1"/>
      <c r="D8" s="494" t="s">
        <v>1056</v>
      </c>
      <c r="E8" s="495">
        <f>'BHB-P'!V10</f>
      </c>
      <c r="F8" s="495">
        <f>'Boom-P'!V10</f>
      </c>
      <c r="G8" s="495">
        <f>'HHC-P'!V10</f>
      </c>
      <c r="H8" s="495">
        <f>'Kings-P'!V10</f>
      </c>
      <c r="I8" s="495">
        <f>'CV-P'!V10</f>
      </c>
      <c r="J8" s="495">
        <f>'ACS-P'!V10</f>
      </c>
      <c r="K8" s="495">
        <f>AVERAGEIF(E8:J8,"&lt;&gt;0")</f>
      </c>
      <c r="L8" s="86"/>
    </row>
    <row x14ac:dyDescent="0.25" r="9" customHeight="1" ht="17.25">
      <c r="A9" s="470" t="s">
        <v>1070</v>
      </c>
      <c r="B9" s="490">
        <f>SUM(B7:B8)</f>
      </c>
      <c r="C9" s="1"/>
      <c r="D9" s="491" t="s">
        <v>1057</v>
      </c>
      <c r="E9" s="497">
        <f>'BHB-P'!AF10</f>
      </c>
      <c r="F9" s="497">
        <f>'Boom-P'!AF10</f>
      </c>
      <c r="G9" s="497">
        <f>IFERROR('HHC-P'!AF10,0)</f>
      </c>
      <c r="H9" s="497">
        <f>'Kings-P'!AF10</f>
      </c>
      <c r="I9" s="497">
        <f>'CV-P'!AF10</f>
      </c>
      <c r="J9" s="497">
        <f>'ACS-P'!AF10</f>
      </c>
      <c r="K9" s="497">
        <f>SUMPRODUCT(E3:J3,E9:J9)</f>
      </c>
      <c r="L9" s="3"/>
    </row>
    <row x14ac:dyDescent="0.25" r="10" customHeight="1" ht="17.25">
      <c r="A10" s="470" t="s">
        <v>56</v>
      </c>
      <c r="B10" s="490">
        <f>B3</f>
      </c>
      <c r="C10" s="1"/>
      <c r="D10" s="504" t="s">
        <v>1071</v>
      </c>
      <c r="E10" s="505">
        <f>(EFFECT((E7-1)*(12/E5),365))</f>
      </c>
      <c r="F10" s="505">
        <f>(EFFECT((F7-1)*(12/F5),365))</f>
      </c>
      <c r="G10" s="505">
        <f>(EFFECT((G7-1)*(12/G5),365))</f>
      </c>
      <c r="H10" s="505">
        <f>(EFFECT((H7-1)*(12/H5),365))</f>
      </c>
      <c r="I10" s="505">
        <f>(EFFECT((I7-1)*(12/I5),365))</f>
      </c>
      <c r="J10" s="505">
        <f>(EFFECT((J7-1)*(12/J5),365))</f>
      </c>
      <c r="K10" s="505">
        <f>B18</f>
      </c>
      <c r="L10" s="3"/>
    </row>
    <row x14ac:dyDescent="0.25" r="11" customHeight="1" ht="17.25">
      <c r="A11" s="473" t="s">
        <v>1054</v>
      </c>
      <c r="B11" s="493">
        <f>B9/B10</f>
      </c>
      <c r="C11" s="1"/>
      <c r="D11" s="5"/>
      <c r="E11" s="5"/>
      <c r="F11" s="506"/>
      <c r="G11" s="3"/>
      <c r="H11" s="3"/>
      <c r="I11" s="3"/>
      <c r="J11" s="3"/>
      <c r="K11" s="3"/>
      <c r="L11" s="3"/>
    </row>
    <row x14ac:dyDescent="0.25" r="12" customHeight="1" ht="17.25">
      <c r="A12" s="5"/>
      <c r="B12" s="2"/>
      <c r="C12" s="3"/>
      <c r="D12" s="5"/>
      <c r="E12" s="5"/>
      <c r="F12" s="2"/>
      <c r="G12" s="3"/>
      <c r="H12" s="3"/>
      <c r="I12" s="3"/>
      <c r="J12" s="3"/>
      <c r="K12" s="3"/>
      <c r="L12" s="3"/>
    </row>
    <row x14ac:dyDescent="0.25" r="13" customHeight="1" ht="17.25">
      <c r="A13" s="498" t="s">
        <v>1072</v>
      </c>
      <c r="B13" s="2"/>
      <c r="C13" s="3"/>
      <c r="D13" s="498" t="s">
        <v>1073</v>
      </c>
      <c r="E13" s="5"/>
      <c r="F13" s="2"/>
      <c r="G13" s="3"/>
      <c r="H13" s="3"/>
      <c r="I13" s="3"/>
      <c r="J13" s="3"/>
      <c r="K13" s="3"/>
      <c r="L13" s="3"/>
    </row>
    <row x14ac:dyDescent="0.25" r="14" customHeight="1" ht="17.25">
      <c r="A14" s="488" t="s">
        <v>1074</v>
      </c>
      <c r="B14" s="507">
        <f>'R&amp;H Portfolio'!I10-1</f>
      </c>
      <c r="C14" s="3"/>
      <c r="D14" s="488" t="s">
        <v>1074</v>
      </c>
      <c r="E14" s="508"/>
      <c r="F14" s="507">
        <f>B4-1</f>
      </c>
      <c r="G14" s="3"/>
      <c r="H14" s="3"/>
      <c r="I14" s="3"/>
      <c r="J14" s="3"/>
      <c r="K14" s="3"/>
      <c r="L14" s="3"/>
    </row>
    <row x14ac:dyDescent="0.25" r="15" customHeight="1" ht="17.25">
      <c r="A15" s="470" t="s">
        <v>1075</v>
      </c>
      <c r="B15" s="509">
        <f>K6</f>
      </c>
      <c r="C15" s="3"/>
      <c r="D15" s="470" t="s">
        <v>1075</v>
      </c>
      <c r="E15" s="47"/>
      <c r="F15" s="509">
        <f>K6</f>
      </c>
      <c r="G15" s="3"/>
      <c r="H15" s="3"/>
      <c r="I15" s="3"/>
      <c r="J15" s="3"/>
      <c r="K15" s="3"/>
      <c r="L15" s="3"/>
    </row>
    <row x14ac:dyDescent="0.25" r="16" customHeight="1" ht="17.25">
      <c r="A16" s="470" t="s">
        <v>1076</v>
      </c>
      <c r="B16" s="510">
        <f>12/B15</f>
      </c>
      <c r="C16" s="3"/>
      <c r="D16" s="470" t="s">
        <v>1076</v>
      </c>
      <c r="E16" s="47"/>
      <c r="F16" s="510">
        <f>12/F15</f>
      </c>
      <c r="G16" s="3"/>
      <c r="H16" s="3"/>
      <c r="I16" s="3"/>
      <c r="J16" s="3"/>
      <c r="K16" s="3"/>
      <c r="L16" s="3"/>
    </row>
    <row x14ac:dyDescent="0.25" r="17" customHeight="1" ht="17.25">
      <c r="A17" s="470" t="s">
        <v>1077</v>
      </c>
      <c r="B17" s="511">
        <f>B16*B14</f>
      </c>
      <c r="C17" s="3"/>
      <c r="D17" s="470" t="s">
        <v>1077</v>
      </c>
      <c r="E17" s="47"/>
      <c r="F17" s="511">
        <f>F16*F14</f>
      </c>
      <c r="G17" s="3"/>
      <c r="H17" s="3"/>
      <c r="I17" s="3"/>
      <c r="J17" s="3"/>
      <c r="K17" s="3"/>
      <c r="L17" s="3"/>
    </row>
    <row x14ac:dyDescent="0.25" r="18" customHeight="1" ht="17.25">
      <c r="A18" s="473" t="s">
        <v>1078</v>
      </c>
      <c r="B18" s="512">
        <f>EFFECT(B17,365)</f>
      </c>
      <c r="C18" s="3"/>
      <c r="D18" s="473" t="s">
        <v>1078</v>
      </c>
      <c r="E18" s="474"/>
      <c r="F18" s="512">
        <f>EFFECT(F17,365)</f>
      </c>
      <c r="G18" s="3"/>
      <c r="H18" s="3"/>
      <c r="I18" s="3"/>
      <c r="J18" s="3"/>
      <c r="K18" s="3"/>
      <c r="L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6"/>
  <sheetViews>
    <sheetView workbookViewId="0"/>
  </sheetViews>
  <sheetFormatPr defaultRowHeight="15" x14ac:dyDescent="0.25"/>
  <cols>
    <col min="1" max="1" style="21" width="10.576428571428572" customWidth="1" bestFit="1"/>
    <col min="2" max="2" style="21" width="5.862142857142857" customWidth="1" bestFit="1"/>
    <col min="3" max="3" style="21" width="11.147857142857141" customWidth="1" bestFit="1"/>
    <col min="4" max="4" style="21" width="9.719285714285713" customWidth="1" bestFit="1"/>
    <col min="5" max="5" style="21" width="10.290714285714287" customWidth="1" bestFit="1"/>
    <col min="6" max="6" style="21" width="9.147857142857141" customWidth="1" bestFit="1"/>
    <col min="7" max="7" style="21" width="13.147857142857141" customWidth="1" bestFit="1"/>
    <col min="8" max="8" style="21" width="13.719285714285713" customWidth="1" bestFit="1"/>
    <col min="9" max="9" style="21" width="8.862142857142858" customWidth="1" bestFit="1"/>
    <col min="10" max="10" style="21" width="9.576428571428572" customWidth="1" bestFit="1"/>
    <col min="11" max="11" style="21" width="6.862142857142857" customWidth="1" bestFit="1"/>
    <col min="12" max="12" style="21" width="12.147857142857141" customWidth="1" bestFit="1"/>
    <col min="13" max="13" style="21" width="9.576428571428572" customWidth="1" bestFit="1"/>
    <col min="14" max="14" style="21" width="8.005" customWidth="1" bestFit="1"/>
    <col min="15" max="15" style="21" width="10.147857142857141" customWidth="1" bestFit="1"/>
    <col min="16" max="16" style="21" width="9.576428571428572" customWidth="1" bestFit="1"/>
    <col min="17" max="17" style="21" width="11.862142857142858" customWidth="1" bestFit="1"/>
    <col min="18" max="18" style="21" width="7.576428571428571" customWidth="1" bestFit="1"/>
    <col min="19" max="19" style="21" width="13.719285714285713" customWidth="1" bestFit="1"/>
    <col min="20" max="20" style="21" width="8.576428571428572" customWidth="1" bestFit="1"/>
    <col min="21" max="21" style="21" width="7.576428571428571" customWidth="1" bestFit="1"/>
    <col min="22" max="22" style="21" width="9.576428571428572" customWidth="1" bestFit="1"/>
    <col min="23" max="23" style="89" width="10.576428571428572" customWidth="1" bestFit="1"/>
    <col min="24" max="24" style="21" width="8.576428571428572" customWidth="1" bestFit="1"/>
    <col min="25" max="25" style="21" width="9.005" customWidth="1" bestFit="1"/>
    <col min="26" max="26" style="89" width="6.576428571428571" customWidth="1" bestFit="1"/>
    <col min="27" max="27" style="21" width="10.147857142857141" customWidth="1" bestFit="1"/>
    <col min="28" max="28" style="21" width="9.147857142857141" customWidth="1" bestFit="1"/>
    <col min="29" max="29" style="21" width="8.719285714285713" customWidth="1" bestFit="1"/>
    <col min="30" max="30" style="21" width="8.719285714285713" customWidth="1" bestFit="1"/>
    <col min="31" max="31" style="22" width="12.43357142857143" customWidth="1" bestFit="1"/>
  </cols>
  <sheetData>
    <row x14ac:dyDescent="0.25" r="1" customHeight="1" ht="16">
      <c r="A1" s="455" t="s">
        <v>1042</v>
      </c>
      <c r="B1" s="455" t="s">
        <v>1042</v>
      </c>
      <c r="C1" s="455" t="s">
        <v>1042</v>
      </c>
      <c r="D1" s="455" t="s">
        <v>1042</v>
      </c>
      <c r="E1" s="455" t="s">
        <v>1042</v>
      </c>
      <c r="F1" s="455" t="s">
        <v>1042</v>
      </c>
      <c r="G1" s="455" t="s">
        <v>1042</v>
      </c>
      <c r="H1" s="455" t="s">
        <v>1042</v>
      </c>
      <c r="I1" s="455" t="s">
        <v>1042</v>
      </c>
      <c r="J1" s="455" t="s">
        <v>1042</v>
      </c>
      <c r="K1" s="455" t="s">
        <v>1042</v>
      </c>
      <c r="L1" s="455" t="s">
        <v>1042</v>
      </c>
      <c r="M1" s="455" t="s">
        <v>1042</v>
      </c>
      <c r="N1" s="455" t="s">
        <v>1042</v>
      </c>
      <c r="O1" s="455" t="s">
        <v>1042</v>
      </c>
      <c r="P1" s="455" t="s">
        <v>1042</v>
      </c>
      <c r="Q1" s="455" t="s">
        <v>1042</v>
      </c>
      <c r="R1" s="455" t="s">
        <v>1042</v>
      </c>
      <c r="S1" s="455" t="s">
        <v>1042</v>
      </c>
      <c r="T1" s="455" t="s">
        <v>1042</v>
      </c>
      <c r="U1" s="455" t="s">
        <v>1042</v>
      </c>
      <c r="V1" s="455" t="s">
        <v>1042</v>
      </c>
      <c r="W1" s="456">
        <v>0.2</v>
      </c>
      <c r="X1" s="162"/>
      <c r="Y1" s="162"/>
      <c r="Z1" s="457">
        <v>0.03</v>
      </c>
      <c r="AA1" s="3"/>
      <c r="AB1" s="3"/>
      <c r="AC1" s="3"/>
      <c r="AD1" s="3"/>
      <c r="AE1" s="4"/>
    </row>
    <row x14ac:dyDescent="0.25" r="2" customHeight="1" ht="83.25" customFormat="1" s="6">
      <c r="A2" s="4"/>
      <c r="B2" s="97" t="s">
        <v>15</v>
      </c>
      <c r="C2" s="97" t="s">
        <v>16</v>
      </c>
      <c r="D2" s="97" t="s">
        <v>1043</v>
      </c>
      <c r="E2" s="98" t="s">
        <v>18</v>
      </c>
      <c r="F2" s="99" t="s">
        <v>19</v>
      </c>
      <c r="G2" s="97" t="s">
        <v>20</v>
      </c>
      <c r="H2" s="97" t="s">
        <v>21</v>
      </c>
      <c r="I2" s="98" t="s">
        <v>22</v>
      </c>
      <c r="J2" s="98" t="s">
        <v>23</v>
      </c>
      <c r="K2" s="98" t="s">
        <v>24</v>
      </c>
      <c r="L2" s="102" t="s">
        <v>25</v>
      </c>
      <c r="M2" s="103" t="s">
        <v>26</v>
      </c>
      <c r="N2" s="104" t="s">
        <v>27</v>
      </c>
      <c r="O2" s="105" t="s">
        <v>28</v>
      </c>
      <c r="P2" s="106" t="s">
        <v>29</v>
      </c>
      <c r="Q2" s="107" t="s">
        <v>30</v>
      </c>
      <c r="R2" s="43" t="s">
        <v>31</v>
      </c>
      <c r="S2" s="42" t="s">
        <v>32</v>
      </c>
      <c r="T2" s="109" t="s">
        <v>1044</v>
      </c>
      <c r="U2" s="109" t="s">
        <v>1045</v>
      </c>
      <c r="V2" s="109" t="s">
        <v>35</v>
      </c>
      <c r="W2" s="110" t="s">
        <v>36</v>
      </c>
      <c r="X2" s="109" t="s">
        <v>26</v>
      </c>
      <c r="Y2" s="109" t="s">
        <v>27</v>
      </c>
      <c r="Z2" s="458" t="s">
        <v>61</v>
      </c>
      <c r="AA2" s="109" t="s">
        <v>38</v>
      </c>
      <c r="AB2" s="109" t="s">
        <v>1046</v>
      </c>
      <c r="AC2" s="111" t="s">
        <v>40</v>
      </c>
      <c r="AD2" s="111" t="s">
        <v>1047</v>
      </c>
      <c r="AE2" s="4"/>
    </row>
    <row x14ac:dyDescent="0.25" r="3" customHeight="1" ht="17.25">
      <c r="A3" s="47" t="s">
        <v>44</v>
      </c>
      <c r="B3" s="48">
        <f>('Kings-P'!B3)+('CV-P'!B3)+('ACS-P'!B3)+('BHB-P'!B3)</f>
      </c>
      <c r="C3" s="49">
        <f>('Kings-P'!C3)+('CV-P'!C3)+('ACS-P'!C3)+('BHB-P'!C3)</f>
      </c>
      <c r="D3" s="49">
        <f>('Kings-P'!D3)+('CV-P'!D3)+('ACS-P'!D3)+('BHB-P'!D3)</f>
      </c>
      <c r="E3" s="50">
        <f>('Kings-P'!E3)+('CV-P'!E3)+('ACS-P'!E3)+('BHB-P'!E3)</f>
      </c>
      <c r="F3" s="51">
        <f>('Kings-P'!F3)+('CV-P'!F3)+('ACS-P'!F3)+('BHB-P'!F3)</f>
      </c>
      <c r="G3" s="49">
        <f>('Kings-P'!G3)+('CV-P'!G3)+('ACS-P'!G3)+('BHB-P'!G3)</f>
      </c>
      <c r="H3" s="49">
        <f>('Kings-P'!H3)+('CV-P'!H3)+('ACS-P'!H3)+('BHB-P'!H3)</f>
      </c>
      <c r="I3" s="92">
        <f>H3/G3</f>
      </c>
      <c r="J3" s="53">
        <f>1/I3</f>
      </c>
      <c r="K3" s="54">
        <f>1-J3</f>
      </c>
      <c r="L3" s="55">
        <f>('Kings-P'!L3)+('CV-P'!L3)+('ACS-P'!L3)+('BHB-P'!L3)</f>
      </c>
      <c r="M3" s="49">
        <f>('Kings-P'!M3)+('CV-P'!M3)+('ACS-P'!M3)+('BHB-P'!M3)</f>
      </c>
      <c r="N3" s="56">
        <f>('Kings-P'!N3)+('CV-P'!N3)+('ACS-P'!N3)+('BHB-P'!N3)</f>
      </c>
      <c r="O3" s="57">
        <f>G3-M3</f>
      </c>
      <c r="P3" s="58">
        <f>O3-N3</f>
      </c>
      <c r="Q3" s="59">
        <f>SUM('BHB-P'!Q3+'Kings-P'!Q3+'CV-P'!Q3+'ACS-P'!Q3)</f>
      </c>
      <c r="R3" s="60">
        <f>SUM('BHB-P'!R3+'Kings-P'!R3+'CV-P'!R3+'ACS-P'!R3)</f>
      </c>
      <c r="S3" s="59">
        <f>Q3-R3</f>
      </c>
      <c r="T3" s="49">
        <f>SUM('BHB-P'!T3+'Kings-P'!T3+'CV-P'!T3+'ACS-P'!T3)</f>
      </c>
      <c r="U3" s="61">
        <f>AVERAGE('BHB-P'!U3,'Kings-P'!U3,'ACS-P'!U3,'CV-P'!U3)</f>
      </c>
      <c r="V3" s="49">
        <f>G3/B3</f>
      </c>
      <c r="W3" s="62">
        <f>IF(((L3/G3)-1)&lt;0,"-na- ",(L3/G3)-1)</f>
      </c>
      <c r="X3" s="49">
        <f>L3*J3</f>
      </c>
      <c r="Y3" s="49">
        <f>L3*K3</f>
      </c>
      <c r="Z3" s="14"/>
      <c r="AA3" s="70"/>
      <c r="AB3" s="3"/>
      <c r="AC3" s="459">
        <f>IF(((AB5/G3)-1)&lt;0,"-na-",(AB5/G3)-1)</f>
      </c>
      <c r="AD3" s="3"/>
      <c r="AE3" s="4"/>
    </row>
    <row x14ac:dyDescent="0.25" r="4" customHeight="1" ht="17.25">
      <c r="A4" s="5" t="s">
        <v>45</v>
      </c>
      <c r="B4" s="48">
        <f>('Kings-P'!B4)+('CV-P'!B4)+('ACS-P'!B4)+('BHB-P'!B4)</f>
      </c>
      <c r="C4" s="49">
        <f>('Kings-P'!C4)+('CV-P'!C4)+('ACS-P'!C4)+('BHB-P'!C4)</f>
      </c>
      <c r="D4" s="49">
        <f>('Kings-P'!D4)+('CV-P'!D4)+('ACS-P'!D4)+('BHB-P'!D4)</f>
      </c>
      <c r="E4" s="50">
        <f>('Kings-P'!E4)+('CV-P'!E4)+('ACS-P'!E4)+('BHB-P'!E4)</f>
      </c>
      <c r="F4" s="51">
        <f>('Kings-P'!F4)+('CV-P'!F4)+('ACS-P'!F4)+('BHB-P'!F4)</f>
      </c>
      <c r="G4" s="49">
        <f>('Kings-P'!G4)+('CV-P'!G4)+('ACS-P'!G4)+('BHB-P'!G4)</f>
      </c>
      <c r="H4" s="49">
        <f>('Kings-P'!H4)+('CV-P'!H4)+('ACS-P'!H4)+('BHB-P'!H4)</f>
      </c>
      <c r="I4" s="92">
        <f>H4/G4</f>
      </c>
      <c r="J4" s="53">
        <f>1/I4</f>
      </c>
      <c r="K4" s="54">
        <f>1-J4</f>
      </c>
      <c r="L4" s="55">
        <f>('Kings-P'!L4)+('CV-P'!L4)+('ACS-P'!L4)+('BHB-P'!L4)</f>
      </c>
      <c r="M4" s="49">
        <f>('Kings-P'!M4)+('CV-P'!M4)+('ACS-P'!M4)+('BHB-P'!M4)</f>
      </c>
      <c r="N4" s="56">
        <f>('Kings-P'!N4)+('CV-P'!N4)+('ACS-P'!N4)+('BHB-P'!N4)</f>
      </c>
      <c r="O4" s="57">
        <f>G4-M4</f>
      </c>
      <c r="P4" s="58">
        <f>O4-N4</f>
      </c>
      <c r="Q4" s="59">
        <f>SUM('BHB-P'!Q4+'Kings-P'!Q4+'CV-P'!Q4+'ACS-P'!Q4)</f>
      </c>
      <c r="R4" s="60">
        <f>SUM('BHB-P'!R4+'Kings-P'!R4+'CV-P'!R4+'ACS-P'!R4)</f>
      </c>
      <c r="S4" s="59">
        <f>Q4-R4</f>
      </c>
      <c r="T4" s="49">
        <f>SUM('BHB-P'!T4+'Kings-P'!T4+'CV-P'!T4+'ACS-P'!T4)</f>
      </c>
      <c r="U4" s="61">
        <f>AVERAGE('BHB-P'!U4,'Kings-P'!U4,'ACS-P'!U4,'CV-P'!U4)</f>
      </c>
      <c r="V4" s="49">
        <f>G4/B4</f>
      </c>
      <c r="W4" s="62">
        <f>IF(((L4/G4)-1)&lt;0,"-na- ",(L4/G4)-1)</f>
      </c>
      <c r="X4" s="49">
        <f>L4*J4</f>
      </c>
      <c r="Y4" s="49">
        <f>L4*K4</f>
      </c>
      <c r="Z4" s="379"/>
      <c r="AA4" s="70"/>
      <c r="AB4" s="47"/>
      <c r="AC4" s="3"/>
      <c r="AD4" s="3"/>
      <c r="AE4" s="4"/>
    </row>
    <row x14ac:dyDescent="0.25" r="5" customHeight="1" ht="17.25">
      <c r="A5" s="47" t="s">
        <v>46</v>
      </c>
      <c r="B5" s="48">
        <f>('Kings-P'!B5)+('CV-P'!B5)+('ACS-P'!B5)+('BHB-P'!B5)+('Boom-P'!B5)</f>
      </c>
      <c r="C5" s="49">
        <f>('Kings-P'!C5)+('CV-P'!C5)+('ACS-P'!C5)+('BHB-P'!C5)+('Boom-P'!C5)</f>
      </c>
      <c r="D5" s="49">
        <f>('Kings-P'!D5)+('CV-P'!D5)+('ACS-P'!D5)+('BHB-P'!D5)+('Boom-P'!D5)</f>
      </c>
      <c r="E5" s="50">
        <f>('Kings-P'!E5)+('CV-P'!E5)+('ACS-P'!E5)+('BHB-P'!E5)+('Boom-P'!E5)</f>
      </c>
      <c r="F5" s="51">
        <f>('Kings-P'!F5)+('CV-P'!F5)+('ACS-P'!F5)+('BHB-P'!F5)+('Boom-P'!F5)</f>
      </c>
      <c r="G5" s="49">
        <f>('Kings-P'!G5)+('CV-P'!G5)+('ACS-P'!G5)+('BHB-P'!G5)+('Boom-P'!G5)</f>
      </c>
      <c r="H5" s="49">
        <f>('Kings-P'!H5)+('CV-P'!H5)+('ACS-P'!H5)+('BHB-P'!H5)+('Boom-P'!H5)</f>
      </c>
      <c r="I5" s="92">
        <f>IFERROR(H5/G5,0)</f>
      </c>
      <c r="J5" s="53">
        <f>IFERROR(1/I5,0)</f>
      </c>
      <c r="K5" s="54">
        <f>1-J5</f>
      </c>
      <c r="L5" s="55">
        <f>('Kings-P'!L5)+('CV-P'!L5)+('ACS-P'!L5)+('BHB-P'!L5)+('Boom-P'!L5)</f>
      </c>
      <c r="M5" s="49">
        <f>('Kings-P'!M5)+('CV-P'!M5)+('ACS-P'!M5)+('BHB-P'!M5)+('Boom-P'!M5)</f>
      </c>
      <c r="N5" s="56">
        <f>('Kings-P'!N5)+('CV-P'!N5)+('ACS-P'!N5)+('BHB-P'!N5)+('Boom-P'!N5)</f>
      </c>
      <c r="O5" s="57">
        <f>G5-M5</f>
      </c>
      <c r="P5" s="58">
        <f>O5-N5</f>
      </c>
      <c r="Q5" s="59">
        <f>SUM('BHB-P'!Q5+'Kings-P'!Q5+'CV-P'!Q5+'ACS-P'!Q5)+('Boom-P'!Q5)</f>
      </c>
      <c r="R5" s="60">
        <f>SUM('BHB-P'!R5+'Kings-P'!R5+'CV-P'!R5+'ACS-P'!R5)+('Boom-P'!R5)</f>
      </c>
      <c r="S5" s="59">
        <f>Q5-R5</f>
      </c>
      <c r="T5" s="49">
        <f>SUM('BHB-P'!T5+'Kings-P'!T5+'CV-P'!T5+'ACS-P'!T5+'Boom-P'!T5)</f>
      </c>
      <c r="U5" s="61">
        <f>AVERAGE('BHB-P'!U5,'Kings-P'!U5,'ACS-P'!U5,'CV-P'!U5,'Boom-P'!U5)</f>
      </c>
      <c r="V5" s="49">
        <f>IFERROR(G5/B5,0)</f>
      </c>
      <c r="W5" s="62">
        <f>IFERROR(IF(((L5/G5)-1)&lt;0,"-na- ",(L5/G5)-1),0)</f>
      </c>
      <c r="X5" s="49">
        <f>L5*J5</f>
      </c>
      <c r="Y5" s="49">
        <f>L5*K5</f>
      </c>
      <c r="Z5" s="14"/>
      <c r="AA5" s="49">
        <f>N10*W1</f>
      </c>
      <c r="AB5" s="12">
        <f>L$10-AA5</f>
      </c>
      <c r="AC5" s="3"/>
      <c r="AD5" s="3"/>
      <c r="AE5" s="4"/>
    </row>
    <row x14ac:dyDescent="0.25" r="6" customHeight="1" ht="17.25">
      <c r="A6" s="5" t="s">
        <v>47</v>
      </c>
      <c r="B6" s="48">
        <f>('Kings-P'!B6)+('CV-P'!B6)+('ACS-P'!B6)+('BHB-P'!B6)+('Boom-P'!B6)+('HHC-P'!B6)</f>
      </c>
      <c r="C6" s="49">
        <f>('Kings-P'!C6)+('CV-P'!C6)+('ACS-P'!C6)+('BHB-P'!C6)+('Boom-P'!C6)+('HHC-P'!C6)</f>
      </c>
      <c r="D6" s="49">
        <f>('Kings-P'!D6)+('CV-P'!D6)+('ACS-P'!D6)+('BHB-P'!D6)+('Boom-P'!D6)+('HHC-P'!D6)</f>
      </c>
      <c r="E6" s="50">
        <f>('Kings-P'!E6)+('CV-P'!E6)+('ACS-P'!E6)+('BHB-P'!E6)+('Boom-P'!E6)+('HHC-P'!E6)</f>
      </c>
      <c r="F6" s="51">
        <f>('Kings-P'!F6)+('CV-P'!F6)+('ACS-P'!F6)+('BHB-P'!F6)+('Boom-P'!F6)+('HHC-P'!F6)</f>
      </c>
      <c r="G6" s="49">
        <f>('Kings-P'!G6)+('CV-P'!G6)+('ACS-P'!G6)+('BHB-P'!G6)+('Boom-P'!G6)+('HHC-P'!G6)</f>
      </c>
      <c r="H6" s="49">
        <f>('Kings-P'!H6)+('CV-P'!H6)+('ACS-P'!H6)+('BHB-P'!H6)+('Boom-P'!H6)+('HHC-P'!H6)</f>
      </c>
      <c r="I6" s="92">
        <f>IFERROR(H6/G6,0)</f>
      </c>
      <c r="J6" s="53">
        <f>IFERROR(1/I6,0)</f>
      </c>
      <c r="K6" s="54">
        <f>1-J6</f>
      </c>
      <c r="L6" s="55">
        <f>('Kings-P'!L6)+('CV-P'!L6)+('ACS-P'!L6)+('BHB-P'!L6)+('Boom-P'!L6)+('HHC-P'!L6)</f>
      </c>
      <c r="M6" s="49">
        <f>('Kings-P'!M6)+('CV-P'!M6)+('ACS-P'!M6)+('BHB-P'!M6)+('Boom-P'!M6)+('HHC-P'!M6)</f>
      </c>
      <c r="N6" s="56">
        <f>('Kings-P'!N6)+('CV-P'!N6)+('ACS-P'!N6)+('BHB-P'!N6)+('Boom-P'!N6)+('HHC-P'!N6)</f>
      </c>
      <c r="O6" s="57">
        <f>G6-M6</f>
      </c>
      <c r="P6" s="58">
        <f>O6-N6</f>
      </c>
      <c r="Q6" s="59">
        <f>SUM('BHB-P'!Q6+'Kings-P'!Q6+'CV-P'!Q6+'ACS-P'!Q6+'Boom-P'!Q6+'HHC-P'!Q6)</f>
      </c>
      <c r="R6" s="60">
        <f>SUM('BHB-P'!R6+'Kings-P'!R6+'CV-P'!R6+'ACS-P'!R6+'Boom-P'!R6+'HHC-P'!R6)</f>
      </c>
      <c r="S6" s="59">
        <f>Q6-R6</f>
      </c>
      <c r="T6" s="49">
        <f>SUM('BHB-P'!T6+'Kings-P'!T6+'CV-P'!T6+'ACS-P'!T6+'Boom-P'!T6+'HHC-P'!T6)</f>
      </c>
      <c r="U6" s="61">
        <f>AVERAGE('BHB-P'!U6,'Kings-P'!U6,'ACS-P'!U6,'CV-P'!U6,'Boom-P'!U6,'HHC-P'!U6)</f>
      </c>
      <c r="V6" s="49">
        <f>IFERROR(G6/B6,0)</f>
      </c>
      <c r="W6" s="62">
        <f>IFERROR(IF(((L6/G6)-1)&lt;0,"-na- ",(L6/G6)-1),0)</f>
      </c>
      <c r="X6" s="49">
        <f>L6*J6</f>
      </c>
      <c r="Y6" s="49">
        <f>L6*K6</f>
      </c>
      <c r="Z6" s="379"/>
      <c r="AA6" s="49">
        <f>N10*W1</f>
      </c>
      <c r="AB6" s="12">
        <f>L$10-AA6</f>
      </c>
      <c r="AC6" s="47"/>
      <c r="AD6" s="47"/>
      <c r="AE6" s="4"/>
    </row>
    <row x14ac:dyDescent="0.25" r="7" customHeight="1" ht="17.25">
      <c r="A7" s="47" t="s">
        <v>48</v>
      </c>
      <c r="B7" s="48">
        <f>('Kings-P'!B7)+('CV-P'!B7)+('ACS-P'!B7)+('BHB-P'!B7)+('Boom-P'!B7)+('HHC-P'!B7)</f>
      </c>
      <c r="C7" s="49">
        <f>('Kings-P'!C7)+('CV-P'!C7)+('ACS-P'!C7)+('BHB-P'!C7)+('Boom-P'!C7)+('HHC-P'!C7)</f>
      </c>
      <c r="D7" s="49">
        <f>('Kings-P'!D7)+('CV-P'!D7)+('ACS-P'!D7)+('BHB-P'!D7)+('Boom-P'!D7)+('HHC-P'!D7)</f>
      </c>
      <c r="E7" s="50">
        <f>('Kings-P'!E7)+('CV-P'!E7)+('ACS-P'!E7)+('BHB-P'!E7)+('Boom-P'!E7)+('HHC-P'!E7)</f>
      </c>
      <c r="F7" s="51">
        <f>('Kings-P'!F7)+('CV-P'!F7)+('ACS-P'!F7)+('BHB-P'!F7)+('Boom-P'!F7)+('HHC-P'!F7)</f>
      </c>
      <c r="G7" s="49">
        <f>('Kings-P'!G7)+('CV-P'!G7)+('ACS-P'!G7)+('BHB-P'!G7)+('Boom-P'!G7)+('HHC-P'!G7)</f>
      </c>
      <c r="H7" s="49">
        <f>('Kings-P'!H7)+('CV-P'!H7)+('ACS-P'!H7)+('BHB-P'!H7)+('Boom-P'!H7)+('HHC-P'!H7)</f>
      </c>
      <c r="I7" s="92">
        <f>IFERROR(H7/G7,0)</f>
      </c>
      <c r="J7" s="53">
        <f>IFERROR(1/I7,0)</f>
      </c>
      <c r="K7" s="54">
        <f>1-J7</f>
      </c>
      <c r="L7" s="55">
        <f>('Kings-P'!L7)+('CV-P'!L7)+('ACS-P'!L7)+('BHB-P'!L7)+('Boom-P'!L7)+('HHC-P'!L7)</f>
      </c>
      <c r="M7" s="49">
        <f>('Kings-P'!M7)+('CV-P'!M7)+('ACS-P'!M7)+('BHB-P'!M7)+('Boom-P'!M7)+('HHC-P'!M7)</f>
      </c>
      <c r="N7" s="56">
        <f>('Kings-P'!N7)+('CV-P'!N7)+('ACS-P'!N7)+('BHB-P'!N7)+('Boom-P'!N7)+('HHC-P'!N7)</f>
      </c>
      <c r="O7" s="57">
        <f>G7-M7</f>
      </c>
      <c r="P7" s="58">
        <f>O7-N7</f>
      </c>
      <c r="Q7" s="59">
        <f>SUM('BHB-P'!Q7+'Kings-P'!Q7+'CV-P'!Q7+'ACS-P'!Q7+'Boom-P'!Q7+'HHC-P'!Q7)</f>
      </c>
      <c r="R7" s="60">
        <f>SUM('BHB-P'!R7+'Kings-P'!R7+'CV-P'!R7+'ACS-P'!R7+'Boom-P'!R7+'HHC-P'!R7)</f>
      </c>
      <c r="S7" s="59">
        <f>Q7-R7</f>
      </c>
      <c r="T7" s="49">
        <f>SUM('BHB-P'!T7+'Kings-P'!T7+'CV-P'!T7+'ACS-P'!T7+'Boom-P'!T7+'HHC-P'!T7)</f>
      </c>
      <c r="U7" s="61">
        <f>AVERAGE('BHB-P'!U7,'Kings-P'!U7,'ACS-P'!U7,'CV-P'!U7,'Boom-P'!U7,'HHC-P'!U7)</f>
      </c>
      <c r="V7" s="49">
        <f>IFERROR(G7/B7,0)</f>
      </c>
      <c r="W7" s="62">
        <f>IFERROR(IF(((L7/G7)-1)&lt;0,"-na- ",(L7/G7)-1),0)</f>
      </c>
      <c r="X7" s="49">
        <f>L7*J7</f>
      </c>
      <c r="Y7" s="49">
        <f>L7*K7</f>
      </c>
      <c r="Z7" s="379"/>
      <c r="AA7" s="49">
        <f>N10*W1</f>
      </c>
      <c r="AB7" s="12">
        <f>L$10-AA7</f>
      </c>
      <c r="AC7" s="47"/>
      <c r="AD7" s="47"/>
      <c r="AE7" s="4"/>
    </row>
    <row x14ac:dyDescent="0.25" r="8" customHeight="1" ht="17.25">
      <c r="A8" s="5" t="s">
        <v>49</v>
      </c>
      <c r="B8" s="48">
        <f>('Kings-P'!B8)+('CV-P'!B8)+('ACS-P'!B8)+('BHB-P'!B8)+('Boom-P'!B8)+('HHC-P'!B8)</f>
      </c>
      <c r="C8" s="49">
        <f>('Kings-P'!C8)+('CV-P'!C8)+('ACS-P'!C8)+('BHB-P'!C8)+('Boom-P'!C8)+('HHC-P'!C8)</f>
      </c>
      <c r="D8" s="49">
        <f>('Kings-P'!D8)+('CV-P'!D8)+('ACS-P'!D8)+('BHB-P'!D8)+('Boom-P'!D8)+('HHC-P'!D8)</f>
      </c>
      <c r="E8" s="50">
        <f>('Kings-P'!E8)+('CV-P'!E8)+('ACS-P'!E8)+('BHB-P'!E8)+('Boom-P'!E8)+('HHC-P'!E8)</f>
      </c>
      <c r="F8" s="51">
        <f>('Kings-P'!F8)+('CV-P'!F8)+('ACS-P'!F8)+('BHB-P'!F8)+('Boom-P'!F8)+('HHC-P'!F8)</f>
      </c>
      <c r="G8" s="49">
        <f>('Kings-P'!G8)+('CV-P'!G8)+('ACS-P'!G8)+('BHB-P'!G8)+('Boom-P'!G8)+('HHC-P'!G8)</f>
      </c>
      <c r="H8" s="49">
        <f>('Kings-P'!H8)+('CV-P'!H8)+('ACS-P'!H8)+('BHB-P'!H8)+('Boom-P'!H8)+('HHC-P'!H8)</f>
      </c>
      <c r="I8" s="92">
        <f>IFERROR(H8/G8,0)</f>
      </c>
      <c r="J8" s="53">
        <f>IFERROR(1/I8,0)</f>
      </c>
      <c r="K8" s="54">
        <f>1-J8</f>
      </c>
      <c r="L8" s="55">
        <f>('Kings-P'!L8)+('CV-P'!L8)+('ACS-P'!L8)+('BHB-P'!L8)+('Boom-P'!L8)+('HHC-P'!L8)</f>
      </c>
      <c r="M8" s="49">
        <f>('Kings-P'!M8)+('CV-P'!M8)+('ACS-P'!M8)+('BHB-P'!M8)+('Boom-P'!M8)+('HHC-P'!M8)</f>
      </c>
      <c r="N8" s="56">
        <f>('Kings-P'!N8)+('CV-P'!N8)+('ACS-P'!N8)+('BHB-P'!N8)+('Boom-P'!N8)+('HHC-P'!N8)</f>
      </c>
      <c r="O8" s="57">
        <f>G8-M8</f>
      </c>
      <c r="P8" s="58">
        <f>O8-N8</f>
      </c>
      <c r="Q8" s="59">
        <f>SUM('BHB-P'!Q8+'Kings-P'!Q8+'CV-P'!Q8+'ACS-P'!Q8+'Boom-P'!Q8+'HHC-P'!Q8)</f>
      </c>
      <c r="R8" s="60">
        <f>SUM('BHB-P'!R8+'Kings-P'!R8+'CV-P'!R8+'ACS-P'!R8+'Boom-P'!R8+'HHC-P'!R8)</f>
      </c>
      <c r="S8" s="59">
        <f>Q8-R8</f>
      </c>
      <c r="T8" s="49">
        <f>SUM('BHB-P'!T8+'Kings-P'!T8+'CV-P'!T8+'ACS-P'!T8+'Boom-P'!T8+'HHC-P'!T8)</f>
      </c>
      <c r="U8" s="61">
        <f>AVERAGE('BHB-P'!U8,'Kings-P'!U8,'ACS-P'!U8,'CV-P'!U8,'Boom-P'!U8,'HHC-P'!U8)</f>
      </c>
      <c r="V8" s="49">
        <f>IFERROR(G8/B8,0)</f>
      </c>
      <c r="W8" s="62">
        <f>IFERROR(IF(((L8/G8)-1)&lt;0,"-na- ",(L8/G8)-1),0)</f>
      </c>
      <c r="X8" s="49">
        <f>L8*J8</f>
      </c>
      <c r="Y8" s="49">
        <f>L8*K8</f>
      </c>
      <c r="Z8" s="379"/>
      <c r="AA8" s="49">
        <f>N10*W1</f>
      </c>
      <c r="AB8" s="12">
        <f>L$10-AA8</f>
      </c>
      <c r="AC8" s="47"/>
      <c r="AD8" s="63">
        <f>SUM(C3:C8)*Z1</f>
      </c>
      <c r="AE8" s="4"/>
    </row>
    <row x14ac:dyDescent="0.25" r="9" customHeight="1" ht="17.25">
      <c r="A9" s="5"/>
      <c r="B9" s="70"/>
      <c r="C9" s="49"/>
      <c r="D9" s="49"/>
      <c r="E9" s="71"/>
      <c r="F9" s="72"/>
      <c r="G9" s="49"/>
      <c r="H9" s="49"/>
      <c r="I9" s="71"/>
      <c r="J9" s="63"/>
      <c r="K9" s="72"/>
      <c r="L9" s="55">
        <f>('Kings-P'!L9)+('CV-P'!L9)+('ACS-P'!L9)+('BHB-P'!L9)</f>
      </c>
      <c r="M9" s="49">
        <f>('Kings-P'!M9)+('CV-P'!M9)+('ACS-P'!I9)+('BHB-P'!M9)</f>
      </c>
      <c r="N9" s="56">
        <f>('Kings-P'!N9)+('CV-P'!N9)+('ACS-P'!J9)+('BHB-P'!N9)</f>
      </c>
      <c r="O9" s="57">
        <f>G9-M9</f>
      </c>
      <c r="P9" s="58">
        <f>O9-N9</f>
      </c>
      <c r="Q9" s="59"/>
      <c r="R9" s="60"/>
      <c r="S9" s="59">
        <f>Q9-R9</f>
      </c>
      <c r="T9" s="49"/>
      <c r="U9" s="70"/>
      <c r="V9" s="49"/>
      <c r="W9" s="69"/>
      <c r="X9" s="70"/>
      <c r="Y9" s="70"/>
      <c r="Z9" s="379"/>
      <c r="AA9" s="47"/>
      <c r="AB9" s="47"/>
      <c r="AC9" s="47"/>
      <c r="AD9" s="3"/>
      <c r="AE9" s="4"/>
    </row>
    <row x14ac:dyDescent="0.25" r="10" customHeight="1" ht="16">
      <c r="A10" s="5" t="s">
        <v>50</v>
      </c>
      <c r="B10" s="48">
        <f>SUM(B3:B9)</f>
      </c>
      <c r="C10" s="460">
        <f>SUM(C3:C9)</f>
      </c>
      <c r="D10" s="49">
        <f>SUM(D3:D9)</f>
      </c>
      <c r="E10" s="74">
        <f>SUM(E3:E9)</f>
      </c>
      <c r="F10" s="75">
        <f>SUM(F3:F9)</f>
      </c>
      <c r="G10" s="49">
        <f>SUM(G3:G9)</f>
      </c>
      <c r="H10" s="49">
        <f>SUM(H3:H9)</f>
      </c>
      <c r="I10" s="76">
        <f>H10/G10</f>
      </c>
      <c r="J10" s="461">
        <f>1/I10</f>
      </c>
      <c r="K10" s="462">
        <f>1-J10</f>
      </c>
      <c r="L10" s="463">
        <f>SUM(L3:L9)</f>
      </c>
      <c r="M10" s="79">
        <f>SUM(M3:M9)</f>
      </c>
      <c r="N10" s="80">
        <f>SUM(N3:N9)</f>
      </c>
      <c r="O10" s="81">
        <f>SUM(O3:O9)</f>
      </c>
      <c r="P10" s="464">
        <f>SUM(P3:P9)</f>
      </c>
      <c r="Q10" s="465">
        <f>SUM(Q3:Q9)</f>
      </c>
      <c r="R10" s="83">
        <f>SUM(R3:R9)</f>
      </c>
      <c r="S10" s="466">
        <f>SUM(S3:S9)</f>
      </c>
      <c r="T10" s="49">
        <f>SUM(T3:T9)</f>
      </c>
      <c r="U10" s="61">
        <f>AVERAGEIF(U3:U9,"&lt;&gt;0")</f>
      </c>
      <c r="V10" s="49">
        <f>IFERROR(G10/B10,0)</f>
      </c>
      <c r="W10" s="69"/>
      <c r="X10" s="70"/>
      <c r="Y10" s="70"/>
      <c r="Z10" s="379"/>
      <c r="AA10" s="47"/>
      <c r="AB10" s="47"/>
      <c r="AC10" s="47"/>
      <c r="AD10" s="3"/>
      <c r="AE10" s="4"/>
    </row>
    <row x14ac:dyDescent="0.25" r="11" customHeight="1" ht="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66"/>
      <c r="N11" s="66"/>
      <c r="O11" s="3"/>
      <c r="P11" s="169"/>
      <c r="Q11" s="3"/>
      <c r="R11" s="3"/>
      <c r="S11" s="3"/>
      <c r="T11" s="3"/>
      <c r="U11" s="3"/>
      <c r="V11" s="3"/>
      <c r="W11" s="14"/>
      <c r="X11" s="3"/>
      <c r="Y11" s="3"/>
      <c r="Z11" s="14"/>
      <c r="AA11" s="3"/>
      <c r="AB11" s="3"/>
      <c r="AC11" s="3"/>
      <c r="AD11" s="3"/>
      <c r="AE11" s="4"/>
    </row>
    <row x14ac:dyDescent="0.25" r="12" customHeight="1" ht="17.25" hidden="1">
      <c r="A12" s="3"/>
      <c r="B12" s="3"/>
      <c r="C12" s="3"/>
      <c r="D12" s="3"/>
      <c r="E12" s="84"/>
      <c r="F12" s="3"/>
      <c r="G12" s="44"/>
      <c r="H12" s="44" t="s">
        <v>1048</v>
      </c>
      <c r="I12" s="44" t="s">
        <v>59</v>
      </c>
      <c r="J12" s="44" t="s">
        <v>58</v>
      </c>
      <c r="K12" s="44" t="s">
        <v>64</v>
      </c>
      <c r="L12" s="44" t="s">
        <v>57</v>
      </c>
      <c r="M12" s="44" t="s">
        <v>62</v>
      </c>
      <c r="N12" s="44"/>
      <c r="O12" s="8"/>
      <c r="P12" s="3"/>
      <c r="Q12" s="3"/>
      <c r="R12" s="66"/>
      <c r="S12" s="3"/>
      <c r="T12" s="3"/>
      <c r="U12" s="66"/>
      <c r="V12" s="3"/>
      <c r="W12" s="14"/>
      <c r="X12" s="3"/>
      <c r="Y12" s="3"/>
      <c r="Z12" s="14"/>
      <c r="AA12" s="3"/>
      <c r="AB12" s="3"/>
      <c r="AC12" s="3"/>
      <c r="AD12" s="3"/>
      <c r="AE12" s="4"/>
    </row>
    <row x14ac:dyDescent="0.25" r="13" customHeight="1" ht="17.25" hidden="1">
      <c r="A13" s="3" t="s">
        <v>1049</v>
      </c>
      <c r="B13" s="467"/>
      <c r="C13" s="467"/>
      <c r="D13" s="468">
        <f>D14/D15</f>
      </c>
      <c r="E13" s="3"/>
      <c r="F13" s="3"/>
      <c r="G13" s="70" t="s">
        <v>1050</v>
      </c>
      <c r="H13" s="69">
        <f>'BHB-P'!G10/SUM('BHB-P'!G10,'CV-P'!G10,'ACS-P'!G10,'Kings-P'!G10,'Boom-P'!G10,'HHC-P'!G10)</f>
      </c>
      <c r="I13" s="69">
        <f>'Boom-P'!G10/SUM('BHB-P'!G10,'CV-P'!G10,'ACS-P'!G10,'Kings-P'!G10,'Boom-P'!G10,'HHC-P'!G10)</f>
      </c>
      <c r="J13" s="69">
        <f>'HHC-P'!G10/SUM('BHB-P'!G10,'CV-P'!G10,'ACS-P'!G10,'Kings-P'!G10,'Boom-P'!G10,'HHC-P'!G10)</f>
      </c>
      <c r="K13" s="69">
        <f>'Kings-P'!G10/SUM('CV-P'!G10,'BHB-P'!G10,'ACS-P'!G10,'Kings-P'!G10,'Boom-P'!G10,'HHC-P'!G10)</f>
      </c>
      <c r="L13" s="69">
        <f>'CV-P'!G10/SUM('CV-P'!G10,'BHB-P'!G10,'ACS-P'!G10,'Kings-P'!G10,'Boom-P'!G10,'HHC-P'!G10)</f>
      </c>
      <c r="M13" s="69">
        <f>'ACS-P'!G10/SUM('BHB-P'!G10,'CV-P'!G10,'ACS-P'!G10,'Kings-P'!G10,'Boom-P'!G10,'HHC-P'!G10)</f>
      </c>
      <c r="N13" s="69">
        <f>SUM(H13:M13)</f>
      </c>
      <c r="O13" s="469"/>
      <c r="P13" s="8"/>
      <c r="Q13" s="169"/>
      <c r="R13" s="8"/>
      <c r="S13" s="169"/>
      <c r="T13" s="3"/>
      <c r="U13" s="66"/>
      <c r="V13" s="3"/>
      <c r="W13" s="14"/>
      <c r="X13" s="3"/>
      <c r="Y13" s="3"/>
      <c r="Z13" s="14"/>
      <c r="AA13" s="3"/>
      <c r="AB13" s="3"/>
      <c r="AC13" s="3"/>
      <c r="AD13" s="3"/>
      <c r="AE13" s="4"/>
    </row>
    <row x14ac:dyDescent="0.25" r="14" customHeight="1" ht="17.25" hidden="1">
      <c r="A14" s="470" t="s">
        <v>52</v>
      </c>
      <c r="B14" s="47"/>
      <c r="C14" s="47"/>
      <c r="D14" s="56">
        <f>S10</f>
      </c>
      <c r="E14" s="3"/>
      <c r="F14" s="3"/>
      <c r="G14" s="471" t="s">
        <v>1051</v>
      </c>
      <c r="H14" s="472">
        <f>'BHB-P'!P10</f>
      </c>
      <c r="I14" s="472">
        <f>'Boom-P'!P10</f>
      </c>
      <c r="J14" s="472">
        <f>'HHC-P'!P10</f>
      </c>
      <c r="K14" s="472">
        <f>'Kings-P'!P10</f>
      </c>
      <c r="L14" s="472">
        <f>'CV-P'!P10</f>
      </c>
      <c r="M14" s="472">
        <f>'ACS-P'!P10</f>
      </c>
      <c r="N14" s="472">
        <f>SUM(H14:M14)</f>
      </c>
      <c r="O14" s="213"/>
      <c r="P14" s="65"/>
      <c r="Q14" s="65"/>
      <c r="R14" s="65"/>
      <c r="S14" s="169"/>
      <c r="T14" s="3"/>
      <c r="U14" s="66"/>
      <c r="V14" s="3"/>
      <c r="W14" s="14"/>
      <c r="X14" s="3"/>
      <c r="Y14" s="3"/>
      <c r="Z14" s="14"/>
      <c r="AA14" s="3"/>
      <c r="AB14" s="3"/>
      <c r="AC14" s="3"/>
      <c r="AD14" s="3"/>
      <c r="AE14" s="4"/>
    </row>
    <row x14ac:dyDescent="0.25" r="15" customHeight="1" ht="17.25" hidden="1">
      <c r="A15" s="473" t="s">
        <v>53</v>
      </c>
      <c r="B15" s="474"/>
      <c r="C15" s="474"/>
      <c r="D15" s="80">
        <f>C10</f>
      </c>
      <c r="E15" s="3"/>
      <c r="F15" s="3"/>
      <c r="G15" s="70" t="s">
        <v>1052</v>
      </c>
      <c r="H15" s="177">
        <f>'BHB-P'!U10</f>
      </c>
      <c r="I15" s="177">
        <f>'Boom-P'!U10</f>
      </c>
      <c r="J15" s="177">
        <f>'HHC-P'!U10</f>
      </c>
      <c r="K15" s="177">
        <f>'Kings-P'!U10</f>
      </c>
      <c r="L15" s="177">
        <f>'CV-P'!U10</f>
      </c>
      <c r="M15" s="177">
        <f>'ACS-P'!U10</f>
      </c>
      <c r="N15" s="177">
        <f>AVERAGE(H15:M15)</f>
      </c>
      <c r="O15" s="475"/>
      <c r="P15" s="63"/>
      <c r="Q15" s="63"/>
      <c r="R15" s="63"/>
      <c r="S15" s="476"/>
      <c r="T15" s="3"/>
      <c r="U15" s="66"/>
      <c r="V15" s="3"/>
      <c r="W15" s="14"/>
      <c r="X15" s="3"/>
      <c r="Y15" s="3"/>
      <c r="Z15" s="14"/>
      <c r="AA15" s="3"/>
      <c r="AB15" s="3"/>
      <c r="AC15" s="3"/>
      <c r="AD15" s="3"/>
      <c r="AE15" s="4"/>
    </row>
    <row x14ac:dyDescent="0.25" r="16" customHeight="1" ht="17.25" hidden="1">
      <c r="A16" s="3"/>
      <c r="B16" s="3"/>
      <c r="C16" s="3"/>
      <c r="D16" s="3"/>
      <c r="E16" s="3"/>
      <c r="F16" s="3"/>
      <c r="G16" s="477" t="s">
        <v>1053</v>
      </c>
      <c r="H16" s="478">
        <f>'BHB-P'!I10</f>
      </c>
      <c r="I16" s="478">
        <f>'Boom-P'!I10</f>
      </c>
      <c r="J16" s="478">
        <f>'HHC-P'!I10</f>
      </c>
      <c r="K16" s="478">
        <f>'Kings-P'!I10</f>
      </c>
      <c r="L16" s="478">
        <f>'CV-P'!I10</f>
      </c>
      <c r="M16" s="478">
        <f>'ACS-P'!I10</f>
      </c>
      <c r="N16" s="478">
        <f>AVERAGE(H16:M16)</f>
      </c>
      <c r="O16" s="222"/>
      <c r="P16" s="222"/>
      <c r="Q16" s="222"/>
      <c r="R16" s="222"/>
      <c r="S16" s="3"/>
      <c r="T16" s="3"/>
      <c r="U16" s="66"/>
      <c r="V16" s="3"/>
      <c r="W16" s="14"/>
      <c r="X16" s="3"/>
      <c r="Y16" s="3"/>
      <c r="Z16" s="14"/>
      <c r="AA16" s="3"/>
      <c r="AB16" s="3"/>
      <c r="AC16" s="3"/>
      <c r="AD16" s="3"/>
      <c r="AE16" s="4"/>
    </row>
    <row x14ac:dyDescent="0.25" r="17" customHeight="1" ht="17.25" hidden="1">
      <c r="A17" s="4" t="s">
        <v>1054</v>
      </c>
      <c r="B17" s="479"/>
      <c r="C17" s="87"/>
      <c r="D17" s="480">
        <f>D21/D18</f>
      </c>
      <c r="E17" s="3"/>
      <c r="F17" s="3"/>
      <c r="G17" s="481" t="s">
        <v>1055</v>
      </c>
      <c r="H17" s="482">
        <f>'BHB-P'!U10*'R&amp;H Portfolio'!H13</f>
      </c>
      <c r="I17" s="482">
        <f>'Boom-P'!U10*'R&amp;H Portfolio'!I13</f>
      </c>
      <c r="J17" s="482">
        <f>'HHC-P'!U10*'R&amp;H Portfolio'!J13</f>
      </c>
      <c r="K17" s="482">
        <f>'Kings-P'!U10*'R&amp;H Portfolio'!K13</f>
      </c>
      <c r="L17" s="482">
        <f>'CV-P'!U10*'R&amp;H Portfolio'!L13</f>
      </c>
      <c r="M17" s="482">
        <f>'ACS-P'!U10*'R&amp;H Portfolio'!M13</f>
      </c>
      <c r="N17" s="482">
        <f>SUM(H17:M17)</f>
      </c>
      <c r="O17" s="253"/>
      <c r="P17" s="253"/>
      <c r="Q17" s="253"/>
      <c r="R17" s="253"/>
      <c r="S17" s="3"/>
      <c r="T17" s="3"/>
      <c r="U17" s="66"/>
      <c r="V17" s="3"/>
      <c r="W17" s="14"/>
      <c r="X17" s="3"/>
      <c r="Y17" s="3"/>
      <c r="Z17" s="14"/>
      <c r="AA17" s="3"/>
      <c r="AB17" s="3"/>
      <c r="AC17" s="3"/>
      <c r="AD17" s="3"/>
      <c r="AE17" s="4"/>
    </row>
    <row x14ac:dyDescent="0.25" r="18" customHeight="1" ht="17.25" hidden="1">
      <c r="A18" s="87" t="s">
        <v>56</v>
      </c>
      <c r="B18" s="87"/>
      <c r="C18" s="87"/>
      <c r="D18" s="483">
        <f>D15</f>
      </c>
      <c r="E18" s="3"/>
      <c r="F18" s="3"/>
      <c r="G18" s="471" t="s">
        <v>1056</v>
      </c>
      <c r="H18" s="472">
        <f>'BHB-P'!V10</f>
      </c>
      <c r="I18" s="472">
        <f>'Boom-P'!V10</f>
      </c>
      <c r="J18" s="472">
        <f>'HHC-P'!V10</f>
      </c>
      <c r="K18" s="472">
        <f>'Kings-P'!V10</f>
      </c>
      <c r="L18" s="472">
        <f>'CV-P'!V10</f>
      </c>
      <c r="M18" s="472">
        <f>'ACS-P'!V10</f>
      </c>
      <c r="N18" s="472">
        <f>AVERAGE(H18:M18)</f>
      </c>
      <c r="O18" s="475"/>
      <c r="P18" s="475"/>
      <c r="Q18" s="475"/>
      <c r="R18" s="475"/>
      <c r="S18" s="3"/>
      <c r="T18" s="3"/>
      <c r="U18" s="66"/>
      <c r="V18" s="3"/>
      <c r="W18" s="14"/>
      <c r="X18" s="3"/>
      <c r="Y18" s="3"/>
      <c r="Z18" s="14"/>
      <c r="AA18" s="3"/>
      <c r="AB18" s="3"/>
      <c r="AC18" s="3"/>
      <c r="AD18" s="3"/>
      <c r="AE18" s="4"/>
    </row>
    <row x14ac:dyDescent="0.25" r="19" customHeight="1" ht="17.25" hidden="1">
      <c r="A19" s="3" t="s">
        <v>30</v>
      </c>
      <c r="B19" s="3"/>
      <c r="C19" s="3"/>
      <c r="D19" s="1">
        <f>D14</f>
      </c>
      <c r="E19" s="3"/>
      <c r="F19" s="3"/>
      <c r="G19" s="484" t="s">
        <v>1057</v>
      </c>
      <c r="H19" s="485">
        <f>'BHB-P'!AF10</f>
      </c>
      <c r="I19" s="485">
        <f>'Boom-P'!AF10</f>
      </c>
      <c r="J19" s="485">
        <f>IFERROR('HHC-P'!AF10,0)</f>
      </c>
      <c r="K19" s="486">
        <f>'Kings-P'!AF10</f>
      </c>
      <c r="L19" s="486">
        <f>'CV-P'!AF10</f>
      </c>
      <c r="M19" s="486">
        <f>'ACS-P'!AF10</f>
      </c>
      <c r="N19" s="486">
        <f>(H19*H13)+(I19*I13)+(J19*J13)+(K19*K13)+(L19*L13)+(M19*M13)</f>
      </c>
      <c r="O19" s="3"/>
      <c r="P19" s="3"/>
      <c r="Q19" s="3"/>
      <c r="R19" s="66"/>
      <c r="S19" s="3"/>
      <c r="T19" s="3"/>
      <c r="U19" s="66"/>
      <c r="V19" s="3"/>
      <c r="W19" s="14"/>
      <c r="X19" s="3"/>
      <c r="Y19" s="3"/>
      <c r="Z19" s="14"/>
      <c r="AA19" s="3"/>
      <c r="AB19" s="3"/>
      <c r="AC19" s="3"/>
      <c r="AD19" s="3"/>
      <c r="AE19" s="4"/>
    </row>
    <row x14ac:dyDescent="0.25" r="20" customHeight="1" ht="17.25" hidden="1">
      <c r="A20" s="3" t="s">
        <v>1058</v>
      </c>
      <c r="B20" s="3"/>
      <c r="C20" s="3"/>
      <c r="D20" s="1">
        <f>L10</f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4"/>
      <c r="X20" s="3"/>
      <c r="Y20" s="3"/>
      <c r="Z20" s="14"/>
      <c r="AA20" s="3"/>
      <c r="AB20" s="3"/>
      <c r="AC20" s="3"/>
      <c r="AD20" s="3"/>
      <c r="AE20" s="4"/>
    </row>
    <row x14ac:dyDescent="0.25" r="21" customHeight="1" ht="17.25" hidden="1">
      <c r="A21" s="87" t="s">
        <v>1059</v>
      </c>
      <c r="B21" s="479"/>
      <c r="C21" s="87"/>
      <c r="D21" s="483">
        <f>SUM(D19:D20)</f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4"/>
      <c r="X21" s="3"/>
      <c r="Y21" s="3"/>
      <c r="Z21" s="14"/>
      <c r="AA21" s="3"/>
      <c r="AB21" s="3"/>
      <c r="AC21" s="3"/>
      <c r="AD21" s="3"/>
      <c r="AE21" s="4"/>
    </row>
    <row x14ac:dyDescent="0.25" r="22" customHeight="1" ht="17.25">
      <c r="A22" s="3"/>
      <c r="B22" s="3"/>
      <c r="C22" s="3"/>
      <c r="D22" s="3"/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4"/>
      <c r="X22" s="3"/>
      <c r="Y22" s="3"/>
      <c r="Z22" s="14"/>
      <c r="AA22" s="3"/>
      <c r="AB22" s="3"/>
      <c r="AC22" s="3"/>
      <c r="AD22" s="3"/>
      <c r="AE22" s="4"/>
    </row>
    <row x14ac:dyDescent="0.25" r="23" customHeight="1" ht="17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4"/>
      <c r="X23" s="3"/>
      <c r="Y23" s="3"/>
      <c r="Z23" s="14"/>
      <c r="AA23" s="3"/>
      <c r="AB23" s="3"/>
      <c r="AC23" s="3"/>
      <c r="AD23" s="3"/>
      <c r="AE23" s="4"/>
    </row>
    <row x14ac:dyDescent="0.25" r="24" customHeight="1" ht="17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4"/>
      <c r="X24" s="3"/>
      <c r="Y24" s="3"/>
      <c r="Z24" s="14"/>
      <c r="AA24" s="3"/>
      <c r="AB24" s="3"/>
      <c r="AC24" s="3"/>
      <c r="AD24" s="3"/>
      <c r="AE24" s="4"/>
    </row>
    <row x14ac:dyDescent="0.25" r="25" customHeight="1" ht="17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4"/>
      <c r="X25" s="3"/>
      <c r="Y25" s="3"/>
      <c r="Z25" s="14"/>
      <c r="AA25" s="3"/>
      <c r="AB25" s="3"/>
      <c r="AC25" s="3"/>
      <c r="AD25" s="3"/>
      <c r="AE25" s="4"/>
    </row>
    <row x14ac:dyDescent="0.25" r="26" customHeight="1" ht="17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4"/>
      <c r="X26" s="3"/>
      <c r="Y26" s="3"/>
      <c r="Z26" s="14"/>
      <c r="AA26" s="3"/>
      <c r="AB26" s="3"/>
      <c r="AC26" s="3"/>
      <c r="AD26" s="3"/>
      <c r="AE26" s="4" t="s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88" width="12.43357142857143" customWidth="1" bestFit="1"/>
    <col min="2" max="2" style="20" width="9.147857142857141" customWidth="1" bestFit="1"/>
    <col min="3" max="3" style="20" width="9.862142857142858" customWidth="1" bestFit="1"/>
    <col min="4" max="4" style="20" width="9.576428571428572" customWidth="1" bestFit="1"/>
    <col min="5" max="5" style="20" width="9.719285714285713" customWidth="1" bestFit="1"/>
    <col min="6" max="6" style="20" width="9.719285714285713" customWidth="1" bestFit="1"/>
    <col min="7" max="7" style="20" width="9.290714285714287" customWidth="1" bestFit="1"/>
    <col min="8" max="8" style="20" width="9.290714285714287" customWidth="1" bestFit="1"/>
    <col min="9" max="9" style="20" width="9.290714285714287" customWidth="1" bestFit="1"/>
    <col min="10" max="10" style="20" width="9.576428571428572" customWidth="1" bestFit="1"/>
    <col min="11" max="11" style="20" width="10.576428571428572" customWidth="1" bestFit="1"/>
    <col min="12" max="12" style="20" width="10.576428571428572" customWidth="1" bestFit="1"/>
    <col min="13" max="13" style="20" width="10.576428571428572" customWidth="1" bestFit="1"/>
    <col min="14" max="14" style="20" width="10.005" customWidth="1" bestFit="1"/>
    <col min="15" max="15" style="20" width="10.005" customWidth="1" bestFit="1"/>
    <col min="16" max="16" style="20" width="10.719285714285713" customWidth="1" bestFit="1"/>
    <col min="17" max="17" style="20" width="10.147857142857141" customWidth="1" bestFit="1"/>
    <col min="18" max="18" style="20" width="8.719285714285713" customWidth="1" bestFit="1"/>
    <col min="19" max="19" style="20" width="8.719285714285713" customWidth="1" bestFit="1"/>
    <col min="20" max="20" style="20" width="9.719285714285713" customWidth="1" bestFit="1"/>
    <col min="21" max="21" style="20" width="8.719285714285713" customWidth="1" bestFit="1"/>
    <col min="22" max="22" style="20" width="8.719285714285713" customWidth="1" bestFit="1"/>
    <col min="23" max="23" style="20" width="8.719285714285713" customWidth="1" bestFit="1"/>
    <col min="24" max="24" style="20" width="8.719285714285713" customWidth="1" bestFit="1"/>
    <col min="25" max="25" style="20" width="8.719285714285713" customWidth="1" bestFit="1"/>
    <col min="26" max="26" style="20" width="8.719285714285713" customWidth="1" bestFit="1"/>
    <col min="27" max="27" style="20" width="11.005" customWidth="1" bestFit="1"/>
    <col min="28" max="28" style="21" width="12.43357142857143" customWidth="1" bestFit="1"/>
  </cols>
  <sheetData>
    <row x14ac:dyDescent="0.25" r="1" customHeight="1" ht="21.5" customFormat="1" s="6">
      <c r="A1" s="449" t="s">
        <v>1014</v>
      </c>
      <c r="B1" s="450" t="s">
        <v>1015</v>
      </c>
      <c r="C1" s="450" t="s">
        <v>1016</v>
      </c>
      <c r="D1" s="450" t="s">
        <v>1017</v>
      </c>
      <c r="E1" s="450" t="s">
        <v>1018</v>
      </c>
      <c r="F1" s="450" t="s">
        <v>1019</v>
      </c>
      <c r="G1" s="450" t="s">
        <v>1020</v>
      </c>
      <c r="H1" s="450" t="s">
        <v>1021</v>
      </c>
      <c r="I1" s="450" t="s">
        <v>1022</v>
      </c>
      <c r="J1" s="450" t="s">
        <v>1023</v>
      </c>
      <c r="K1" s="450" t="s">
        <v>1024</v>
      </c>
      <c r="L1" s="450" t="s">
        <v>1025</v>
      </c>
      <c r="M1" s="450" t="s">
        <v>1026</v>
      </c>
      <c r="N1" s="450" t="s">
        <v>1027</v>
      </c>
      <c r="O1" s="450" t="s">
        <v>1028</v>
      </c>
      <c r="P1" s="450" t="s">
        <v>1029</v>
      </c>
      <c r="Q1" s="450" t="s">
        <v>1030</v>
      </c>
      <c r="R1" s="450" t="s">
        <v>1031</v>
      </c>
      <c r="S1" s="450" t="s">
        <v>1032</v>
      </c>
      <c r="T1" s="450" t="s">
        <v>1033</v>
      </c>
      <c r="U1" s="450" t="s">
        <v>1034</v>
      </c>
      <c r="V1" s="450" t="s">
        <v>1035</v>
      </c>
      <c r="W1" s="450" t="s">
        <v>1036</v>
      </c>
      <c r="X1" s="450" t="s">
        <v>1037</v>
      </c>
      <c r="Y1" s="450" t="s">
        <v>1038</v>
      </c>
      <c r="Z1" s="450" t="s">
        <v>1039</v>
      </c>
      <c r="AA1" s="450" t="s">
        <v>50</v>
      </c>
      <c r="AB1" s="450"/>
    </row>
    <row x14ac:dyDescent="0.25" r="2" customHeight="1" ht="17">
      <c r="A2" s="5" t="s">
        <v>62</v>
      </c>
      <c r="B2" s="451"/>
      <c r="C2" s="451"/>
      <c r="D2" s="451"/>
      <c r="E2" s="451"/>
      <c r="F2" s="451"/>
      <c r="G2" s="451"/>
      <c r="H2" s="451"/>
      <c r="I2" s="451"/>
      <c r="J2" s="451"/>
      <c r="K2" s="153">
        <f>SUM(ACS!AP3:AP100)</f>
      </c>
      <c r="L2" s="153">
        <f>SUM(ACS!AQ3:AQ100)</f>
      </c>
      <c r="M2" s="153">
        <f>SUM(ACS!AR3:AR100)</f>
      </c>
      <c r="N2" s="153">
        <f>SUM(ACS!AS3:AS100)</f>
      </c>
      <c r="O2" s="153">
        <f>SUM(ACS!AT3:AT100)</f>
      </c>
      <c r="P2" s="153">
        <f>SUM(ACS!AU3:AU100)</f>
      </c>
      <c r="Q2" s="153">
        <f>SUM(ACS!AV3:AV100)</f>
      </c>
      <c r="R2" s="153">
        <f>SUM(ACS!AW3:AW100)</f>
      </c>
      <c r="S2" s="452">
        <f>SUM(ACS!AX3:AX100)</f>
      </c>
      <c r="T2" s="153">
        <f>SUM(ACS!AY3:AY100)</f>
      </c>
      <c r="U2" s="153">
        <f>SUM(ACS!AZ3:AZ100)</f>
      </c>
      <c r="V2" s="153">
        <f>SUM(ACS!BA3:BA100)</f>
      </c>
      <c r="W2" s="153">
        <f>SUM(ACS!BB3:BB100)</f>
      </c>
      <c r="X2" s="153">
        <f>SUM(ACS!BC3:BC100)</f>
      </c>
      <c r="Y2" s="153">
        <f>SUM(ACS!BD3:BD100)</f>
      </c>
      <c r="Z2" s="153">
        <f>SUM(ACS!BE3:BE100)</f>
      </c>
      <c r="AA2" s="153">
        <f>SUM(B2:Z2)</f>
      </c>
      <c r="AB2" s="3"/>
    </row>
    <row x14ac:dyDescent="0.25" r="3" customHeight="1" ht="17">
      <c r="A3" s="5" t="s">
        <v>60</v>
      </c>
      <c r="B3" s="153">
        <f>SUM(BHB!AG3:AG100)</f>
      </c>
      <c r="C3" s="153">
        <f>SUM(BHB!AH3:AH100)</f>
      </c>
      <c r="D3" s="153">
        <f>SUM(BHB!AI3:AI100)</f>
      </c>
      <c r="E3" s="153">
        <f>SUM(BHB!AJ3:AJ100)</f>
      </c>
      <c r="F3" s="153">
        <f>SUM(BHB!AK3:AK100)</f>
      </c>
      <c r="G3" s="153">
        <f>SUM(BHB!AL3:AL100)</f>
      </c>
      <c r="H3" s="153">
        <f>SUM(BHB!AM3:AM100)</f>
      </c>
      <c r="I3" s="153">
        <f>SUM(BHB!AN3:AN100)</f>
      </c>
      <c r="J3" s="153">
        <f>SUM(BHB!AO3:AO100)</f>
      </c>
      <c r="K3" s="153">
        <f>SUM(BHB!AP3:AP100)</f>
      </c>
      <c r="L3" s="153">
        <f>SUM(BHB!AQ3:AQ100)</f>
      </c>
      <c r="M3" s="153">
        <f>SUM(BHB!AR3:AR100)</f>
      </c>
      <c r="N3" s="153">
        <f>SUM(BHB!AS3:AS100)</f>
      </c>
      <c r="O3" s="153">
        <f>SUM(BHB!AT3:AT100)</f>
      </c>
      <c r="P3" s="153">
        <f>SUM(BHB!AU3:AU100)</f>
      </c>
      <c r="Q3" s="153">
        <f>SUM(BHB!AV3:AV100)</f>
      </c>
      <c r="R3" s="153">
        <f>SUM(BHB!AW3:AW100)</f>
      </c>
      <c r="S3" s="153">
        <f>SUM(BHB!AX3:AX100)</f>
      </c>
      <c r="T3" s="153">
        <f>SUM(BHB!AY3:AY100)</f>
      </c>
      <c r="U3" s="153">
        <f>SUM(BHB!AZ3:AZ100)</f>
      </c>
      <c r="V3" s="153">
        <f>SUM(BHB!BA3:BA100)</f>
      </c>
      <c r="W3" s="153">
        <f>SUM(BHB!BB3:BB100)</f>
      </c>
      <c r="X3" s="153">
        <f>SUM(BHB!BC3:BC100)</f>
      </c>
      <c r="Y3" s="153">
        <f>SUM(BHB!BD3:BD100)</f>
      </c>
      <c r="Z3" s="153">
        <f>SUM(BHB!BE3:BE100)</f>
      </c>
      <c r="AA3" s="153">
        <f>SUM(B3:Z3)</f>
      </c>
      <c r="AB3" s="3"/>
    </row>
    <row x14ac:dyDescent="0.25" r="4" customHeight="1" ht="17">
      <c r="A4" s="5" t="s">
        <v>59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153">
        <f>SUM(Boom!AQ3:AQ100)</f>
      </c>
      <c r="M4" s="153">
        <f>SUM(Boom!AR3:AR100)</f>
      </c>
      <c r="N4" s="153">
        <f>SUM(Boom!AS3:AS100)</f>
      </c>
      <c r="O4" s="153">
        <f>SUM(Boom!AT3:AT100)</f>
      </c>
      <c r="P4" s="153">
        <f>SUM(Boom!AU3:AU100)</f>
      </c>
      <c r="Q4" s="153">
        <f>SUM(Boom!AV3:AV100)</f>
      </c>
      <c r="R4" s="153">
        <f>SUM(Boom!AW3:AW100)</f>
      </c>
      <c r="S4" s="153">
        <f>SUM(Boom!AX3:AX100)</f>
      </c>
      <c r="T4" s="153">
        <f>SUM(Boom!AY3:AY100)</f>
      </c>
      <c r="U4" s="153">
        <f>SUM(Boom!AZ3:AZ100)</f>
      </c>
      <c r="V4" s="153">
        <f>SUM(Boom!BA3:BA100)</f>
      </c>
      <c r="W4" s="153">
        <f>SUM(Boom!BB3:BB100)</f>
      </c>
      <c r="X4" s="153">
        <f>SUM(Boom!BC3:BC100)</f>
      </c>
      <c r="Y4" s="153">
        <f>SUM(Boom!BD3:BD100)</f>
      </c>
      <c r="Z4" s="153">
        <f>SUM(Boom!BE3:BE100)</f>
      </c>
      <c r="AA4" s="153">
        <f>SUM(B4:Z4)</f>
      </c>
      <c r="AB4" s="3"/>
    </row>
    <row x14ac:dyDescent="0.25" r="5" customHeight="1" ht="17">
      <c r="A5" s="5" t="s">
        <v>1040</v>
      </c>
      <c r="B5" s="153">
        <f>SUM(CV!AG3:AG100)</f>
      </c>
      <c r="C5" s="153">
        <f>SUM(CV!AH3:AH100)</f>
      </c>
      <c r="D5" s="153">
        <f>SUM(CV!AI3:AI100)</f>
      </c>
      <c r="E5" s="153">
        <f>SUM(CV!AJ3:AJ100)</f>
      </c>
      <c r="F5" s="153">
        <f>SUM(CV!AK3:AK100)</f>
      </c>
      <c r="G5" s="153">
        <f>SUM(CV!AL3:AL100)</f>
      </c>
      <c r="H5" s="153">
        <f>SUM(CV!AM3:AM100)</f>
      </c>
      <c r="I5" s="153">
        <f>SUM(CV!AN3:AN100)</f>
      </c>
      <c r="J5" s="153">
        <f>SUM(CV!AO3:AO100)</f>
      </c>
      <c r="K5" s="153">
        <f>SUM(CV!AP3:AP100)</f>
      </c>
      <c r="L5" s="153">
        <f>SUM(CV!AQ3:AQ100)</f>
      </c>
      <c r="M5" s="153">
        <f>SUM(CV!AR3:AR100)</f>
      </c>
      <c r="N5" s="153">
        <f>SUM(CV!AS3:AS100)</f>
      </c>
      <c r="O5" s="153">
        <f>SUM(CV!AT3:AT100)</f>
      </c>
      <c r="P5" s="153">
        <f>SUM(CV!AU3:AU100)</f>
      </c>
      <c r="Q5" s="153">
        <f>SUM(CV!AV3:AV100)</f>
      </c>
      <c r="R5" s="153">
        <f>SUM(CV!AW3:AW100)</f>
      </c>
      <c r="S5" s="153">
        <f>SUM(CV!AX3:AX100)</f>
      </c>
      <c r="T5" s="153">
        <f>SUM(CV!AY3:AY100)</f>
      </c>
      <c r="U5" s="153">
        <f>SUM(CV!AZ3:AZ100)</f>
      </c>
      <c r="V5" s="153">
        <f>SUM(CV!BA3:BA100)</f>
      </c>
      <c r="W5" s="153">
        <f>SUM(CV!BB3:BB100)</f>
      </c>
      <c r="X5" s="153">
        <f>SUM(CV!#REF!)</f>
      </c>
      <c r="Y5" s="153">
        <f>SUM(CV!#REF!)</f>
      </c>
      <c r="Z5" s="153">
        <f>SUM(CV!#REF!)</f>
      </c>
      <c r="AA5" s="153">
        <f>SUM(B5:Z5)</f>
      </c>
      <c r="AB5" s="3"/>
    </row>
    <row x14ac:dyDescent="0.25" r="6" customHeight="1" ht="17">
      <c r="A6" s="5" t="s">
        <v>58</v>
      </c>
      <c r="B6" s="451"/>
      <c r="C6" s="451"/>
      <c r="D6" s="451"/>
      <c r="E6" s="451"/>
      <c r="F6" s="451"/>
      <c r="G6" s="451"/>
      <c r="H6" s="451"/>
      <c r="I6" s="451"/>
      <c r="J6" s="451"/>
      <c r="K6" s="451"/>
      <c r="L6" s="451"/>
      <c r="M6" s="451"/>
      <c r="N6" s="451"/>
      <c r="O6" s="153">
        <f>SUM(HHC!AT3:AT100)</f>
      </c>
      <c r="P6" s="153">
        <f>SUM(HHC!AU3:AU100)</f>
      </c>
      <c r="Q6" s="153">
        <f>SUM(HHC!AV3:AV100)</f>
      </c>
      <c r="R6" s="153">
        <f>SUM(HHC!AW3:AW100)</f>
      </c>
      <c r="S6" s="153">
        <f>SUM(HHC!AX3:AX100)</f>
      </c>
      <c r="T6" s="153">
        <f>SUM(HHC!AY3:AY100)</f>
      </c>
      <c r="U6" s="153">
        <f>SUM(HHC!AZ3:AZ100)</f>
      </c>
      <c r="V6" s="153">
        <f>SUM(HHC!BA3:BA100)</f>
      </c>
      <c r="W6" s="153">
        <f>SUM(HHC!BB3:BB100)</f>
      </c>
      <c r="X6" s="153">
        <f>SUM(HHC!BC3:BC100)</f>
      </c>
      <c r="Y6" s="153">
        <f>SUM(HHC!BD3:BD100)</f>
      </c>
      <c r="Z6" s="153">
        <f>SUM(HHC!BE3:BE100)</f>
      </c>
      <c r="AA6" s="153">
        <f>SUM(B6:Z6)</f>
      </c>
      <c r="AB6" s="3"/>
    </row>
    <row x14ac:dyDescent="0.25" r="7" customHeight="1" ht="17">
      <c r="A7" s="453" t="s">
        <v>64</v>
      </c>
      <c r="B7" s="454">
        <f>SUM(Kings!AG3:AG100)</f>
      </c>
      <c r="C7" s="454">
        <f>SUM(Kings!AH3:AH100)</f>
      </c>
      <c r="D7" s="454">
        <f>SUM(Kings!AI3:AI100)</f>
      </c>
      <c r="E7" s="454">
        <f>SUM(Kings!AJ3:AJ100)</f>
      </c>
      <c r="F7" s="454">
        <f>SUM(Kings!AK3:AK100)</f>
      </c>
      <c r="G7" s="454">
        <f>SUM(Kings!AL3:AL100)</f>
      </c>
      <c r="H7" s="454">
        <f>SUM(Kings!AM3:AM100)</f>
      </c>
      <c r="I7" s="454">
        <f>SUM(Kings!AN3:AN100)</f>
      </c>
      <c r="J7" s="454">
        <f>SUM(Kings!AO3:AO100)</f>
      </c>
      <c r="K7" s="454">
        <f>SUM(Kings!AP3:AP100)</f>
      </c>
      <c r="L7" s="454">
        <f>SUM(Kings!AQ3:AQ100)</f>
      </c>
      <c r="M7" s="454">
        <f>SUM(Kings!AR3:AR100)</f>
      </c>
      <c r="N7" s="454">
        <f>SUM(Kings!AS3:AS100)</f>
      </c>
      <c r="O7" s="454">
        <f>SUM(Kings!AT3:AT100)</f>
      </c>
      <c r="P7" s="454">
        <f>SUM(Kings!AU3:AU100)</f>
      </c>
      <c r="Q7" s="454">
        <f>SUM(Kings!AV3:AV100)</f>
      </c>
      <c r="R7" s="454">
        <f>SUM(Kings!AW3:AW100)</f>
      </c>
      <c r="S7" s="454">
        <f>SUM(Kings!AX3:AX100)</f>
      </c>
      <c r="T7" s="454">
        <f>SUM(Kings!AY3:AY100)</f>
      </c>
      <c r="U7" s="454">
        <f>SUM(Kings!AZ3:AZ100)</f>
      </c>
      <c r="V7" s="454">
        <f>SUM(Kings!BA3:BA100)</f>
      </c>
      <c r="W7" s="454">
        <f>SUM(Kings!BB3:BB100)</f>
      </c>
      <c r="X7" s="454">
        <f>SUM(Kings!#REF!)</f>
      </c>
      <c r="Y7" s="454">
        <f>SUM(Kings!#REF!)</f>
      </c>
      <c r="Z7" s="454">
        <f>SUM(Kings!#REF!)</f>
      </c>
      <c r="AA7" s="454">
        <f>SUM(B7:Z7)</f>
      </c>
      <c r="AB7" s="3"/>
    </row>
    <row x14ac:dyDescent="0.25" r="8" customHeight="1" ht="17">
      <c r="A8" s="5"/>
      <c r="B8" s="86">
        <f>SUM(B2:B7)</f>
      </c>
      <c r="C8" s="86">
        <f>SUM(C2:C7)</f>
      </c>
      <c r="D8" s="86">
        <f>SUM(D2:D7)</f>
      </c>
      <c r="E8" s="86">
        <f>SUM(E2:E7)</f>
      </c>
      <c r="F8" s="86">
        <f>SUM(F2:F7)</f>
      </c>
      <c r="G8" s="86">
        <f>SUM(G2:G7)</f>
      </c>
      <c r="H8" s="86">
        <f>SUM(H2:H7)</f>
      </c>
      <c r="I8" s="86">
        <f>SUM(I2:I7)</f>
      </c>
      <c r="J8" s="86">
        <f>SUM(J2:J7)</f>
      </c>
      <c r="K8" s="86">
        <f>SUM(K2:K7)</f>
      </c>
      <c r="L8" s="86">
        <f>SUM(L2:L7)</f>
      </c>
      <c r="M8" s="86">
        <f>SUM(M2:M7)</f>
      </c>
      <c r="N8" s="86">
        <f>SUM(N2:N7)</f>
      </c>
      <c r="O8" s="86">
        <f>SUM(O2:O7)</f>
      </c>
      <c r="P8" s="86">
        <f>SUM(P2:P7)</f>
      </c>
      <c r="Q8" s="86">
        <f>SUM(Q2:Q7)</f>
      </c>
      <c r="R8" s="86">
        <f>SUM(R2:R7)</f>
      </c>
      <c r="S8" s="86">
        <f>SUM(S2:S7)</f>
      </c>
      <c r="T8" s="86">
        <f>SUM(T2:T7)</f>
      </c>
      <c r="U8" s="86">
        <f>SUM(U2:U7)</f>
      </c>
      <c r="V8" s="86">
        <f>SUM(V2:V7)</f>
      </c>
      <c r="W8" s="86">
        <f>SUM(W2:W7)</f>
      </c>
      <c r="X8" s="86">
        <f>SUM(X2:X7)</f>
      </c>
      <c r="Y8" s="86">
        <f>SUM(Y2:Y7)</f>
      </c>
      <c r="Z8" s="86">
        <f>SUM(Z2:Z7)</f>
      </c>
      <c r="AA8" s="153">
        <f>SUM(B8:Z8)</f>
      </c>
      <c r="AB8" s="3"/>
    </row>
    <row x14ac:dyDescent="0.25" r="9" customHeight="1" ht="17.25" hidden="1">
      <c r="A9" s="5" t="s">
        <v>1041</v>
      </c>
      <c r="B9" s="86"/>
      <c r="C9" s="14">
        <f>ABS(1-(C8/B8))</f>
      </c>
      <c r="D9" s="14">
        <f>ABS(1-(D8/C8))</f>
      </c>
      <c r="E9" s="14">
        <f>ABS(1-(E8/D8))</f>
      </c>
      <c r="F9" s="14">
        <f>ABS(1-(F8/E8))</f>
      </c>
      <c r="G9" s="14">
        <f>ABS(1-(G8/F8))</f>
      </c>
      <c r="H9" s="14">
        <f>ABS(1-(H8/G8))</f>
      </c>
      <c r="I9" s="14">
        <f>ABS(1-(I8/H8))</f>
      </c>
      <c r="J9" s="14">
        <f>ABS(1-(J8/I8))</f>
      </c>
      <c r="K9" s="14">
        <f>ABS(1-(K8/J8))</f>
      </c>
      <c r="L9" s="14">
        <f>ABS(1-(L8/K8))</f>
      </c>
      <c r="M9" s="14">
        <f>ABS(1-(M8/L8))</f>
      </c>
      <c r="N9" s="14">
        <f>ABS(1-(N8/M8))</f>
      </c>
      <c r="O9" s="14">
        <f>IFERROR(ABS(1-(O8/N8)),0)</f>
      </c>
      <c r="P9" s="14">
        <f>IFERROR(ABS(1-(P8/O8)),0)</f>
      </c>
      <c r="Q9" s="14">
        <f>IFERROR(ABS(1-(Q8/P8)),0)</f>
      </c>
      <c r="R9" s="14"/>
      <c r="S9" s="14"/>
      <c r="T9" s="14"/>
      <c r="U9" s="14"/>
      <c r="V9" s="14"/>
      <c r="W9" s="14"/>
      <c r="X9" s="14"/>
      <c r="Y9" s="14"/>
      <c r="Z9" s="14"/>
      <c r="AA9" s="86"/>
      <c r="AB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48" width="10.576428571428572" customWidth="1" bestFit="1"/>
    <col min="2" max="2" style="448" width="10.005" customWidth="1" bestFit="1"/>
    <col min="3" max="3" style="448" width="10.576428571428572" customWidth="1" bestFit="1"/>
    <col min="4" max="4" style="28" width="10.005" customWidth="1" bestFit="1"/>
    <col min="5" max="5" style="448" width="11.576428571428572" customWidth="1" bestFit="1"/>
    <col min="6" max="6" style="21" width="11.147857142857141" customWidth="1" bestFit="1"/>
    <col min="7" max="7" style="21" width="9.576428571428572" customWidth="1" bestFit="1"/>
    <col min="8" max="8" style="21" width="10.290714285714287" customWidth="1" bestFit="1"/>
    <col min="9" max="9" style="21" width="9.576428571428572" customWidth="1" bestFit="1"/>
    <col min="10" max="10" style="448" width="10.005" customWidth="1" bestFit="1"/>
    <col min="11" max="11" style="448" width="8.576428571428572" customWidth="1" bestFit="1"/>
    <col min="12" max="12" style="448" width="8.576428571428572" customWidth="1" bestFit="1"/>
    <col min="13" max="13" style="448" width="8.576428571428572" customWidth="1" bestFit="1"/>
    <col min="14" max="14" style="448" width="8.576428571428572" customWidth="1" bestFit="1"/>
    <col min="15" max="15" style="448" width="8.576428571428572" customWidth="1" bestFit="1"/>
    <col min="16" max="16" style="448" width="8.576428571428572" customWidth="1" bestFit="1"/>
    <col min="17" max="17" style="448" width="7.147857142857143" customWidth="1" bestFit="1"/>
    <col min="18" max="18" style="21" width="9.862142857142858" customWidth="1" bestFit="1"/>
    <col min="19" max="19" style="21" width="10.862142857142858" customWidth="1" bestFit="1"/>
    <col min="20" max="20" style="21" width="10.576428571428572" customWidth="1" bestFit="1"/>
    <col min="21" max="21" style="22" width="17.576428571428572" customWidth="1" bestFit="1"/>
    <col min="22" max="22" style="22" width="10.576428571428572" customWidth="1" bestFit="1"/>
  </cols>
  <sheetData>
    <row x14ac:dyDescent="0.25" r="1" customHeight="1" ht="17.25">
      <c r="A1" s="17"/>
      <c r="B1" s="86"/>
      <c r="C1" s="86"/>
      <c r="D1" s="1"/>
      <c r="E1" s="86"/>
      <c r="F1" s="3"/>
      <c r="G1" s="3"/>
      <c r="H1" s="3"/>
      <c r="I1" s="3"/>
      <c r="J1" s="86"/>
      <c r="K1" s="86"/>
      <c r="L1" s="86"/>
      <c r="M1" s="86"/>
      <c r="N1" s="86"/>
      <c r="O1" s="86"/>
      <c r="P1" s="86"/>
      <c r="Q1" s="86"/>
      <c r="R1" s="3"/>
      <c r="S1" s="3"/>
      <c r="T1" s="3"/>
      <c r="U1" s="4"/>
      <c r="V1" s="4"/>
    </row>
    <row x14ac:dyDescent="0.25" r="2" customHeight="1" ht="14.25">
      <c r="A2" s="17"/>
      <c r="B2" s="86"/>
      <c r="C2" s="86"/>
      <c r="D2" s="1"/>
      <c r="E2" s="86"/>
      <c r="F2" s="3"/>
      <c r="G2" s="3"/>
      <c r="H2" s="3"/>
      <c r="I2" s="3"/>
      <c r="J2" s="86"/>
      <c r="K2" s="86"/>
      <c r="L2" s="86"/>
      <c r="M2" s="86"/>
      <c r="N2" s="86"/>
      <c r="O2" s="86"/>
      <c r="P2" s="86"/>
      <c r="Q2" s="86"/>
      <c r="R2" s="3"/>
      <c r="S2" s="3"/>
      <c r="T2" s="3"/>
      <c r="U2" s="4"/>
      <c r="V2" s="4"/>
    </row>
    <row x14ac:dyDescent="0.25" r="3" customHeight="1" ht="103" customFormat="1" s="6">
      <c r="A3" s="390"/>
      <c r="B3" s="438" t="s">
        <v>995</v>
      </c>
      <c r="C3" s="438" t="s">
        <v>996</v>
      </c>
      <c r="D3" s="439" t="s">
        <v>997</v>
      </c>
      <c r="E3" s="438" t="s">
        <v>998</v>
      </c>
      <c r="F3" s="32" t="s">
        <v>999</v>
      </c>
      <c r="G3" s="44" t="s">
        <v>1000</v>
      </c>
      <c r="H3" s="44" t="s">
        <v>1001</v>
      </c>
      <c r="I3" s="44" t="s">
        <v>1002</v>
      </c>
      <c r="J3" s="438" t="s">
        <v>1003</v>
      </c>
      <c r="K3" s="438" t="s">
        <v>1004</v>
      </c>
      <c r="L3" s="438" t="s">
        <v>1005</v>
      </c>
      <c r="M3" s="438" t="s">
        <v>1006</v>
      </c>
      <c r="N3" s="438" t="s">
        <v>1007</v>
      </c>
      <c r="O3" s="438" t="s">
        <v>1008</v>
      </c>
      <c r="P3" s="438" t="s">
        <v>1009</v>
      </c>
      <c r="Q3" s="438" t="s">
        <v>1010</v>
      </c>
      <c r="R3" s="33" t="s">
        <v>1011</v>
      </c>
      <c r="S3" s="99" t="s">
        <v>1012</v>
      </c>
      <c r="T3" s="44" t="s">
        <v>1013</v>
      </c>
      <c r="U3" s="4"/>
      <c r="V3" s="440"/>
    </row>
    <row x14ac:dyDescent="0.25" r="4" customHeight="1" ht="17.25">
      <c r="A4" s="441">
        <v>25568.79196759259</v>
      </c>
      <c r="B4" s="442">
        <v>300000</v>
      </c>
      <c r="C4" s="86">
        <v>-168532.5</v>
      </c>
      <c r="D4" s="86"/>
      <c r="E4" s="86">
        <v>-168532.5</v>
      </c>
      <c r="F4" s="443">
        <f>IF(((B4+E4-H4+D4)&gt;0),0,(B4+E4-H4+D4))</f>
      </c>
      <c r="G4" s="86">
        <f>H4+F4</f>
      </c>
      <c r="H4" s="86">
        <f>SUM(J4:P4)</f>
      </c>
      <c r="I4" s="86"/>
      <c r="J4" s="442">
        <v>25100</v>
      </c>
      <c r="K4" s="442">
        <v>20399.18</v>
      </c>
      <c r="L4" s="442"/>
      <c r="M4" s="442">
        <v>26945.05</v>
      </c>
      <c r="N4" s="442"/>
      <c r="O4" s="442">
        <v>37100.1</v>
      </c>
      <c r="P4" s="442">
        <v>25900</v>
      </c>
      <c r="Q4" s="442"/>
      <c r="R4" s="444">
        <f>SUM(J4:P4)</f>
      </c>
      <c r="S4" s="445">
        <f>H4+F4+(ABS(C4))</f>
      </c>
      <c r="T4" s="3"/>
      <c r="U4" s="4"/>
      <c r="V4" s="4"/>
    </row>
    <row x14ac:dyDescent="0.25" r="5" customHeight="1" ht="17.25">
      <c r="A5" s="441">
        <v>25568.79196759259</v>
      </c>
      <c r="B5" s="442">
        <v>300000</v>
      </c>
      <c r="C5" s="86">
        <v>-178402.5</v>
      </c>
      <c r="D5" s="1">
        <f>SUM(Kings!T14:T15,ACS!X3)</f>
      </c>
      <c r="E5" s="86">
        <v>-178402.5</v>
      </c>
      <c r="F5" s="443">
        <f>IF(((B5+E5-H5+D5)&gt;0),0,(B5+E5-H5+D5))</f>
      </c>
      <c r="G5" s="86">
        <f>H5+F5-D5</f>
      </c>
      <c r="H5" s="86">
        <f>SUM(J5:P5)</f>
      </c>
      <c r="I5" s="86"/>
      <c r="J5" s="442">
        <v>25100</v>
      </c>
      <c r="K5" s="442">
        <v>20399.18</v>
      </c>
      <c r="L5" s="442"/>
      <c r="M5" s="442">
        <v>27226.11</v>
      </c>
      <c r="N5" s="442"/>
      <c r="O5" s="442">
        <v>37296.43</v>
      </c>
      <c r="P5" s="442">
        <v>25900</v>
      </c>
      <c r="Q5" s="442"/>
      <c r="R5" s="444">
        <f>SUM(J5:P5)</f>
      </c>
      <c r="S5" s="445">
        <f>H5+F5+(ABS(E5))-D5</f>
      </c>
      <c r="T5" s="86">
        <f>ABS(SUM(F5-F4))</f>
      </c>
      <c r="U5" s="4"/>
      <c r="V5" s="4"/>
    </row>
    <row x14ac:dyDescent="0.25" r="6" customHeight="1" ht="17.25">
      <c r="A6" s="441">
        <v>25568.79196759259</v>
      </c>
      <c r="B6" s="442">
        <v>300000</v>
      </c>
      <c r="C6" s="86">
        <v>-178402.5</v>
      </c>
      <c r="D6" s="1"/>
      <c r="E6" s="86">
        <v>-178402.5</v>
      </c>
      <c r="F6" s="443">
        <f>IF(((B6+E6-H6+D6)&gt;0),0,(B6+E6-H6+D6))</f>
      </c>
      <c r="G6" s="86">
        <f>H6+F6-D6</f>
      </c>
      <c r="H6" s="86">
        <f>SUM(J6:P6)</f>
      </c>
      <c r="I6" s="86"/>
      <c r="J6" s="442">
        <v>21770</v>
      </c>
      <c r="K6" s="442">
        <v>20399.18</v>
      </c>
      <c r="L6" s="442"/>
      <c r="M6" s="442">
        <v>27877.24</v>
      </c>
      <c r="N6" s="442"/>
      <c r="O6" s="442">
        <v>27591.09</v>
      </c>
      <c r="P6" s="442">
        <v>25900</v>
      </c>
      <c r="Q6" s="442"/>
      <c r="R6" s="444">
        <f>SUM(J6:P6)</f>
      </c>
      <c r="S6" s="445">
        <f>H6+F6+(ABS(E6))-D6</f>
      </c>
      <c r="T6" s="86">
        <f>ABS(SUM(F6-F5))</f>
      </c>
      <c r="U6" s="4"/>
      <c r="V6" s="4"/>
    </row>
    <row x14ac:dyDescent="0.25" r="7" customHeight="1" ht="17.25">
      <c r="A7" s="441">
        <v>25568.79196759259</v>
      </c>
      <c r="B7" s="442">
        <v>300000</v>
      </c>
      <c r="C7" s="86">
        <v>-178402.5</v>
      </c>
      <c r="D7" s="1">
        <f>SUM(Kings!X16:X17, CV!X16:X17)</f>
      </c>
      <c r="E7" s="86">
        <v>-202552.5</v>
      </c>
      <c r="F7" s="443">
        <f>IF(((B7+E7-H7+D7)&gt;0),0,(B7+E7-H7+D7))</f>
      </c>
      <c r="G7" s="86">
        <f>H7+F7-D7</f>
      </c>
      <c r="H7" s="86">
        <f>SUM(J7:P7)</f>
      </c>
      <c r="I7" s="86"/>
      <c r="J7" s="442">
        <v>21769</v>
      </c>
      <c r="K7" s="442">
        <v>21866.58</v>
      </c>
      <c r="L7" s="442"/>
      <c r="M7" s="442">
        <v>28330.51</v>
      </c>
      <c r="N7" s="442"/>
      <c r="O7" s="442">
        <v>27987.97</v>
      </c>
      <c r="P7" s="442">
        <v>25900</v>
      </c>
      <c r="Q7" s="442"/>
      <c r="R7" s="444">
        <f>SUM(J7:P7)</f>
      </c>
      <c r="S7" s="445">
        <f>H7+F7+(ABS(E7))-D7</f>
      </c>
      <c r="T7" s="86">
        <f>ABS(SUM(F7-F6))</f>
      </c>
      <c r="U7" s="4"/>
      <c r="V7" s="4"/>
    </row>
    <row x14ac:dyDescent="0.25" r="8" customHeight="1" ht="17.25">
      <c r="A8" s="441">
        <v>25568.79196759259</v>
      </c>
      <c r="B8" s="442">
        <v>300000</v>
      </c>
      <c r="C8" s="86">
        <v>-202552.5</v>
      </c>
      <c r="D8" s="1">
        <f>BHB!X14</f>
      </c>
      <c r="E8" s="86">
        <v>-202552.5</v>
      </c>
      <c r="F8" s="443">
        <f>IF(((B8+E8-H8+D8)&gt;0),0,(B8+E8-H8+D8))</f>
      </c>
      <c r="G8" s="86">
        <f>H8+F8-D8</f>
      </c>
      <c r="H8" s="86">
        <f>SUM(J8:P8)</f>
      </c>
      <c r="I8" s="86"/>
      <c r="J8" s="442">
        <v>21769</v>
      </c>
      <c r="K8" s="442">
        <v>21866.58</v>
      </c>
      <c r="L8" s="442"/>
      <c r="M8" s="442">
        <v>15928.05</v>
      </c>
      <c r="N8" s="442"/>
      <c r="O8" s="442">
        <v>21152.39</v>
      </c>
      <c r="P8" s="442">
        <v>25900</v>
      </c>
      <c r="Q8" s="442"/>
      <c r="R8" s="444">
        <f>SUM(J8:P8)</f>
      </c>
      <c r="S8" s="445">
        <f>H8+F8+(ABS(E8))-D8</f>
      </c>
      <c r="T8" s="86">
        <f>ABS(SUM(F8-F7))</f>
      </c>
      <c r="U8" s="4"/>
      <c r="V8" s="4"/>
    </row>
    <row x14ac:dyDescent="0.25" r="9" customHeight="1" ht="17.25">
      <c r="A9" s="441">
        <v>25568.79196759259</v>
      </c>
      <c r="B9" s="442">
        <v>300000</v>
      </c>
      <c r="C9" s="86">
        <v>-202552.5</v>
      </c>
      <c r="D9" s="1"/>
      <c r="E9" s="86">
        <v>-202552.5</v>
      </c>
      <c r="F9" s="443">
        <f>IF(((B9+E9-H9+D9)&gt;0),0,(B9+E9-H9+D9))</f>
      </c>
      <c r="G9" s="86">
        <f>H9+F9-D9</f>
      </c>
      <c r="H9" s="86">
        <f>SUM(J9:P9)</f>
      </c>
      <c r="I9" s="86"/>
      <c r="J9" s="442">
        <v>21769</v>
      </c>
      <c r="K9" s="442">
        <v>14306.58</v>
      </c>
      <c r="L9" s="442"/>
      <c r="M9" s="442">
        <v>16443.14</v>
      </c>
      <c r="N9" s="442"/>
      <c r="O9" s="442">
        <v>21541.38</v>
      </c>
      <c r="P9" s="442">
        <v>25900</v>
      </c>
      <c r="Q9" s="442"/>
      <c r="R9" s="444">
        <f>SUM(J9:P9)</f>
      </c>
      <c r="S9" s="445">
        <f>H9+F9+(ABS(E9))-D9</f>
      </c>
      <c r="T9" s="86">
        <f>ABS(SUM(F9-F8))</f>
      </c>
      <c r="U9" s="4"/>
      <c r="V9" s="4"/>
    </row>
    <row x14ac:dyDescent="0.25" r="10" customHeight="1" ht="17.25">
      <c r="A10" s="441">
        <v>25568.79196759259</v>
      </c>
      <c r="B10" s="442">
        <v>300000</v>
      </c>
      <c r="C10" s="86">
        <v>-202552.5</v>
      </c>
      <c r="D10" s="1">
        <f>BHB!X15</f>
      </c>
      <c r="E10" s="86">
        <v>-208302.5</v>
      </c>
      <c r="F10" s="443">
        <f>IF(((B10+E10-H10+D10)&gt;0),0,(B10+E10-H10+D10))</f>
      </c>
      <c r="G10" s="86">
        <f>H10+F10-D10</f>
      </c>
      <c r="H10" s="86">
        <f>SUM(J10:P10)</f>
      </c>
      <c r="I10" s="86"/>
      <c r="J10" s="442">
        <v>21769</v>
      </c>
      <c r="K10" s="442">
        <v>14305.58</v>
      </c>
      <c r="L10" s="442"/>
      <c r="M10" s="442">
        <v>16644.03</v>
      </c>
      <c r="N10" s="442"/>
      <c r="O10" s="442">
        <v>21706.02</v>
      </c>
      <c r="P10" s="442">
        <v>25900</v>
      </c>
      <c r="Q10" s="442"/>
      <c r="R10" s="444">
        <f>SUM(J10:P10)</f>
      </c>
      <c r="S10" s="445">
        <f>H10+F10+(ABS(E10))-D10</f>
      </c>
      <c r="T10" s="86">
        <f>ABS(SUM(F10-F9))</f>
      </c>
      <c r="U10" s="4"/>
      <c r="V10" s="4"/>
    </row>
    <row x14ac:dyDescent="0.25" r="11" customHeight="1" ht="17.25">
      <c r="A11" s="441">
        <v>25568.79196759259</v>
      </c>
      <c r="B11" s="442">
        <v>300000</v>
      </c>
      <c r="C11" s="86">
        <v>-208302.5</v>
      </c>
      <c r="D11" s="1">
        <f>BHB!X16</f>
      </c>
      <c r="E11" s="86">
        <v>-208302.5</v>
      </c>
      <c r="F11" s="443">
        <f>IF(((B11+E11-H11+D11)&gt;0),0,(B11+E11-H11+D11))</f>
      </c>
      <c r="G11" s="86">
        <f>H11+F11-D11</f>
      </c>
      <c r="H11" s="86">
        <f>SUM(J11:P11)</f>
      </c>
      <c r="I11" s="86"/>
      <c r="J11" s="442">
        <v>21769</v>
      </c>
      <c r="K11" s="442">
        <v>8555.58</v>
      </c>
      <c r="L11" s="442"/>
      <c r="M11" s="442">
        <v>17276.01</v>
      </c>
      <c r="N11" s="442"/>
      <c r="O11" s="442">
        <v>21889.09</v>
      </c>
      <c r="P11" s="442">
        <v>25900</v>
      </c>
      <c r="Q11" s="442"/>
      <c r="R11" s="444">
        <f>SUM(J11:P11)</f>
      </c>
      <c r="S11" s="445">
        <f>H11+F11+(ABS(E11))-D11</f>
      </c>
      <c r="T11" s="86">
        <f>ABS(SUM(F11-F10))</f>
      </c>
      <c r="U11" s="4"/>
      <c r="V11" s="4"/>
    </row>
    <row x14ac:dyDescent="0.25" r="12" customHeight="1" ht="17.25">
      <c r="A12" s="441">
        <v>25568.79196759259</v>
      </c>
      <c r="B12" s="442">
        <v>300000</v>
      </c>
      <c r="C12" s="86">
        <v>-216352.5</v>
      </c>
      <c r="D12" s="1">
        <f>BHB!X17</f>
      </c>
      <c r="E12" s="86">
        <v>-216352.5</v>
      </c>
      <c r="F12" s="443">
        <f>IF(((B12+E12-H12+D12)&gt;0),0,(B12+E12-H12+D12))</f>
      </c>
      <c r="G12" s="86">
        <f>H12+F12-D12</f>
      </c>
      <c r="H12" s="86">
        <f>SUM(J12:P12)</f>
      </c>
      <c r="I12" s="86"/>
      <c r="J12" s="442">
        <v>21769</v>
      </c>
      <c r="K12" s="442">
        <v>15404.82</v>
      </c>
      <c r="L12" s="442"/>
      <c r="M12" s="442">
        <v>17784.72</v>
      </c>
      <c r="N12" s="442"/>
      <c r="O12" s="442">
        <v>22306.44</v>
      </c>
      <c r="P12" s="442">
        <v>12900</v>
      </c>
      <c r="Q12" s="442"/>
      <c r="R12" s="444">
        <f>SUM(J12:P12)</f>
      </c>
      <c r="S12" s="445">
        <f>H12+F12+(ABS(E12))-D12</f>
      </c>
      <c r="T12" s="86">
        <f>ABS(SUM(F12-F11))</f>
      </c>
      <c r="U12" s="4"/>
      <c r="V12" s="4"/>
    </row>
    <row x14ac:dyDescent="0.25" r="13" customHeight="1" ht="17.25">
      <c r="A13" s="441">
        <v>25568.79196759259</v>
      </c>
      <c r="B13" s="442">
        <v>300000</v>
      </c>
      <c r="C13" s="86">
        <v>-216352.5</v>
      </c>
      <c r="D13" s="1"/>
      <c r="E13" s="86">
        <v>-216352.5</v>
      </c>
      <c r="F13" s="443">
        <f>IF(((B13+E13-H13+D13)&gt;0),0,(B13+E13-H13+D13))</f>
      </c>
      <c r="G13" s="86">
        <f>H13+F13-D13</f>
      </c>
      <c r="H13" s="86">
        <f>SUM(J13:P13)</f>
      </c>
      <c r="I13" s="86"/>
      <c r="J13" s="442">
        <v>21769</v>
      </c>
      <c r="K13" s="442">
        <v>14349.82</v>
      </c>
      <c r="L13" s="442"/>
      <c r="M13" s="442">
        <v>18605.2</v>
      </c>
      <c r="N13" s="442"/>
      <c r="O13" s="442">
        <v>22619.41</v>
      </c>
      <c r="P13" s="442">
        <v>5900</v>
      </c>
      <c r="Q13" s="442"/>
      <c r="R13" s="444">
        <f>SUM(J13:P13)</f>
      </c>
      <c r="S13" s="445">
        <f>H13+F13+(ABS(E13))-D13</f>
      </c>
      <c r="T13" s="86">
        <f>ABS(SUM(F13-F12))</f>
      </c>
      <c r="U13" s="4"/>
      <c r="V13" s="4"/>
    </row>
    <row x14ac:dyDescent="0.25" r="14" customHeight="1" ht="17.25">
      <c r="A14" s="441">
        <v>25568.79196759259</v>
      </c>
      <c r="B14" s="442">
        <v>300000</v>
      </c>
      <c r="C14" s="86">
        <v>-216352.5</v>
      </c>
      <c r="D14" s="1">
        <f>SUM(BHB!X18+Kings!X18)</f>
      </c>
      <c r="E14" s="86">
        <v>-216352.5</v>
      </c>
      <c r="F14" s="443">
        <f>IF(((B14+E14-H14+D14)&gt;0),0,(B14+E14-H14+D14))</f>
      </c>
      <c r="G14" s="86">
        <f>H14+F14-D14</f>
      </c>
      <c r="H14" s="86">
        <f>SUM(J14:P14)</f>
      </c>
      <c r="I14" s="86"/>
      <c r="J14" s="442">
        <v>21769</v>
      </c>
      <c r="K14" s="442">
        <v>14344.82</v>
      </c>
      <c r="L14" s="442"/>
      <c r="M14" s="442">
        <v>19405.46</v>
      </c>
      <c r="N14" s="442"/>
      <c r="O14" s="442">
        <v>23091.3</v>
      </c>
      <c r="P14" s="442">
        <v>5900</v>
      </c>
      <c r="Q14" s="442"/>
      <c r="R14" s="444">
        <f>SUM(J14:P14)</f>
      </c>
      <c r="S14" s="445">
        <f>H14+F14+(ABS(E14))-D14</f>
      </c>
      <c r="T14" s="86">
        <f>ABS(SUM(F14-F13))</f>
      </c>
      <c r="U14" s="4"/>
      <c r="V14" s="4"/>
    </row>
    <row x14ac:dyDescent="0.25" r="15" customHeight="1" ht="17.25">
      <c r="A15" s="441">
        <v>25568.79196759259</v>
      </c>
      <c r="B15" s="442">
        <v>300000</v>
      </c>
      <c r="C15" s="86">
        <v>-227352.5</v>
      </c>
      <c r="D15" s="1">
        <f>SUM(CV!T18)</f>
      </c>
      <c r="E15" s="86">
        <v>-227352.5</v>
      </c>
      <c r="F15" s="443">
        <f>IF(((B15+E15-H15+D15)&gt;0),0,(B15+E15-H15+D15))</f>
      </c>
      <c r="G15" s="86">
        <f>H15+F15-D15</f>
      </c>
      <c r="H15" s="86">
        <f>SUM(J15:P15)</f>
      </c>
      <c r="I15" s="86"/>
      <c r="J15" s="442">
        <v>21769</v>
      </c>
      <c r="K15" s="442">
        <v>9824.82</v>
      </c>
      <c r="L15" s="442"/>
      <c r="M15" s="442">
        <v>19606.34</v>
      </c>
      <c r="N15" s="442"/>
      <c r="O15" s="442">
        <v>16856.18</v>
      </c>
      <c r="P15" s="442">
        <v>5900</v>
      </c>
      <c r="Q15" s="442"/>
      <c r="R15" s="444">
        <f>SUM(J15:P15)</f>
      </c>
      <c r="S15" s="445">
        <f>H15+F15+(ABS(E15))-D15</f>
      </c>
      <c r="T15" s="86">
        <f>ABS(SUM(F15-F14))</f>
      </c>
      <c r="U15" s="4"/>
      <c r="V15" s="4"/>
    </row>
    <row x14ac:dyDescent="0.25" r="16" customHeight="1" ht="17.25">
      <c r="A16" s="441">
        <v>25568.79196759259</v>
      </c>
      <c r="B16" s="442">
        <v>450000</v>
      </c>
      <c r="C16" s="86">
        <v>-235052.5</v>
      </c>
      <c r="D16" s="1">
        <f>SUM(BHB!X19+CV!X19+Kings!X19)</f>
      </c>
      <c r="E16" s="86">
        <v>-235052.5</v>
      </c>
      <c r="F16" s="443">
        <f>IF(((B16+E16-H16+D16)&gt;0),0,(B16+E16-H16+D16))</f>
      </c>
      <c r="G16" s="86">
        <f>H16+F16-D16</f>
      </c>
      <c r="H16" s="86">
        <f>SUM(J16:P16)</f>
      </c>
      <c r="I16" s="86"/>
      <c r="J16" s="442">
        <v>21769</v>
      </c>
      <c r="K16" s="442">
        <v>39819.82</v>
      </c>
      <c r="L16" s="442"/>
      <c r="M16" s="442">
        <v>40238.32</v>
      </c>
      <c r="N16" s="442"/>
      <c r="O16" s="442">
        <v>37401.44</v>
      </c>
      <c r="P16" s="442">
        <v>85900</v>
      </c>
      <c r="Q16" s="442"/>
      <c r="R16" s="444">
        <f>SUM(J16:P16)</f>
      </c>
      <c r="S16" s="445">
        <f>H16+F16+(ABS(E16))-D16</f>
      </c>
      <c r="T16" s="86">
        <f>ABS(SUM(F16-F15))</f>
      </c>
      <c r="U16" s="4"/>
      <c r="V16" s="4"/>
    </row>
    <row x14ac:dyDescent="0.25" r="17" customHeight="1" ht="17.25">
      <c r="A17" s="441">
        <v>25568.79196759259</v>
      </c>
      <c r="B17" s="442">
        <v>450000</v>
      </c>
      <c r="C17" s="86">
        <v>-235052.5</v>
      </c>
      <c r="D17" s="1">
        <f>SUM(BHB!X20)</f>
      </c>
      <c r="E17" s="86">
        <v>-235052.5</v>
      </c>
      <c r="F17" s="443">
        <f>IF(((B17+E17-H17+D17)&gt;0),0,(B17+E17-H17+D17))</f>
      </c>
      <c r="G17" s="86">
        <f>H17+F17-D17</f>
      </c>
      <c r="H17" s="86">
        <f>SUM(J17:P17)</f>
      </c>
      <c r="I17" s="86"/>
      <c r="J17" s="442">
        <v>21769</v>
      </c>
      <c r="K17" s="442">
        <v>38396.89</v>
      </c>
      <c r="L17" s="442"/>
      <c r="M17" s="442">
        <v>38396.89</v>
      </c>
      <c r="N17" s="442"/>
      <c r="O17" s="442">
        <v>38396.89</v>
      </c>
      <c r="P17" s="442">
        <v>85900</v>
      </c>
      <c r="Q17" s="442"/>
      <c r="R17" s="444">
        <f>SUM(J17:P17)</f>
      </c>
      <c r="S17" s="445">
        <f>H17+F17+(ABS(E17))-D17</f>
      </c>
      <c r="T17" s="86">
        <f>ABS(SUM(F17-F16))</f>
      </c>
      <c r="U17" s="4"/>
      <c r="V17" s="4"/>
    </row>
    <row x14ac:dyDescent="0.25" r="18" customHeight="1" ht="17.25">
      <c r="A18" s="441">
        <v>25568.79196759259</v>
      </c>
      <c r="B18" s="442">
        <v>450000</v>
      </c>
      <c r="C18" s="86">
        <v>-253852.5</v>
      </c>
      <c r="D18" s="1">
        <f>SUM(Kings!X20)</f>
      </c>
      <c r="E18" s="86">
        <v>-253852.5</v>
      </c>
      <c r="F18" s="443">
        <f>IF(((B18+E18-H18+D18)&gt;0),0,(B18+E18-H18+D18))</f>
      </c>
      <c r="G18" s="86">
        <f>H18+F18-D18</f>
      </c>
      <c r="H18" s="86">
        <f>SUM(J18:P18)</f>
      </c>
      <c r="I18" s="86"/>
      <c r="J18" s="442">
        <v>21769</v>
      </c>
      <c r="K18" s="442">
        <v>27291.89</v>
      </c>
      <c r="L18" s="442"/>
      <c r="M18" s="442">
        <v>32311.65</v>
      </c>
      <c r="N18" s="442"/>
      <c r="O18" s="442">
        <v>30570.04</v>
      </c>
      <c r="P18" s="442">
        <v>85900</v>
      </c>
      <c r="Q18" s="442"/>
      <c r="R18" s="444">
        <f>SUM(J18:P18)</f>
      </c>
      <c r="S18" s="445">
        <f>H18+F18+(ABS(E18))-D18</f>
      </c>
      <c r="T18" s="86">
        <f>ABS(SUM(F18-F17))</f>
      </c>
      <c r="U18" s="4"/>
      <c r="V18" s="4"/>
    </row>
    <row x14ac:dyDescent="0.25" r="19" customHeight="1" ht="17.25">
      <c r="A19" s="441">
        <v>25568.79196759259</v>
      </c>
      <c r="B19" s="442">
        <v>450000</v>
      </c>
      <c r="C19" s="86">
        <v>-261692.5</v>
      </c>
      <c r="D19" s="1">
        <f>SUM(Kings!X21)</f>
      </c>
      <c r="E19" s="86">
        <v>-261692.5</v>
      </c>
      <c r="F19" s="443">
        <f>IF(((B19+E19-H19+D19)&gt;0),0,(B19+E19-H19+D19))</f>
      </c>
      <c r="G19" s="86">
        <f>H19+F19-D19</f>
      </c>
      <c r="H19" s="86">
        <f>SUM(J19:P19)</f>
      </c>
      <c r="I19" s="86"/>
      <c r="J19" s="442">
        <v>21769</v>
      </c>
      <c r="K19" s="442">
        <v>27286.89</v>
      </c>
      <c r="L19" s="442"/>
      <c r="M19" s="442">
        <v>33227.77</v>
      </c>
      <c r="N19" s="442"/>
      <c r="O19" s="442">
        <v>23169.57</v>
      </c>
      <c r="P19" s="442">
        <v>85900</v>
      </c>
      <c r="Q19" s="442"/>
      <c r="R19" s="444">
        <f>SUM(J19:P19)</f>
      </c>
      <c r="S19" s="445">
        <f>H19+F19+(ABS(E19))-D19</f>
      </c>
      <c r="T19" s="86">
        <f>ABS(SUM(F19-F18))</f>
      </c>
      <c r="U19" s="4"/>
      <c r="V19" s="4"/>
    </row>
    <row x14ac:dyDescent="0.25" r="20" customHeight="1" ht="17.25">
      <c r="A20" s="441">
        <v>25568.79196759259</v>
      </c>
      <c r="B20" s="442">
        <v>450000</v>
      </c>
      <c r="C20" s="86">
        <v>-271212.5</v>
      </c>
      <c r="D20" s="446">
        <f>SUM(SUM(ACS!X4:X6)+BHB!X21+SUM(CV!X20:X21)+SUM(Kings!X22:X23))</f>
      </c>
      <c r="E20" s="86">
        <v>-271212.5</v>
      </c>
      <c r="F20" s="443">
        <f>IF(((B20+E20-H20+D20)&gt;0),0,(B20+E20-H20+D20))</f>
      </c>
      <c r="G20" s="86">
        <f>H20+F20-D20</f>
      </c>
      <c r="H20" s="86">
        <f>SUM(J20:P20)</f>
      </c>
      <c r="I20" s="86"/>
      <c r="J20" s="442">
        <v>21769</v>
      </c>
      <c r="K20" s="442">
        <v>27286.89</v>
      </c>
      <c r="L20" s="442"/>
      <c r="M20" s="442">
        <v>33428.67</v>
      </c>
      <c r="N20" s="442"/>
      <c r="O20" s="442">
        <v>13857.79</v>
      </c>
      <c r="P20" s="442">
        <v>85900</v>
      </c>
      <c r="Q20" s="442"/>
      <c r="R20" s="444">
        <f>SUM(J20:P20)</f>
      </c>
      <c r="S20" s="445">
        <f>H20+F20+(ABS(E20))-D20</f>
      </c>
      <c r="T20" s="86">
        <f>ABS(SUM(F20-F19))</f>
      </c>
      <c r="U20" s="4"/>
      <c r="V20" s="4"/>
    </row>
    <row x14ac:dyDescent="0.25" r="21" customHeight="1" ht="17.25">
      <c r="A21" s="441">
        <v>25568.79196759259</v>
      </c>
      <c r="B21" s="442">
        <v>450000</v>
      </c>
      <c r="C21" s="86">
        <v>-310517.5</v>
      </c>
      <c r="D21" s="1">
        <f>SUM(Boom!X3+Kings!X24)</f>
      </c>
      <c r="E21" s="86">
        <v>-310517.5</v>
      </c>
      <c r="F21" s="443">
        <f>IF(((B21+E21-H21+D21)&gt;0),0,(B21+E21-H21+D21))</f>
      </c>
      <c r="G21" s="86">
        <f>H21+F21-D21</f>
      </c>
      <c r="H21" s="86">
        <f>SUM(J21:P21)</f>
      </c>
      <c r="I21" s="86"/>
      <c r="J21" s="442">
        <v>12224</v>
      </c>
      <c r="K21" s="442">
        <v>23811.43</v>
      </c>
      <c r="L21" s="442"/>
      <c r="M21" s="442">
        <v>29573.76</v>
      </c>
      <c r="N21" s="442"/>
      <c r="O21" s="442">
        <v>27782.66</v>
      </c>
      <c r="P21" s="442">
        <v>60900</v>
      </c>
      <c r="Q21" s="442"/>
      <c r="R21" s="444">
        <f>SUM(J21:P21)</f>
      </c>
      <c r="S21" s="445">
        <f>H21+F21+(ABS(E21))-D21</f>
      </c>
      <c r="T21" s="86">
        <f>ABS(SUM(F21-F20))</f>
      </c>
      <c r="U21" s="4"/>
      <c r="V21" s="4"/>
    </row>
    <row x14ac:dyDescent="0.25" r="22" customHeight="1" ht="17.25">
      <c r="A22" s="441">
        <v>25568.79196759259</v>
      </c>
      <c r="B22" s="442">
        <v>450000</v>
      </c>
      <c r="C22" s="443">
        <v>-332317.5</v>
      </c>
      <c r="D22" s="1">
        <f>SUM(SUM(ACS!X7:X11)+SUM(CV!X22:X24)+Kings!X25)</f>
      </c>
      <c r="E22" s="443">
        <v>-377775</v>
      </c>
      <c r="F22" s="443">
        <f>IF(((B22+E22-H22+D22)&gt;0),0,(B22+E22-H22+D22))</f>
      </c>
      <c r="G22" s="86">
        <f>H22+F22-D22</f>
      </c>
      <c r="H22" s="86">
        <f>SUM(J22:P22)</f>
      </c>
      <c r="I22" s="86"/>
      <c r="J22" s="442">
        <v>12209</v>
      </c>
      <c r="K22" s="442">
        <v>23806.43</v>
      </c>
      <c r="L22" s="442"/>
      <c r="M22" s="442">
        <v>18668.92</v>
      </c>
      <c r="N22" s="442"/>
      <c r="O22" s="442">
        <v>26533.31</v>
      </c>
      <c r="P22" s="442">
        <v>40900</v>
      </c>
      <c r="Q22" s="442"/>
      <c r="R22" s="444">
        <f>SUM(J22:P22)</f>
      </c>
      <c r="S22" s="445">
        <f>H22+F22+(ABS(E22))-D22</f>
      </c>
      <c r="T22" s="86">
        <f>ABS(SUM(F22-F21))</f>
      </c>
      <c r="U22" s="4"/>
      <c r="V22" s="4"/>
    </row>
    <row x14ac:dyDescent="0.25" r="23" customHeight="1" ht="17.25">
      <c r="A23" s="441">
        <v>25568.79196759259</v>
      </c>
      <c r="B23" s="442">
        <v>450000</v>
      </c>
      <c r="C23" s="443">
        <v>-377775</v>
      </c>
      <c r="D23" s="1">
        <f>SUM(SUM(ACS!X12:X13)+BHB!X22)</f>
      </c>
      <c r="E23" s="443">
        <v>-386975</v>
      </c>
      <c r="F23" s="443">
        <f>IF(((B23+E23-H23+D23)&gt;0),0,(B23+E23-H23+D23))</f>
      </c>
      <c r="G23" s="86">
        <f>H23+F23-D23</f>
      </c>
      <c r="H23" s="86">
        <f>SUM(J23:P23)</f>
      </c>
      <c r="I23" s="86"/>
      <c r="J23" s="442">
        <v>12991.5</v>
      </c>
      <c r="K23" s="442">
        <v>23806.43</v>
      </c>
      <c r="L23" s="442"/>
      <c r="M23" s="442">
        <v>8678.21</v>
      </c>
      <c r="N23" s="442"/>
      <c r="O23" s="442">
        <v>23597.98</v>
      </c>
      <c r="P23" s="442">
        <v>5900</v>
      </c>
      <c r="Q23" s="442"/>
      <c r="R23" s="444">
        <f>SUM(J23:P23)</f>
      </c>
      <c r="S23" s="445">
        <f>H23+F23+(ABS(E23))-D23</f>
      </c>
      <c r="T23" s="86">
        <f>ABS(SUM(F23-F22))</f>
      </c>
      <c r="U23" s="4"/>
      <c r="V23" s="4"/>
    </row>
    <row x14ac:dyDescent="0.25" r="24" customHeight="1" ht="17.25">
      <c r="A24" s="441">
        <v>25568.79196759259</v>
      </c>
      <c r="B24" s="442">
        <v>450000</v>
      </c>
      <c r="C24" s="443">
        <v>-386975</v>
      </c>
      <c r="D24" s="1">
        <f>SUM(SUM(ACS!X14:X15))</f>
      </c>
      <c r="E24" s="443">
        <v>-392150</v>
      </c>
      <c r="F24" s="443">
        <f>IF(((B24+D24+E24-H24)&gt;0),0,(B24+D24+E24-H24))</f>
      </c>
      <c r="G24" s="86">
        <f>H24+F24-D24</f>
      </c>
      <c r="H24" s="86">
        <f>SUM(J24:P24)</f>
      </c>
      <c r="I24" s="86"/>
      <c r="J24" s="442">
        <v>7886.25</v>
      </c>
      <c r="K24" s="442">
        <v>20356.43</v>
      </c>
      <c r="L24" s="442"/>
      <c r="M24" s="442">
        <v>18384.95</v>
      </c>
      <c r="N24" s="442"/>
      <c r="O24" s="442">
        <v>16032.51</v>
      </c>
      <c r="P24" s="442">
        <v>5900</v>
      </c>
      <c r="Q24" s="442"/>
      <c r="R24" s="444">
        <f>SUM(J24:P24)</f>
      </c>
      <c r="S24" s="445">
        <f>H24+F24+(ABS(E24))-D24</f>
      </c>
      <c r="T24" s="86">
        <f>ABS(SUM(F24-F23))</f>
      </c>
      <c r="U24" s="4"/>
      <c r="V24" s="4"/>
    </row>
    <row x14ac:dyDescent="0.25" r="25" customHeight="1" ht="17.25">
      <c r="A25" s="441">
        <v>25568.79196759259</v>
      </c>
      <c r="B25" s="442">
        <v>450000</v>
      </c>
      <c r="C25" s="443">
        <v>-392150</v>
      </c>
      <c r="D25" s="1"/>
      <c r="E25" s="443">
        <v>-392150</v>
      </c>
      <c r="F25" s="443">
        <f>IF(((B25+D25+E25-H25)&gt;0),0,(B25+D25+E25-H25))</f>
      </c>
      <c r="G25" s="86">
        <f>H25+F25-D25</f>
      </c>
      <c r="H25" s="86">
        <f>SUM(J25:P25)</f>
      </c>
      <c r="I25" s="86"/>
      <c r="J25" s="442">
        <v>9701.25</v>
      </c>
      <c r="K25" s="442">
        <v>13351.43</v>
      </c>
      <c r="L25" s="442">
        <v>100</v>
      </c>
      <c r="M25" s="442">
        <v>19381.21</v>
      </c>
      <c r="N25" s="442">
        <v>100</v>
      </c>
      <c r="O25" s="442">
        <v>16982.85</v>
      </c>
      <c r="P25" s="442">
        <v>5900</v>
      </c>
      <c r="Q25" s="442"/>
      <c r="R25" s="444">
        <f>SUM(J25:P25)</f>
      </c>
      <c r="S25" s="445">
        <f>H25+F25+(ABS(E25))-D25</f>
      </c>
      <c r="T25" s="86">
        <f>ABS(SUM(F25-F24))</f>
      </c>
      <c r="U25" s="4"/>
      <c r="V25" s="4"/>
    </row>
    <row x14ac:dyDescent="0.25" r="26" customHeight="1" ht="17.25">
      <c r="A26" s="441">
        <v>25568.79196759259</v>
      </c>
      <c r="B26" s="442">
        <v>450000</v>
      </c>
      <c r="C26" s="443">
        <v>-392150</v>
      </c>
      <c r="D26" s="1">
        <f>SUM(ACS!X16+BHB!X23+Boom!X4+CV!X25)</f>
      </c>
      <c r="E26" s="443">
        <v>-394450</v>
      </c>
      <c r="F26" s="443">
        <f>IF(((B26+D26+E26-H26)&gt;0),0,(B26+D26+E26-H26))</f>
      </c>
      <c r="G26" s="86">
        <f>H26+F26-D26</f>
      </c>
      <c r="H26" s="86">
        <f>SUM(J26:P26)</f>
      </c>
      <c r="I26" s="86"/>
      <c r="J26" s="442">
        <v>9691.25</v>
      </c>
      <c r="K26" s="442">
        <v>16198.66</v>
      </c>
      <c r="L26" s="442">
        <v>100</v>
      </c>
      <c r="M26" s="442">
        <v>20612.76</v>
      </c>
      <c r="N26" s="442">
        <v>100</v>
      </c>
      <c r="O26" s="442">
        <v>17551.51</v>
      </c>
      <c r="P26" s="442">
        <v>5900</v>
      </c>
      <c r="Q26" s="442"/>
      <c r="R26" s="444">
        <f>SUM(J26:P26)</f>
      </c>
      <c r="S26" s="445">
        <f>H26+F26+(ABS(E26))-D26</f>
      </c>
      <c r="T26" s="86">
        <f>ABS(SUM(F26-F25))</f>
      </c>
      <c r="U26" s="4"/>
      <c r="V26" s="4"/>
    </row>
    <row x14ac:dyDescent="0.25" r="27" customHeight="1" ht="17.25">
      <c r="A27" s="441">
        <v>25568.79196759259</v>
      </c>
      <c r="B27" s="442">
        <v>450000</v>
      </c>
      <c r="C27" s="443">
        <v>-394450</v>
      </c>
      <c r="D27" s="1">
        <f>SUM(SUM(BHB!X24:X25)+SUM(Boom!X5:X6))</f>
      </c>
      <c r="E27" s="443">
        <v>-412795</v>
      </c>
      <c r="F27" s="443">
        <f>IF(((B27+D27+E27-H27)&gt;0),0,(B27+D27+E27-H27))</f>
      </c>
      <c r="G27" s="86">
        <f>H27+F27-D27</f>
      </c>
      <c r="H27" s="86">
        <f>SUM(J27:P27)</f>
      </c>
      <c r="I27" s="86"/>
      <c r="J27" s="442">
        <v>7391.25</v>
      </c>
      <c r="K27" s="442">
        <v>10656.16</v>
      </c>
      <c r="L27" s="442">
        <v>5760</v>
      </c>
      <c r="M27" s="442">
        <v>21938.19</v>
      </c>
      <c r="N27" s="442">
        <v>100</v>
      </c>
      <c r="O27" s="442">
        <v>10340.23</v>
      </c>
      <c r="P27" s="442">
        <v>1900</v>
      </c>
      <c r="Q27" s="442"/>
      <c r="R27" s="444">
        <f>SUM(J27:P27)</f>
      </c>
      <c r="S27" s="445">
        <f>H27+F27+(ABS(E27))-D27</f>
      </c>
      <c r="T27" s="86">
        <f>ABS(SUM(F27-F26))</f>
      </c>
      <c r="U27" s="4"/>
      <c r="V27" s="4"/>
    </row>
    <row x14ac:dyDescent="0.25" r="28" customHeight="1" ht="17.25">
      <c r="A28" s="441">
        <v>25568.79196759259</v>
      </c>
      <c r="B28" s="442">
        <v>450000</v>
      </c>
      <c r="C28" s="443">
        <v>-412795</v>
      </c>
      <c r="D28" s="1"/>
      <c r="E28" s="443">
        <v>-412795</v>
      </c>
      <c r="F28" s="443">
        <f>IF(((B28+D28+E28-H28)&gt;0),0,(B28+D28+E28-H28))</f>
      </c>
      <c r="G28" s="86">
        <f>H28+F28-D28</f>
      </c>
      <c r="H28" s="86">
        <f>SUM(J28:P28)</f>
      </c>
      <c r="I28" s="86"/>
      <c r="J28" s="442">
        <v>7386.25</v>
      </c>
      <c r="K28" s="442">
        <v>1286.16</v>
      </c>
      <c r="L28" s="442">
        <v>1035</v>
      </c>
      <c r="M28" s="442">
        <v>18617.06</v>
      </c>
      <c r="N28" s="442">
        <v>100</v>
      </c>
      <c r="O28" s="442">
        <v>10755.51</v>
      </c>
      <c r="P28" s="442">
        <v>400</v>
      </c>
      <c r="Q28" s="442"/>
      <c r="R28" s="444">
        <f>SUM(J28:P28)</f>
      </c>
      <c r="S28" s="445">
        <f>H28+F28+(ABS(E28))-D28</f>
      </c>
      <c r="T28" s="86">
        <f>ABS(SUM(F28-F27))</f>
      </c>
      <c r="U28" s="4"/>
      <c r="V28" s="4"/>
    </row>
    <row x14ac:dyDescent="0.25" r="29" customHeight="1" ht="17.25">
      <c r="A29" s="441">
        <v>25568.79196759259</v>
      </c>
      <c r="B29" s="442">
        <v>450000</v>
      </c>
      <c r="C29" s="443">
        <v>-412795</v>
      </c>
      <c r="D29" s="1">
        <f>SUM(SUM(Kings!X26:X27)+BHB!X26)</f>
      </c>
      <c r="E29" s="443">
        <v>-422575</v>
      </c>
      <c r="F29" s="443">
        <f>IF(((B29+D29+E29-H29)&gt;0),0,(B29+D29+E29-H29))</f>
      </c>
      <c r="G29" s="86">
        <f>H29+F29-D29</f>
      </c>
      <c r="H29" s="86">
        <f>SUM(J29:P29)</f>
      </c>
      <c r="I29" s="86"/>
      <c r="J29" s="442">
        <v>7386.25</v>
      </c>
      <c r="K29" s="442">
        <v>1276.16</v>
      </c>
      <c r="L29" s="442">
        <v>1025</v>
      </c>
      <c r="M29" s="442">
        <v>19162.14</v>
      </c>
      <c r="N29" s="442">
        <v>100</v>
      </c>
      <c r="O29" s="442">
        <v>11043.77</v>
      </c>
      <c r="P29" s="442">
        <v>400</v>
      </c>
      <c r="Q29" s="442"/>
      <c r="R29" s="444">
        <f>SUM(J29:P29)</f>
      </c>
      <c r="S29" s="445">
        <f>H29+F29+(ABS(E29))-D29</f>
      </c>
      <c r="T29" s="86">
        <f>ABS(SUM(F29-F28))</f>
      </c>
      <c r="U29" s="4"/>
      <c r="V29" s="4"/>
    </row>
    <row x14ac:dyDescent="0.25" r="30" customHeight="1" ht="17.25">
      <c r="A30" s="441">
        <v>25568.79196759259</v>
      </c>
      <c r="B30" s="442">
        <v>450000</v>
      </c>
      <c r="C30" s="443">
        <v>-422575</v>
      </c>
      <c r="D30" s="1">
        <f>SUM(Kings!X28+SUM(ACS!X17:X18))</f>
      </c>
      <c r="E30" s="443">
        <v>-431775</v>
      </c>
      <c r="F30" s="443">
        <f>IF(((B30+D30+E30-H30)&gt;0),0,(B30+D30+E30-H30))</f>
      </c>
      <c r="G30" s="86">
        <f>H30+F30-D30</f>
      </c>
      <c r="H30" s="86">
        <f>SUM(J30:P30)</f>
      </c>
      <c r="I30" s="86"/>
      <c r="J30" s="442">
        <v>7386.25</v>
      </c>
      <c r="K30" s="442">
        <v>6826.16</v>
      </c>
      <c r="L30" s="442">
        <v>1025</v>
      </c>
      <c r="M30" s="442">
        <v>17783.36</v>
      </c>
      <c r="N30" s="442">
        <v>100</v>
      </c>
      <c r="O30" s="442">
        <v>2223.65</v>
      </c>
      <c r="P30" s="442">
        <v>400</v>
      </c>
      <c r="Q30" s="442"/>
      <c r="R30" s="444">
        <f>SUM(J30:P30)</f>
      </c>
      <c r="S30" s="445">
        <f>H30+F30+(ABS(E30))-D30</f>
      </c>
      <c r="T30" s="86">
        <f>ABS(SUM(F30-F29))</f>
      </c>
      <c r="U30" s="4"/>
      <c r="V30" s="4"/>
    </row>
    <row x14ac:dyDescent="0.25" r="31" customHeight="1" ht="17.25">
      <c r="A31" s="441">
        <v>25568.79196759259</v>
      </c>
      <c r="B31" s="442">
        <v>500000</v>
      </c>
      <c r="C31" s="443">
        <v>-431775</v>
      </c>
      <c r="D31" s="1">
        <f>SUM(Kings!X29+BHB!X27)</f>
      </c>
      <c r="E31" s="443">
        <v>-431775</v>
      </c>
      <c r="F31" s="443">
        <f>IF(((B31+D31+E31-H31)&gt;0),0,(B31+D31+E31-H31))</f>
      </c>
      <c r="G31" s="86">
        <f>H31+F31-D31</f>
      </c>
      <c r="H31" s="86">
        <f>SUM(J31:P31)</f>
      </c>
      <c r="I31" s="86"/>
      <c r="J31" s="442">
        <v>5766.11</v>
      </c>
      <c r="K31" s="442">
        <v>10167.27</v>
      </c>
      <c r="L31" s="442">
        <v>1328.27</v>
      </c>
      <c r="M31" s="442">
        <v>5411.02</v>
      </c>
      <c r="N31" s="442">
        <v>100</v>
      </c>
      <c r="O31" s="442">
        <v>6978.92</v>
      </c>
      <c r="P31" s="442">
        <v>50400</v>
      </c>
      <c r="Q31" s="442"/>
      <c r="R31" s="444">
        <f>SUM(J31:P31)</f>
      </c>
      <c r="S31" s="445">
        <f>H31+F31+(ABS(E31))-D31</f>
      </c>
      <c r="T31" s="86">
        <f>ABS(SUM(F31-F30))</f>
      </c>
      <c r="U31" s="4"/>
      <c r="V31" s="4"/>
    </row>
    <row x14ac:dyDescent="0.25" r="32" customHeight="1" ht="17.25">
      <c r="A32" s="441">
        <v>25568.79196759259</v>
      </c>
      <c r="B32" s="442">
        <v>500000</v>
      </c>
      <c r="C32" s="443">
        <v>-431775</v>
      </c>
      <c r="D32" s="1">
        <f>SUM(SUM(ACS!X19:X20)+SUM(Kings!X30:X31))</f>
      </c>
      <c r="E32" s="443">
        <v>-460925</v>
      </c>
      <c r="F32" s="443">
        <f>IF(((B32+D32+E32-H32)&gt;0),0,(B32+D32+E32-H32))</f>
      </c>
      <c r="G32" s="86">
        <f>H32+F32-D32</f>
      </c>
      <c r="H32" s="86">
        <f>SUM(J32:P32)</f>
      </c>
      <c r="I32" s="86"/>
      <c r="J32" s="442">
        <v>15756.11</v>
      </c>
      <c r="K32" s="442">
        <v>5854.77</v>
      </c>
      <c r="L32" s="442">
        <v>11328.27</v>
      </c>
      <c r="M32" s="442">
        <v>7574.83</v>
      </c>
      <c r="N32" s="442">
        <v>10100</v>
      </c>
      <c r="O32" s="442">
        <v>10017.28</v>
      </c>
      <c r="P32" s="442">
        <v>10400</v>
      </c>
      <c r="Q32" s="442"/>
      <c r="R32" s="444">
        <f>SUM(J32:P32)</f>
      </c>
      <c r="S32" s="445">
        <f>H32+F32+(ABS(E32))-D32</f>
      </c>
      <c r="T32" s="86">
        <f>ABS(SUM(F32-F31))</f>
      </c>
      <c r="U32" s="4"/>
      <c r="V32" s="4"/>
    </row>
    <row x14ac:dyDescent="0.25" r="33" customHeight="1" ht="17.25">
      <c r="A33" s="441">
        <v>25568.79196759259</v>
      </c>
      <c r="B33" s="442">
        <v>500000</v>
      </c>
      <c r="C33" s="443">
        <v>-460925</v>
      </c>
      <c r="D33" s="1">
        <f>(CV!X26+SUM(Kings!T32:T33))</f>
      </c>
      <c r="E33" s="443">
        <v>-482205</v>
      </c>
      <c r="F33" s="443">
        <f>IF(((B33+D33+E33-H33)&gt;0),0,(B33+D33+E33-H33))</f>
      </c>
      <c r="G33" s="86">
        <f>H33+F33-D33</f>
      </c>
      <c r="H33" s="86">
        <f>SUM(J33:P33)</f>
      </c>
      <c r="I33" s="86"/>
      <c r="J33" s="442">
        <v>1106.11</v>
      </c>
      <c r="K33" s="442">
        <v>5849.77</v>
      </c>
      <c r="L33" s="442">
        <v>328.27</v>
      </c>
      <c r="M33" s="442">
        <v>9335.1</v>
      </c>
      <c r="N33" s="442">
        <v>10100</v>
      </c>
      <c r="O33" s="442">
        <v>3662.22</v>
      </c>
      <c r="P33" s="442">
        <v>10400</v>
      </c>
      <c r="Q33" s="442"/>
      <c r="R33" s="444">
        <f>SUM(J33:P33)</f>
      </c>
      <c r="S33" s="445">
        <f>H33+F33+(ABS(E33))-D33</f>
      </c>
      <c r="T33" s="86">
        <f>ABS(SUM(F33-F32))</f>
      </c>
      <c r="U33" s="4"/>
      <c r="V33" s="4"/>
    </row>
    <row x14ac:dyDescent="0.25" r="34" customHeight="1" ht="17.25">
      <c r="A34" s="441">
        <v>25568.79196759259</v>
      </c>
      <c r="B34" s="442">
        <v>500000</v>
      </c>
      <c r="C34" s="443">
        <v>-482205</v>
      </c>
      <c r="D34" s="1">
        <f>SUM(Boom!X7+CV!X27)</f>
      </c>
      <c r="E34" s="443">
        <v>-500275</v>
      </c>
      <c r="F34" s="443">
        <f>IF(((B34+D34+E34-H34)&gt;0),0,(B34+D34+E34-H34))</f>
      </c>
      <c r="G34" s="86">
        <f>H34+F34-D34</f>
      </c>
      <c r="H34" s="86">
        <f>SUM(J34:P34)</f>
      </c>
      <c r="I34" s="86"/>
      <c r="J34" s="442">
        <v>1096.11</v>
      </c>
      <c r="K34" s="442">
        <v>5849.77</v>
      </c>
      <c r="L34" s="442">
        <v>363.06</v>
      </c>
      <c r="M34" s="442">
        <v>3282.74</v>
      </c>
      <c r="N34" s="442">
        <v>5100</v>
      </c>
      <c r="O34" s="442">
        <v>1035.84</v>
      </c>
      <c r="P34" s="442">
        <v>4400</v>
      </c>
      <c r="Q34" s="442"/>
      <c r="R34" s="444">
        <f>SUM(J34:P34)</f>
      </c>
      <c r="S34" s="445">
        <f>H34+F34+(ABS(E34))-D34</f>
      </c>
      <c r="T34" s="86">
        <f>ABS(SUM(F34-F33))</f>
      </c>
      <c r="U34" s="4"/>
      <c r="V34" s="4"/>
    </row>
    <row x14ac:dyDescent="0.25" r="35" customHeight="1" ht="17.25">
      <c r="A35" s="441">
        <v>25568.79196759259</v>
      </c>
      <c r="B35" s="442">
        <v>500000</v>
      </c>
      <c r="C35" s="443">
        <v>-500275</v>
      </c>
      <c r="D35" s="1"/>
      <c r="E35" s="443">
        <v>-500275</v>
      </c>
      <c r="F35" s="443">
        <f>IF(((B35+D35+E35-H35)&gt;0),0,(B35+D35+E35-H35))</f>
      </c>
      <c r="G35" s="86">
        <f>H35+F35-D35</f>
      </c>
      <c r="H35" s="86">
        <f>SUM(J35:Q35)</f>
      </c>
      <c r="I35" s="86"/>
      <c r="J35" s="442">
        <v>496.11</v>
      </c>
      <c r="K35" s="442">
        <v>249.77</v>
      </c>
      <c r="L35" s="442">
        <v>497.86</v>
      </c>
      <c r="M35" s="442">
        <v>1706.27</v>
      </c>
      <c r="N35" s="442">
        <v>100</v>
      </c>
      <c r="O35" s="442">
        <v>3068.06</v>
      </c>
      <c r="P35" s="442">
        <v>400</v>
      </c>
      <c r="Q35" s="442">
        <v>-235</v>
      </c>
      <c r="R35" s="444">
        <f>SUM(J35:Q35)</f>
      </c>
      <c r="S35" s="445">
        <f>H35+F35+(ABS(E35))-D35</f>
      </c>
      <c r="T35" s="86">
        <f>ABS(SUM(F35-F34))</f>
      </c>
      <c r="U35" s="4"/>
      <c r="V35" s="4"/>
    </row>
    <row x14ac:dyDescent="0.25" r="36" customHeight="1" ht="17.25">
      <c r="A36" s="441">
        <v>25568.79196759259</v>
      </c>
      <c r="B36" s="442">
        <v>575000</v>
      </c>
      <c r="C36" s="443">
        <v>-500275</v>
      </c>
      <c r="D36" s="1">
        <f>SUM(BHB!X28+SUM(ACS!X21:X22)+Kings!X34)</f>
      </c>
      <c r="E36" s="443">
        <v>-505525</v>
      </c>
      <c r="F36" s="443">
        <f>IF(((B36+D36+E36-H36)&gt;0),0,(B36+D36+E36-H36))</f>
      </c>
      <c r="G36" s="86">
        <f>H36+F36-D36</f>
      </c>
      <c r="H36" s="86">
        <f>SUM(J36:Q36)</f>
      </c>
      <c r="I36" s="86"/>
      <c r="J36" s="442">
        <v>10496.11</v>
      </c>
      <c r="K36" s="442">
        <v>13873.37</v>
      </c>
      <c r="L36" s="442">
        <v>11317.32</v>
      </c>
      <c r="M36" s="442">
        <v>12443.5</v>
      </c>
      <c r="N36" s="442">
        <v>10100</v>
      </c>
      <c r="O36" s="442">
        <v>13987.42</v>
      </c>
      <c r="P36" s="442">
        <v>15400</v>
      </c>
      <c r="Q36" s="442"/>
      <c r="R36" s="444">
        <f>SUM(J36:Q36)</f>
      </c>
      <c r="S36" s="445">
        <f>H36+F36+(ABS(E36))-D36</f>
      </c>
      <c r="T36" s="86">
        <f>ABS(SUM(F36-F35))</f>
      </c>
      <c r="U36" s="4"/>
      <c r="V36" s="4"/>
    </row>
    <row x14ac:dyDescent="0.25" r="37" customHeight="1" ht="17.25">
      <c r="A37" s="441">
        <v>25568.79196759259</v>
      </c>
      <c r="B37" s="442">
        <v>650000</v>
      </c>
      <c r="C37" s="443">
        <v>-505525</v>
      </c>
      <c r="D37" s="1">
        <f>SUM(Boom!X8+SUM(ACS!X23:X24)+CV!X28)</f>
      </c>
      <c r="E37" s="443">
        <v>-526710</v>
      </c>
      <c r="F37" s="443">
        <f>IF(((B37+D37+E37-H37)&gt;0),0,(B37+D37+E37-H37))</f>
      </c>
      <c r="G37" s="86">
        <f>H37+F37-D37</f>
      </c>
      <c r="H37" s="86">
        <f>SUM(J37:Q37)</f>
      </c>
      <c r="I37" s="86"/>
      <c r="J37" s="442">
        <v>2446.11</v>
      </c>
      <c r="K37" s="442">
        <v>9393.37</v>
      </c>
      <c r="L37" s="442">
        <v>11352.12</v>
      </c>
      <c r="M37" s="442">
        <v>14031.5</v>
      </c>
      <c r="N37" s="442">
        <v>10100</v>
      </c>
      <c r="O37" s="442">
        <v>9191.77</v>
      </c>
      <c r="P37" s="442">
        <v>90400</v>
      </c>
      <c r="Q37" s="442"/>
      <c r="R37" s="444">
        <f>SUM(J37:Q37)</f>
      </c>
      <c r="S37" s="445">
        <f>H37+F37+(ABS(E37))-D37</f>
      </c>
      <c r="T37" s="86">
        <f>ABS(SUM(F37-F36))</f>
      </c>
      <c r="U37" s="4"/>
      <c r="V37" s="4"/>
    </row>
    <row x14ac:dyDescent="0.25" r="38" customHeight="1" ht="17.25">
      <c r="A38" s="441">
        <v>25568.79196759259</v>
      </c>
      <c r="B38" s="442">
        <v>650000</v>
      </c>
      <c r="C38" s="443">
        <v>-526710</v>
      </c>
      <c r="D38" s="1">
        <f>SUM(Kings!X35:X37)</f>
      </c>
      <c r="E38" s="443">
        <v>-531810</v>
      </c>
      <c r="F38" s="443">
        <f>IF(((B38+D38+E38-H38)&gt;0),0,(B38+D38+E38-H38))</f>
      </c>
      <c r="G38" s="86">
        <f>H38+F38-D38</f>
      </c>
      <c r="H38" s="86">
        <f>SUM(J38:Q38)</f>
      </c>
      <c r="I38" s="86"/>
      <c r="J38" s="442">
        <v>17007.02</v>
      </c>
      <c r="K38" s="442">
        <v>24388.37</v>
      </c>
      <c r="L38" s="442">
        <v>16336.92</v>
      </c>
      <c r="M38" s="442">
        <v>9376.36</v>
      </c>
      <c r="N38" s="442">
        <v>10100</v>
      </c>
      <c r="O38" s="442">
        <v>9669.48</v>
      </c>
      <c r="P38" s="442">
        <v>45400</v>
      </c>
      <c r="Q38" s="442"/>
      <c r="R38" s="444">
        <f>SUM(J38:Q38)</f>
      </c>
      <c r="S38" s="445">
        <f>H38+F38+(ABS(E38))-D38</f>
      </c>
      <c r="T38" s="86">
        <f>ABS(SUM(F38-F37))</f>
      </c>
      <c r="U38" s="4"/>
      <c r="V38" s="4"/>
    </row>
    <row x14ac:dyDescent="0.25" r="39" customHeight="1" ht="17.25">
      <c r="A39" s="441">
        <v>25568.79196759259</v>
      </c>
      <c r="B39" s="442">
        <v>650000</v>
      </c>
      <c r="C39" s="443">
        <v>-531810</v>
      </c>
      <c r="D39" s="1">
        <f>SUM(CV!X29+BHB!X29+SUM(Boom!X9:X10))</f>
      </c>
      <c r="E39" s="443">
        <v>-552985</v>
      </c>
      <c r="F39" s="443">
        <f>IF(((B39+D39+E39-H39)&gt;0),0,(B39+D39+E39-H39))</f>
      </c>
      <c r="G39" s="86">
        <f>H39+F39-D39</f>
      </c>
      <c r="H39" s="86">
        <f>SUM(J39:Q39)</f>
      </c>
      <c r="I39" s="86"/>
      <c r="J39" s="442">
        <v>16997.02</v>
      </c>
      <c r="K39" s="442">
        <v>24388.37</v>
      </c>
      <c r="L39" s="442">
        <v>16366.72</v>
      </c>
      <c r="M39" s="442">
        <v>10058.18</v>
      </c>
      <c r="N39" s="442">
        <v>10100</v>
      </c>
      <c r="O39" s="442">
        <v>11431.15</v>
      </c>
      <c r="P39" s="442">
        <v>30400</v>
      </c>
      <c r="Q39" s="442"/>
      <c r="R39" s="444">
        <f>SUM(J39:Q39)</f>
      </c>
      <c r="S39" s="445">
        <f>H39+F39+(ABS(E39))-D39</f>
      </c>
      <c r="T39" s="86">
        <f>ABS(SUM(F39-F38))</f>
      </c>
      <c r="U39" s="4"/>
      <c r="V39" s="4"/>
    </row>
    <row x14ac:dyDescent="0.25" r="40" customHeight="1" ht="17.25">
      <c r="A40" s="441">
        <v>25568.79196759259</v>
      </c>
      <c r="B40" s="442">
        <v>650000</v>
      </c>
      <c r="C40" s="443">
        <v>-552985</v>
      </c>
      <c r="D40" s="1">
        <f>SUM(Boom!X11+SUM(CV!X30:X31))</f>
      </c>
      <c r="E40" s="443">
        <v>-565245</v>
      </c>
      <c r="F40" s="443">
        <f>IF(((B40+D40+E40-H40)&gt;0),0,(B40+D40+E40-H40))</f>
      </c>
      <c r="G40" s="86">
        <f>H40+F40-D40</f>
      </c>
      <c r="H40" s="86">
        <f>SUM(J40:Q40)</f>
      </c>
      <c r="I40" s="86"/>
      <c r="J40" s="442">
        <v>16997.02</v>
      </c>
      <c r="K40" s="442">
        <v>20363.37</v>
      </c>
      <c r="L40" s="442">
        <v>6741.52</v>
      </c>
      <c r="M40" s="442">
        <v>13996.27</v>
      </c>
      <c r="N40" s="442">
        <v>10100</v>
      </c>
      <c r="O40" s="442">
        <v>12405.78</v>
      </c>
      <c r="P40" s="442">
        <v>20400</v>
      </c>
      <c r="Q40" s="442"/>
      <c r="R40" s="444">
        <f>SUM(J40:Q40)</f>
      </c>
      <c r="S40" s="445">
        <f>H40+F40+(ABS(E40))-D40</f>
      </c>
      <c r="T40" s="86">
        <f>ABS(SUM(F40-F39))</f>
      </c>
      <c r="U40" s="4"/>
      <c r="V40" s="4"/>
    </row>
    <row x14ac:dyDescent="0.25" r="41" customHeight="1" ht="17.25">
      <c r="A41" s="441">
        <v>25568.79196759259</v>
      </c>
      <c r="B41" s="442">
        <v>650000</v>
      </c>
      <c r="C41" s="443">
        <v>-565245</v>
      </c>
      <c r="D41" s="1">
        <f>SUM(Boom!X12)</f>
      </c>
      <c r="E41" s="443">
        <v>-565245</v>
      </c>
      <c r="F41" s="443">
        <f>IF(((B41+D41+E41-H41)&gt;0),0,(B41+D41+E41-H41))</f>
      </c>
      <c r="G41" s="86">
        <f>H41+F41-D41</f>
      </c>
      <c r="H41" s="86">
        <f>SUM(J41:Q41)</f>
      </c>
      <c r="I41" s="86"/>
      <c r="J41" s="442">
        <v>16997.02</v>
      </c>
      <c r="K41" s="442">
        <v>18942.45</v>
      </c>
      <c r="L41" s="442">
        <v>12505.99</v>
      </c>
      <c r="M41" s="442">
        <v>17112.81</v>
      </c>
      <c r="N41" s="442">
        <v>10100</v>
      </c>
      <c r="O41" s="442">
        <v>13375.83</v>
      </c>
      <c r="P41" s="442">
        <v>10400</v>
      </c>
      <c r="Q41" s="442"/>
      <c r="R41" s="444">
        <f>SUM(J41:Q41)</f>
      </c>
      <c r="S41" s="445">
        <f>H41+F41+(ABS(E41))-D41</f>
      </c>
      <c r="T41" s="86">
        <f>ABS(SUM(F41-F40))</f>
      </c>
      <c r="U41" s="4"/>
      <c r="V41" s="4"/>
    </row>
    <row x14ac:dyDescent="0.25" r="42" customHeight="1" ht="17.25">
      <c r="A42" s="441">
        <v>25568.79196759259</v>
      </c>
      <c r="B42" s="442">
        <v>650000</v>
      </c>
      <c r="C42" s="443">
        <v>-565245</v>
      </c>
      <c r="D42" s="1">
        <f>SUM(Boom!X13+HHC!X3)</f>
      </c>
      <c r="E42" s="443">
        <v>-574755</v>
      </c>
      <c r="F42" s="443">
        <f>IF(((B42+D42+E42-H42)&gt;0),0,(B42+D42+E42-H42))</f>
      </c>
      <c r="G42" s="86">
        <f>H42+F42-D42</f>
      </c>
      <c r="H42" s="86">
        <f>SUM(J42:Q42)</f>
      </c>
      <c r="I42" s="86"/>
      <c r="J42" s="442">
        <v>20496.7</v>
      </c>
      <c r="K42" s="442">
        <v>18942.45</v>
      </c>
      <c r="L42" s="442">
        <v>4992.51</v>
      </c>
      <c r="M42" s="442">
        <v>11413.58</v>
      </c>
      <c r="N42" s="442">
        <v>10100</v>
      </c>
      <c r="O42" s="442">
        <v>15370.25</v>
      </c>
      <c r="P42" s="442">
        <v>10400</v>
      </c>
      <c r="Q42" s="442"/>
      <c r="R42" s="444">
        <f>SUM(J42:Q42)</f>
      </c>
      <c r="S42" s="445">
        <f>H42+F42+(ABS(E42))-D42</f>
      </c>
      <c r="T42" s="86">
        <f>ABS(SUM(F42-F41))</f>
      </c>
      <c r="U42" s="4"/>
      <c r="V42" s="4"/>
    </row>
    <row x14ac:dyDescent="0.25" r="43" customHeight="1" ht="17.25">
      <c r="A43" s="441">
        <v>25568.79196759259</v>
      </c>
      <c r="B43" s="442">
        <v>650000</v>
      </c>
      <c r="C43" s="443">
        <v>-574755</v>
      </c>
      <c r="D43" s="1">
        <f>SUM(BHB!X30:X31)+SUM(Boom!X14:X17)</f>
      </c>
      <c r="E43" s="443">
        <v>-594835</v>
      </c>
      <c r="F43" s="443">
        <f>IF(((B43+D43+E43-H43)&gt;0),0,(B43+D43+E43-H43))</f>
      </c>
      <c r="G43" s="86">
        <f>H43+F43-D43</f>
      </c>
      <c r="H43" s="86">
        <f>SUM(J43:Q43)</f>
      </c>
      <c r="I43" s="86"/>
      <c r="J43" s="442">
        <v>10496.7</v>
      </c>
      <c r="K43" s="442">
        <v>18942.45</v>
      </c>
      <c r="L43" s="442">
        <v>15022.31</v>
      </c>
      <c r="M43" s="442">
        <v>13118.44</v>
      </c>
      <c r="N43" s="442">
        <v>6650</v>
      </c>
      <c r="O43" s="442">
        <v>15834.04</v>
      </c>
      <c r="P43" s="442">
        <v>10400</v>
      </c>
      <c r="Q43" s="442"/>
      <c r="R43" s="444">
        <f>SUM(J43:Q43)</f>
      </c>
      <c r="S43" s="445">
        <f>H43+F43+(ABS(E43))-D43</f>
      </c>
      <c r="T43" s="86">
        <f>ABS(SUM(F43-F42))</f>
      </c>
      <c r="U43" s="4"/>
      <c r="V43" s="4"/>
    </row>
    <row x14ac:dyDescent="0.25" r="44" customHeight="1" ht="17.25">
      <c r="A44" s="441">
        <v>25568.79196759259</v>
      </c>
      <c r="B44" s="442">
        <v>650000</v>
      </c>
      <c r="C44" s="443">
        <v>-594835</v>
      </c>
      <c r="D44" s="1">
        <f>SUM(Kings!X38+Boom!X18+CV!X32)</f>
      </c>
      <c r="E44" s="443">
        <v>-602525</v>
      </c>
      <c r="F44" s="443">
        <f>IF(((B44+D44+E44-H44)&gt;0),0,(B44+D44+E44-H44))</f>
      </c>
      <c r="G44" s="86">
        <f>H44+F44-D44</f>
      </c>
      <c r="H44" s="86">
        <f>SUM(J44:Q44)</f>
      </c>
      <c r="I44" s="86"/>
      <c r="J44" s="442">
        <v>10496.7</v>
      </c>
      <c r="K44" s="442">
        <v>6612.45</v>
      </c>
      <c r="L44" s="442">
        <v>7917.11</v>
      </c>
      <c r="M44" s="442">
        <v>16072</v>
      </c>
      <c r="N44" s="442">
        <v>6650</v>
      </c>
      <c r="O44" s="442">
        <v>6559.1</v>
      </c>
      <c r="P44" s="442">
        <v>10400</v>
      </c>
      <c r="Q44" s="442"/>
      <c r="R44" s="444">
        <f>SUM(J44:Q44)</f>
      </c>
      <c r="S44" s="445">
        <f>H44+F44+(ABS(E44))-D44</f>
      </c>
      <c r="T44" s="3"/>
      <c r="U44" s="4"/>
      <c r="V44" s="4"/>
    </row>
    <row x14ac:dyDescent="0.25" r="45" customHeight="1" ht="17.25">
      <c r="A45" s="441">
        <v>25568.79196759259</v>
      </c>
      <c r="B45" s="442">
        <v>650000</v>
      </c>
      <c r="C45" s="443">
        <v>-602525</v>
      </c>
      <c r="D45" s="1">
        <v>0</v>
      </c>
      <c r="E45" s="443">
        <v>-602525</v>
      </c>
      <c r="F45" s="443">
        <f>IF(((B45+D45+E45-H45)&gt;0),0,(B45+D45+E45-H45))</f>
      </c>
      <c r="G45" s="86">
        <f>H45+F45-D45</f>
      </c>
      <c r="H45" s="86">
        <f>SUM(J45:Q45)</f>
      </c>
      <c r="I45" s="86"/>
      <c r="J45" s="442">
        <v>10496.7</v>
      </c>
      <c r="K45" s="442">
        <v>6602.45</v>
      </c>
      <c r="L45" s="442">
        <v>3446.91</v>
      </c>
      <c r="M45" s="442">
        <v>9892.45</v>
      </c>
      <c r="N45" s="442">
        <v>6650</v>
      </c>
      <c r="O45" s="442">
        <v>7548.74</v>
      </c>
      <c r="P45" s="442">
        <v>10400</v>
      </c>
      <c r="Q45" s="442"/>
      <c r="R45" s="444">
        <f>SUM(J45:Q45)</f>
      </c>
      <c r="S45" s="445">
        <f>H45+F45+(ABS(E45))-D45</f>
      </c>
      <c r="T45" s="3"/>
      <c r="U45" s="4"/>
      <c r="V45" s="4"/>
    </row>
    <row x14ac:dyDescent="0.25" r="46" customHeight="1" ht="17.25">
      <c r="A46" s="441">
        <v>25568.79196759259</v>
      </c>
      <c r="B46" s="442">
        <v>650000</v>
      </c>
      <c r="C46" s="443">
        <v>-602525</v>
      </c>
      <c r="D46" s="1">
        <f>SUM(Boom!T19)</f>
      </c>
      <c r="E46" s="443">
        <v>-609735</v>
      </c>
      <c r="F46" s="443">
        <f>IF(((B46+D46+E46-H46)&gt;0),0,(B46+D46+E46-H46))</f>
      </c>
      <c r="G46" s="86">
        <f>H46+F46-D46</f>
      </c>
      <c r="H46" s="86">
        <f>SUM(J46:Q46)</f>
      </c>
      <c r="I46" s="86"/>
      <c r="J46" s="442">
        <v>10496.7</v>
      </c>
      <c r="K46" s="442">
        <v>10643.04</v>
      </c>
      <c r="L46" s="442">
        <v>4266.39</v>
      </c>
      <c r="M46" s="442">
        <v>11634.43</v>
      </c>
      <c r="N46" s="442">
        <v>6650</v>
      </c>
      <c r="O46" s="442">
        <v>8533.29</v>
      </c>
      <c r="P46" s="442">
        <v>10400</v>
      </c>
      <c r="Q46" s="442"/>
      <c r="R46" s="444">
        <f>SUM(J46:Q46)</f>
      </c>
      <c r="S46" s="445">
        <f>H46+F46+(ABS(E46))-D46</f>
      </c>
      <c r="T46" s="3"/>
      <c r="U46" s="4"/>
      <c r="V46" s="4"/>
    </row>
    <row x14ac:dyDescent="0.25" r="47" customHeight="1" ht="17.25">
      <c r="A47" s="441">
        <v>25568.79196759259</v>
      </c>
      <c r="B47" s="442">
        <v>650000</v>
      </c>
      <c r="C47" s="443">
        <v>-609735</v>
      </c>
      <c r="D47" s="1">
        <f>SUM(Boom!X20+Kings!X39)</f>
      </c>
      <c r="E47" s="443">
        <v>-617985</v>
      </c>
      <c r="F47" s="443">
        <f>IF(((B47+D47+E47-H47)&gt;0),0,(B47+D47+E47-H47))</f>
      </c>
      <c r="G47" s="86">
        <f>H47+F47-D47</f>
      </c>
      <c r="H47" s="86">
        <f>SUM(J47:Q47)</f>
      </c>
      <c r="I47" s="86">
        <f>H47-D47</f>
      </c>
      <c r="J47" s="442">
        <v>14182.29</v>
      </c>
      <c r="K47" s="442">
        <v>10643.04</v>
      </c>
      <c r="L47" s="442">
        <v>2387.92</v>
      </c>
      <c r="M47" s="442">
        <v>13122.39</v>
      </c>
      <c r="N47" s="442">
        <v>6722.7</v>
      </c>
      <c r="O47" s="442">
        <v>9984.01</v>
      </c>
      <c r="P47" s="442">
        <v>5400</v>
      </c>
      <c r="Q47" s="442"/>
      <c r="R47" s="444">
        <f>SUM(J47:Q47)</f>
      </c>
      <c r="S47" s="445">
        <f>H47+F47+(ABS(E47))-D47</f>
      </c>
      <c r="T47" s="3"/>
      <c r="U47" s="4"/>
      <c r="V47" s="4"/>
    </row>
    <row x14ac:dyDescent="0.25" r="48" customHeight="1" ht="17.25">
      <c r="A48" s="441">
        <v>25568.79196759259</v>
      </c>
      <c r="B48" s="442">
        <v>650000</v>
      </c>
      <c r="C48" s="443">
        <v>-617985</v>
      </c>
      <c r="D48" s="1">
        <f>SUM(BHB!X32:X33)</f>
      </c>
      <c r="E48" s="443">
        <v>-617985</v>
      </c>
      <c r="F48" s="443">
        <f>IF(((B48+D48+E48-H48)&gt;0),0,(B48+D48+E48-H48))</f>
      </c>
      <c r="G48" s="86">
        <f>H48+F48-D48</f>
      </c>
      <c r="H48" s="86">
        <f>SUM(J48:Q48)</f>
      </c>
      <c r="I48" s="86">
        <f>H48-D48</f>
      </c>
      <c r="J48" s="442">
        <v>9182.29</v>
      </c>
      <c r="K48" s="442">
        <v>10643.04</v>
      </c>
      <c r="L48" s="442">
        <v>3532.92</v>
      </c>
      <c r="M48" s="442">
        <v>15028.46</v>
      </c>
      <c r="N48" s="442">
        <v>6722.7</v>
      </c>
      <c r="O48" s="442">
        <v>7250.92</v>
      </c>
      <c r="P48" s="442">
        <v>5400</v>
      </c>
      <c r="Q48" s="442"/>
      <c r="R48" s="444">
        <f>SUM(J48:Q48)</f>
      </c>
      <c r="S48" s="445">
        <f>H48+F48+(ABS(E48))-D48</f>
      </c>
      <c r="T48" s="3"/>
      <c r="U48" s="4"/>
      <c r="V48" s="4"/>
    </row>
    <row x14ac:dyDescent="0.25" r="49" customHeight="1" ht="17.25">
      <c r="A49" s="441">
        <v>25568.79196759259</v>
      </c>
      <c r="B49" s="442">
        <v>650000</v>
      </c>
      <c r="C49" s="443">
        <v>-617985</v>
      </c>
      <c r="D49" s="1">
        <f>SUM(BHB!X34:X35)+SUM(CV!X33:X34)+SUM(Kings!X40)</f>
      </c>
      <c r="E49" s="443">
        <v>-626520</v>
      </c>
      <c r="F49" s="443">
        <f>IF(((B49+D49+E49-H49)&gt;0),0,(B49+D49+E49-H49))</f>
      </c>
      <c r="G49" s="86">
        <f>H49+F49-D49</f>
      </c>
      <c r="H49" s="86">
        <f>SUM(J49:Q49)</f>
      </c>
      <c r="I49" s="86">
        <f>H49-D49</f>
      </c>
      <c r="J49" s="442">
        <v>4182.29</v>
      </c>
      <c r="K49" s="442">
        <v>7601.04</v>
      </c>
      <c r="L49" s="442">
        <v>9825.89</v>
      </c>
      <c r="M49" s="442">
        <v>9705.72</v>
      </c>
      <c r="N49" s="442">
        <v>6722.7</v>
      </c>
      <c r="O49" s="442">
        <v>7975.77</v>
      </c>
      <c r="P49" s="442">
        <v>5400</v>
      </c>
      <c r="Q49" s="442"/>
      <c r="R49" s="444">
        <f>SUM(J49:Q49)</f>
      </c>
      <c r="S49" s="445">
        <f>H49+F49+(ABS(E49))-D49</f>
      </c>
      <c r="T49" s="3"/>
      <c r="U49" s="4"/>
      <c r="V49" s="4"/>
    </row>
    <row x14ac:dyDescent="0.25" r="50" customHeight="1" ht="17.25">
      <c r="A50" s="441">
        <v>25568.79196759259</v>
      </c>
      <c r="B50" s="442">
        <v>650000</v>
      </c>
      <c r="C50" s="443">
        <v>-626520</v>
      </c>
      <c r="D50" s="1">
        <f>SUM(BHB!X36)+SUM(Kings!X41:X42)</f>
      </c>
      <c r="E50" s="443">
        <v>-634220</v>
      </c>
      <c r="F50" s="443">
        <f>IF(((B50+D50+E50-H50)&gt;0),0,(B50+D50+E50-H50))</f>
      </c>
      <c r="G50" s="86">
        <f>H50+F50-D50</f>
      </c>
      <c r="H50" s="86">
        <f>SUM(J50:Q50)</f>
      </c>
      <c r="I50" s="86">
        <f>H50-D50</f>
      </c>
      <c r="J50" s="442">
        <v>4182.29</v>
      </c>
      <c r="K50" s="442">
        <v>3056.04</v>
      </c>
      <c r="L50" s="442">
        <v>6492.57</v>
      </c>
      <c r="M50" s="442">
        <v>9882.67</v>
      </c>
      <c r="N50" s="442">
        <v>6722.7</v>
      </c>
      <c r="O50" s="442">
        <v>1527.52</v>
      </c>
      <c r="P50" s="442">
        <v>1400</v>
      </c>
      <c r="Q50" s="442"/>
      <c r="R50" s="444">
        <f>SUM(J50:Q50)</f>
      </c>
      <c r="S50" s="445">
        <f>H50+F50+(ABS(E50))-D50</f>
      </c>
      <c r="T50" s="3"/>
      <c r="U50" s="4"/>
      <c r="V50" s="4"/>
    </row>
    <row x14ac:dyDescent="0.25" r="51" customHeight="1" ht="17.25">
      <c r="A51" s="441">
        <v>25568.79196759259</v>
      </c>
      <c r="B51" s="442">
        <v>650000</v>
      </c>
      <c r="C51" s="443">
        <v>-634220</v>
      </c>
      <c r="D51" s="1">
        <v>0</v>
      </c>
      <c r="E51" s="443">
        <v>-634220</v>
      </c>
      <c r="F51" s="443">
        <f>IF(((B51+D51+E51-H51)&gt;0),0,(B51+D51+E51-H51))</f>
      </c>
      <c r="G51" s="86">
        <f>H51+F51-D51</f>
      </c>
      <c r="H51" s="86">
        <f>SUM(J51:Q51)</f>
      </c>
      <c r="I51" s="86">
        <f>H51-D51</f>
      </c>
      <c r="J51" s="442">
        <v>4989.77</v>
      </c>
      <c r="K51" s="442">
        <v>5956.87</v>
      </c>
      <c r="L51" s="442">
        <v>3574.23</v>
      </c>
      <c r="M51" s="442">
        <v>3253.91</v>
      </c>
      <c r="N51" s="442">
        <v>2013.51</v>
      </c>
      <c r="O51" s="442">
        <v>3327.12</v>
      </c>
      <c r="P51" s="442">
        <v>1400</v>
      </c>
      <c r="Q51" s="442"/>
      <c r="R51" s="444">
        <f>SUM(J51:Q51)</f>
      </c>
      <c r="S51" s="445">
        <f>H51+F51+(ABS(E51))-D51</f>
      </c>
      <c r="T51" s="3"/>
      <c r="U51" s="4"/>
      <c r="V51" s="4"/>
    </row>
    <row x14ac:dyDescent="0.25" r="52" customHeight="1" ht="17.25">
      <c r="A52" s="441">
        <v>25568.79196759259</v>
      </c>
      <c r="B52" s="442">
        <v>650000</v>
      </c>
      <c r="C52" s="443">
        <v>-634220</v>
      </c>
      <c r="D52" s="1">
        <f>SUM(Boom!X21)+SUM(ACS!X25:X31)+SUM(Kings!X43)</f>
      </c>
      <c r="E52" s="443">
        <v>-648315.5</v>
      </c>
      <c r="F52" s="443">
        <f>IF(((B52+D52+E52-H52)&gt;0),0,(B52+D52+E52-H52))</f>
      </c>
      <c r="G52" s="86">
        <f>H52+F52-D52</f>
      </c>
      <c r="H52" s="86">
        <f>SUM(J52:Q52)</f>
      </c>
      <c r="I52" s="86">
        <f>H52-D52</f>
      </c>
      <c r="J52" s="442">
        <v>4989.77</v>
      </c>
      <c r="K52" s="442">
        <v>5951.87</v>
      </c>
      <c r="L52" s="442">
        <v>3946.08</v>
      </c>
      <c r="M52" s="442">
        <v>5267.04</v>
      </c>
      <c r="N52" s="442">
        <v>2013.51</v>
      </c>
      <c r="O52" s="442">
        <v>4767.81</v>
      </c>
      <c r="P52" s="442">
        <v>1400</v>
      </c>
      <c r="Q52" s="442"/>
      <c r="R52" s="444">
        <f>SUM(J52:Q52)</f>
      </c>
      <c r="S52" s="445">
        <f>H52+F52+(ABS(E52))-D52</f>
      </c>
      <c r="T52" s="3"/>
      <c r="U52" s="4"/>
      <c r="V52" s="4"/>
    </row>
    <row x14ac:dyDescent="0.25" r="53" customHeight="1" ht="17.25">
      <c r="A53" s="441">
        <v>25568.79196759259</v>
      </c>
      <c r="B53" s="442">
        <v>650000</v>
      </c>
      <c r="C53" s="443">
        <v>-648315.5</v>
      </c>
      <c r="D53" s="1">
        <v>0</v>
      </c>
      <c r="E53" s="443">
        <v>-648315.5</v>
      </c>
      <c r="F53" s="443">
        <f>IF(((B53+D53+E53-H53)&gt;0),0,(B53+D53+E53-H53))</f>
      </c>
      <c r="G53" s="86">
        <f>H53+F53-D53</f>
      </c>
      <c r="H53" s="86">
        <f>SUM(J53:Q53)</f>
      </c>
      <c r="I53" s="86">
        <f>H53-D53</f>
      </c>
      <c r="J53" s="442">
        <v>106.77</v>
      </c>
      <c r="K53" s="442">
        <v>251.87</v>
      </c>
      <c r="L53" s="442">
        <v>1350.38</v>
      </c>
      <c r="M53" s="442">
        <v>2215.14</v>
      </c>
      <c r="N53" s="442">
        <v>213.51</v>
      </c>
      <c r="O53" s="442">
        <v>673.96</v>
      </c>
      <c r="P53" s="442">
        <v>100</v>
      </c>
      <c r="Q53" s="442"/>
      <c r="R53" s="444">
        <f>SUM(J53:Q53)</f>
      </c>
      <c r="S53" s="445">
        <f>H53+F53+(ABS(E53))-D53</f>
      </c>
      <c r="T53" s="3"/>
      <c r="U53" s="4"/>
      <c r="V53" s="4"/>
    </row>
    <row x14ac:dyDescent="0.25" r="54" customHeight="1" ht="17.25">
      <c r="A54" s="441">
        <v>25568.79196759259</v>
      </c>
      <c r="B54" s="442">
        <v>875000</v>
      </c>
      <c r="C54" s="443">
        <v>-648315.5</v>
      </c>
      <c r="D54" s="1">
        <f>SUM(Kings!X44:X45)+SUM(BHB!X37:X38)+SUM(Boom!X22)+SUM(ACS!X32)+HHC!X4</f>
      </c>
      <c r="E54" s="443">
        <v>-691435.5</v>
      </c>
      <c r="F54" s="443">
        <f>IF(((B54+D54+E54-H54)&gt;0),0,(B54+D54+E54-H54))</f>
      </c>
      <c r="G54" s="86">
        <f>H54+F54-D54</f>
      </c>
      <c r="H54" s="86">
        <f>SUM(J54:Q54)</f>
      </c>
      <c r="I54" s="86">
        <f>H54-D54</f>
      </c>
      <c r="J54" s="442">
        <v>25071.77</v>
      </c>
      <c r="K54" s="442">
        <v>25251.87</v>
      </c>
      <c r="L54" s="442">
        <v>26540.5</v>
      </c>
      <c r="M54" s="442">
        <v>27896.66</v>
      </c>
      <c r="N54" s="442">
        <v>25213.51</v>
      </c>
      <c r="O54" s="442">
        <v>26029.89</v>
      </c>
      <c r="P54" s="442">
        <v>75100</v>
      </c>
      <c r="Q54" s="442"/>
      <c r="R54" s="444">
        <f>SUM(J54:Q54)</f>
      </c>
      <c r="S54" s="445">
        <f>H54+F54+(ABS(E54))-D54</f>
      </c>
      <c r="T54" s="3"/>
      <c r="U54" s="4"/>
      <c r="V54" s="4"/>
    </row>
    <row x14ac:dyDescent="0.25" r="55" customHeight="1" ht="17.25">
      <c r="A55" s="441">
        <v>25568.79196759259</v>
      </c>
      <c r="B55" s="442">
        <v>875000</v>
      </c>
      <c r="C55" s="443">
        <v>-691435.5</v>
      </c>
      <c r="D55" s="1">
        <f>SUM(CV!X35:X39)+SUM(Boom!X23:X25)+SUM(Kings!T46)</f>
      </c>
      <c r="E55" s="443">
        <v>-738880.5</v>
      </c>
      <c r="F55" s="443">
        <f>IF(((B55+D55+E55-H55)&gt;0),0,(B55+D55+E55-H55))</f>
      </c>
      <c r="G55" s="86">
        <f>H55+F55-D55</f>
      </c>
      <c r="H55" s="86">
        <f>SUM(J55:Q55)</f>
      </c>
      <c r="I55" s="86">
        <f>H55-D55</f>
      </c>
      <c r="J55" s="442">
        <v>21046.77</v>
      </c>
      <c r="K55" s="442">
        <v>14030.5</v>
      </c>
      <c r="L55" s="442">
        <v>16747.51</v>
      </c>
      <c r="M55" s="442">
        <v>29890.61</v>
      </c>
      <c r="N55" s="442">
        <v>19463.51</v>
      </c>
      <c r="O55" s="442">
        <v>16382.78</v>
      </c>
      <c r="P55" s="442">
        <v>75100</v>
      </c>
      <c r="Q55" s="442"/>
      <c r="R55" s="444">
        <f>SUM(J55:Q55)</f>
      </c>
      <c r="S55" s="445">
        <f>H55+F55+(ABS(E55))-D55</f>
      </c>
      <c r="T55" s="3"/>
      <c r="U55" s="4"/>
      <c r="V55" s="4"/>
    </row>
    <row x14ac:dyDescent="0.25" r="56" customHeight="1" ht="17.25">
      <c r="A56" s="441">
        <v>25568.79196759259</v>
      </c>
      <c r="B56" s="442">
        <v>875000</v>
      </c>
      <c r="C56" s="443">
        <v>-738880.5</v>
      </c>
      <c r="D56" s="1">
        <f>SUM(Kings!X47)+SUM(ACS!X33:X34)+SUM(CV!X40)</f>
      </c>
      <c r="E56" s="443">
        <v>-764175.5</v>
      </c>
      <c r="F56" s="443">
        <f>IF(((B56+D56+E56-H56)&gt;0),0,(B56+D56+E56-H56))</f>
      </c>
      <c r="G56" s="86">
        <f>H56+F56-D56</f>
      </c>
      <c r="H56" s="86">
        <f>SUM(J56:Q56)</f>
      </c>
      <c r="I56" s="86">
        <f>H56-D56</f>
      </c>
      <c r="J56" s="442">
        <v>26684.69</v>
      </c>
      <c r="K56" s="442">
        <v>14020.5</v>
      </c>
      <c r="L56" s="442">
        <v>19295.19</v>
      </c>
      <c r="M56" s="442">
        <v>36075.75</v>
      </c>
      <c r="N56" s="442">
        <v>19899.72</v>
      </c>
      <c r="O56" s="442">
        <v>9184.72</v>
      </c>
      <c r="P56" s="442">
        <v>35100</v>
      </c>
      <c r="Q56" s="442"/>
      <c r="R56" s="444">
        <f>SUM(J56:Q56)</f>
      </c>
      <c r="S56" s="445">
        <f>H56+F56+(ABS(E56))-D56</f>
      </c>
      <c r="T56" s="3"/>
      <c r="U56" s="4"/>
      <c r="V56" s="4"/>
    </row>
    <row x14ac:dyDescent="0.25" r="57" customHeight="1" ht="17.25">
      <c r="A57" s="441">
        <v>25568.79196759259</v>
      </c>
      <c r="B57" s="442">
        <v>875000</v>
      </c>
      <c r="C57" s="443">
        <v>-764175.5</v>
      </c>
      <c r="D57" s="447"/>
      <c r="E57" s="443">
        <v>-756335.5</v>
      </c>
      <c r="F57" s="443">
        <f>IF(((B57+D57+E57-H57)&gt;0),0,(B57+D57+E57-H57))</f>
      </c>
      <c r="G57" s="86">
        <f>H57+F57-D57</f>
      </c>
      <c r="H57" s="86">
        <f>SUM(J57:Q57)</f>
      </c>
      <c r="I57" s="86">
        <f>H57-D57</f>
      </c>
      <c r="J57" s="442">
        <v>16334.69</v>
      </c>
      <c r="K57" s="442">
        <v>14020.5</v>
      </c>
      <c r="L57" s="442">
        <v>20235.36</v>
      </c>
      <c r="M57" s="442">
        <v>32705.47</v>
      </c>
      <c r="N57" s="442">
        <v>19899.72</v>
      </c>
      <c r="O57" s="442">
        <v>17281.37</v>
      </c>
      <c r="P57" s="442">
        <v>25100</v>
      </c>
      <c r="Q57" s="442"/>
      <c r="R57" s="444">
        <f>SUM(J57:Q57)</f>
      </c>
      <c r="S57" s="445">
        <f>H57+F57+(ABS(E57))-D57</f>
      </c>
      <c r="T57" s="3"/>
      <c r="U57" s="4"/>
      <c r="V57" s="4"/>
    </row>
    <row x14ac:dyDescent="0.25" r="58" customHeight="1" ht="17.25">
      <c r="A58" s="441">
        <v>25568.79196759259</v>
      </c>
      <c r="B58" s="442">
        <v>875000</v>
      </c>
      <c r="C58" s="443">
        <v>-756335.5</v>
      </c>
      <c r="D58" s="1">
        <f>SUM(ACS!X35:X36)+SUM(BHB!X39)+SUM(CV!X41)+SUM(Boom!X26)+SUM(Kings!X48)</f>
      </c>
      <c r="E58" s="443">
        <v>-771925.5</v>
      </c>
      <c r="F58" s="443">
        <f>IF(((B58+D58+E58-H58)&gt;0),0,(B58+D58+E58-H58))</f>
      </c>
      <c r="G58" s="86">
        <f>H58+F58-D58</f>
      </c>
      <c r="H58" s="86">
        <f>SUM(J58:Q58)</f>
      </c>
      <c r="I58" s="86">
        <f>H58-D58</f>
      </c>
      <c r="J58" s="442">
        <v>16324.69</v>
      </c>
      <c r="K58" s="442">
        <v>14020.5</v>
      </c>
      <c r="L58" s="442">
        <v>20446.71</v>
      </c>
      <c r="M58" s="442">
        <v>22117.12</v>
      </c>
      <c r="N58" s="442">
        <v>19899.72</v>
      </c>
      <c r="O58" s="442">
        <v>18979.85</v>
      </c>
      <c r="P58" s="442">
        <v>25100</v>
      </c>
      <c r="Q58" s="442"/>
      <c r="R58" s="444">
        <f>SUM(J58:Q58)</f>
      </c>
      <c r="S58" s="445">
        <f>H58+F58+(ABS(E58))-D58</f>
      </c>
      <c r="T58" s="3"/>
      <c r="U58" s="4"/>
      <c r="V58" s="4"/>
    </row>
    <row x14ac:dyDescent="0.25" r="59" customHeight="1" ht="17.25">
      <c r="A59" s="441">
        <v>25568.79196759259</v>
      </c>
      <c r="B59" s="442">
        <v>875000</v>
      </c>
      <c r="C59" s="443">
        <v>-771925.5</v>
      </c>
      <c r="D59" s="1">
        <f>SUM(CV!X42)+SUM(Kings!X49)</f>
      </c>
      <c r="E59" s="443">
        <v>-783965.5</v>
      </c>
      <c r="F59" s="443">
        <f>IF(((B59+D59+E59-H59)&gt;0),0,(B59+D59+E59-H59))</f>
      </c>
      <c r="G59" s="86">
        <f>H59+F59-D59</f>
      </c>
      <c r="H59" s="86">
        <f>SUM(J59:Q59)</f>
      </c>
      <c r="I59" s="86">
        <f>H59-D59</f>
      </c>
      <c r="J59" s="442">
        <v>8849.69</v>
      </c>
      <c r="K59" s="442">
        <v>8270.5</v>
      </c>
      <c r="L59" s="442">
        <v>15669.95</v>
      </c>
      <c r="M59" s="442">
        <v>11605.66</v>
      </c>
      <c r="N59" s="442">
        <v>19899.72</v>
      </c>
      <c r="O59" s="442">
        <v>16841.18</v>
      </c>
      <c r="P59" s="442">
        <v>25100</v>
      </c>
      <c r="Q59" s="442">
        <v>-250</v>
      </c>
      <c r="R59" s="444">
        <f>SUM(J59:Q59)</f>
      </c>
      <c r="S59" s="445">
        <f>H59+F59+(ABS(E59))-D59</f>
      </c>
      <c r="T59" s="3"/>
      <c r="U59" s="4"/>
      <c r="V59" s="4"/>
    </row>
    <row x14ac:dyDescent="0.25" r="60" customHeight="1" ht="17.25">
      <c r="A60" s="441">
        <v>25568.79196759259</v>
      </c>
      <c r="B60" s="442">
        <v>875000</v>
      </c>
      <c r="C60" s="443">
        <v>-783965.5</v>
      </c>
      <c r="D60" s="1">
        <f>SUM(Kings!X50)+SUM(HHC!X5)</f>
      </c>
      <c r="E60" s="443">
        <v>-783965.5</v>
      </c>
      <c r="F60" s="443">
        <f>IF(((B60+D60+E60-H60)&gt;0),0,(B60+D60+E60-H60))</f>
      </c>
      <c r="G60" s="86">
        <f>H60+F60-D60</f>
      </c>
      <c r="H60" s="86">
        <f>SUM(J60:Q60)</f>
      </c>
      <c r="I60" s="86">
        <f>H60-D60</f>
      </c>
      <c r="J60" s="442">
        <v>8839.69</v>
      </c>
      <c r="K60" s="442">
        <v>18914.08</v>
      </c>
      <c r="L60" s="442">
        <v>15664.95</v>
      </c>
      <c r="M60" s="442">
        <v>13943.01</v>
      </c>
      <c r="N60" s="442">
        <v>19899.72</v>
      </c>
      <c r="O60" s="442">
        <v>10417.74</v>
      </c>
      <c r="P60" s="442">
        <v>25100</v>
      </c>
      <c r="Q60" s="442"/>
      <c r="R60" s="444">
        <f>SUM(J60:Q60)</f>
      </c>
      <c r="S60" s="445">
        <f>H60+F60+(ABS(E60))-D60</f>
      </c>
      <c r="T60" s="3"/>
      <c r="U60" s="4"/>
      <c r="V60" s="4"/>
    </row>
    <row x14ac:dyDescent="0.25" r="61" customHeight="1" ht="17.25">
      <c r="A61" s="441">
        <v>25568.79196759259</v>
      </c>
      <c r="B61" s="442">
        <v>875000</v>
      </c>
      <c r="C61" s="443">
        <v>-783965.5</v>
      </c>
      <c r="D61" s="1">
        <f>SUM(CV!T43)+SUM(Kings!X51)</f>
      </c>
      <c r="E61" s="443">
        <v>-792925.5</v>
      </c>
      <c r="F61" s="443">
        <f>IF(((B61+D61+E61-H61)&gt;0),0,(B61+D61+E61-H61))</f>
      </c>
      <c r="G61" s="86">
        <f>H61+F61-D61</f>
      </c>
      <c r="H61" s="86">
        <f>SUM(J61:Q61)</f>
      </c>
      <c r="I61" s="86">
        <f>H61-D61</f>
      </c>
      <c r="J61" s="442">
        <v>8839.69</v>
      </c>
      <c r="K61" s="442">
        <v>18914.08</v>
      </c>
      <c r="L61" s="442">
        <v>16215.84</v>
      </c>
      <c r="M61" s="442">
        <v>7772.93</v>
      </c>
      <c r="N61" s="442">
        <v>17116.15</v>
      </c>
      <c r="O61" s="442">
        <v>4628.55</v>
      </c>
      <c r="P61" s="442">
        <v>25100</v>
      </c>
      <c r="Q61" s="442"/>
      <c r="R61" s="444">
        <f>SUM(J61:Q61)</f>
      </c>
      <c r="S61" s="445">
        <f>H61+F61+(ABS(E61))-D61</f>
      </c>
      <c r="T61" s="3"/>
      <c r="U61" s="4"/>
      <c r="V61" s="4"/>
    </row>
    <row x14ac:dyDescent="0.25" r="62" customHeight="1" ht="17.25">
      <c r="A62" s="441">
        <v>25568.79196759259</v>
      </c>
      <c r="B62" s="442">
        <v>875000</v>
      </c>
      <c r="C62" s="443">
        <v>-792925.5</v>
      </c>
      <c r="D62" s="1">
        <f>SUM(ACS!X37:X39)+SUM(BHB!X40)</f>
      </c>
      <c r="E62" s="443">
        <v>-798100.5</v>
      </c>
      <c r="F62" s="443">
        <f>IF(((B62+D62+E62-H62)&gt;0),0,(B62+D62+E62-H62))</f>
      </c>
      <c r="G62" s="86">
        <f>H62+F62-D62</f>
      </c>
      <c r="H62" s="86">
        <f>SUM(J62:Q62)</f>
      </c>
      <c r="I62" s="86">
        <f>H62-D62</f>
      </c>
      <c r="J62" s="442">
        <v>13990.97</v>
      </c>
      <c r="K62" s="442">
        <v>18914.08</v>
      </c>
      <c r="L62" s="442">
        <v>16817.46</v>
      </c>
      <c r="M62" s="442">
        <v>9326.11</v>
      </c>
      <c r="N62" s="442">
        <v>17116.15</v>
      </c>
      <c r="O62" s="442">
        <v>13766.33</v>
      </c>
      <c r="P62" s="442">
        <v>5100</v>
      </c>
      <c r="Q62" s="442"/>
      <c r="R62" s="444">
        <f>SUM(J62:Q62)</f>
      </c>
      <c r="S62" s="445">
        <f>H62+F62+(ABS(E62))-D62</f>
      </c>
      <c r="T62" s="3"/>
      <c r="U62" s="4"/>
      <c r="V62" s="4"/>
    </row>
    <row x14ac:dyDescent="0.25" r="63" customHeight="1" ht="17.25">
      <c r="A63" s="441">
        <v>25568.79196759259</v>
      </c>
      <c r="B63" s="442">
        <v>875000</v>
      </c>
      <c r="C63" s="443">
        <v>-798100.5</v>
      </c>
      <c r="D63" s="1">
        <f>SUM(BHB!X41)+SUM(Kings!X52)+SUM(CV!X44)</f>
      </c>
      <c r="E63" s="443">
        <v>-811330.5</v>
      </c>
      <c r="F63" s="443">
        <f>IF(((B63+D63+E63-H63)&gt;0),0,(B63+D63+E63-H63))</f>
      </c>
      <c r="G63" s="86">
        <f>H63+F63-D63</f>
      </c>
      <c r="H63" s="86">
        <f>SUM(J63:Q63)</f>
      </c>
      <c r="I63" s="86">
        <f>H63-D63</f>
      </c>
      <c r="J63" s="442">
        <v>8915.97</v>
      </c>
      <c r="K63" s="442">
        <v>13739.08</v>
      </c>
      <c r="L63" s="442">
        <v>16817.46</v>
      </c>
      <c r="M63" s="442">
        <v>11879.73</v>
      </c>
      <c r="N63" s="442">
        <v>10116.15</v>
      </c>
      <c r="O63" s="442">
        <v>14774.69</v>
      </c>
      <c r="P63" s="442">
        <v>5100</v>
      </c>
      <c r="Q63" s="442"/>
      <c r="R63" s="444">
        <f>SUM(J63:Q63)</f>
      </c>
      <c r="S63" s="445">
        <f>H63+F63+(ABS(E63))-D63</f>
      </c>
      <c r="T63" s="3"/>
      <c r="U63" s="4"/>
      <c r="V63" s="4"/>
    </row>
    <row x14ac:dyDescent="0.25" r="64" customHeight="1" ht="17.25">
      <c r="A64" s="441">
        <v>25568.79196759259</v>
      </c>
      <c r="B64" s="442">
        <v>875000</v>
      </c>
      <c r="C64" s="443">
        <v>-811330.5</v>
      </c>
      <c r="D64" s="1">
        <f>SUM(ACS!X40:X41)+SUM(Kings!X53)</f>
      </c>
      <c r="E64" s="443">
        <v>-827235.5</v>
      </c>
      <c r="F64" s="443">
        <f>IF(((B64+D64+E64-H64)&gt;0),0,(B64+D64+E64-H64))</f>
      </c>
      <c r="G64" s="86">
        <f>H64+F64-D64</f>
      </c>
      <c r="H64" s="86">
        <f>SUM(J64:Q64)</f>
      </c>
      <c r="I64" s="86">
        <f>H64-D64</f>
      </c>
      <c r="J64" s="442">
        <v>8900.97</v>
      </c>
      <c r="K64" s="442">
        <v>10284.08</v>
      </c>
      <c r="L64" s="442">
        <v>19706.88</v>
      </c>
      <c r="M64" s="442">
        <v>8202.04</v>
      </c>
      <c r="N64" s="442">
        <v>10116.15</v>
      </c>
      <c r="O64" s="442">
        <v>9517.28</v>
      </c>
      <c r="P64" s="442">
        <v>5100</v>
      </c>
      <c r="Q64" s="442"/>
      <c r="R64" s="444">
        <f>SUM(J64:Q64)</f>
      </c>
      <c r="S64" s="445">
        <f>H64+F64+(ABS(E64))-D64</f>
      </c>
      <c r="T64" s="3"/>
      <c r="U64" s="4"/>
      <c r="V64" s="4"/>
    </row>
    <row x14ac:dyDescent="0.25" r="65" customHeight="1" ht="17.25">
      <c r="A65" s="441">
        <v>25568.79196759259</v>
      </c>
      <c r="B65" s="442">
        <v>875000</v>
      </c>
      <c r="C65" s="443">
        <v>-827235.5</v>
      </c>
      <c r="D65" s="1">
        <v>0</v>
      </c>
      <c r="E65" s="443">
        <v>-827235.5</v>
      </c>
      <c r="F65" s="443">
        <f>IF(((B65+D65+E65-H65)&gt;0),0,(B65+D65+E65-H65))</f>
      </c>
      <c r="G65" s="86">
        <f>H65+F65-D65</f>
      </c>
      <c r="H65" s="86">
        <f>SUM(J65:Q65)</f>
      </c>
      <c r="I65" s="86">
        <f>H65-D65</f>
      </c>
      <c r="J65" s="442">
        <v>10450.97</v>
      </c>
      <c r="K65" s="442">
        <v>15929.02</v>
      </c>
      <c r="L65" s="442">
        <v>9916.8</v>
      </c>
      <c r="M65" s="442">
        <v>10337.34</v>
      </c>
      <c r="N65" s="442">
        <v>5116.15</v>
      </c>
      <c r="O65" s="442">
        <v>5619.37</v>
      </c>
      <c r="P65" s="442">
        <v>5100</v>
      </c>
      <c r="Q65" s="442"/>
      <c r="R65" s="444">
        <f>SUM(J65:Q65)</f>
      </c>
      <c r="S65" s="445">
        <f>H65+F65+(ABS(E65))-D65</f>
      </c>
      <c r="T65" s="3"/>
      <c r="U65" s="4"/>
      <c r="V65" s="4"/>
    </row>
    <row x14ac:dyDescent="0.25" r="66" customHeight="1" ht="17.25">
      <c r="A66" s="441">
        <v>25568.79196759259</v>
      </c>
      <c r="B66" s="442">
        <v>875000</v>
      </c>
      <c r="C66" s="443">
        <v>-827235.5</v>
      </c>
      <c r="D66" s="1">
        <f>SUM(CV!X45)+SUM(BHB!X42)</f>
      </c>
      <c r="E66" s="443">
        <v>-827235.5</v>
      </c>
      <c r="F66" s="443">
        <f>IF(((B66+D66+E66-H66)&gt;0),0,(B66+D66+E66-H66))</f>
      </c>
      <c r="G66" s="86">
        <f>H66+F66-D66</f>
      </c>
      <c r="H66" s="86">
        <f>SUM(J66:Q66)</f>
      </c>
      <c r="I66" s="86">
        <f>H66-D66</f>
      </c>
      <c r="J66" s="442">
        <v>15776.07</v>
      </c>
      <c r="K66" s="442">
        <v>15929.02</v>
      </c>
      <c r="L66" s="442">
        <v>10679.39</v>
      </c>
      <c r="M66" s="442">
        <v>11997.78</v>
      </c>
      <c r="N66" s="442">
        <v>6000.67</v>
      </c>
      <c r="O66" s="442">
        <v>7691.71</v>
      </c>
      <c r="P66" s="442">
        <v>5100</v>
      </c>
      <c r="Q66" s="442"/>
      <c r="R66" s="444">
        <f>SUM(J66:Q66)</f>
      </c>
      <c r="S66" s="445">
        <f>H66+F66+(ABS(E66))-D66</f>
      </c>
      <c r="T66" s="3"/>
      <c r="U66" s="4"/>
      <c r="V66" s="4"/>
    </row>
    <row x14ac:dyDescent="0.25" r="67" customHeight="1" ht="17.25">
      <c r="A67" s="441">
        <v>25568.79196759259</v>
      </c>
      <c r="B67" s="442">
        <v>875000</v>
      </c>
      <c r="C67" s="443">
        <v>-827235.5</v>
      </c>
      <c r="D67" s="1"/>
      <c r="E67" s="443">
        <v>-827235.5</v>
      </c>
      <c r="F67" s="443">
        <f>IF(((B67+D67+E67-H67)&gt;0),0,(B67+D67+E67-H67))</f>
      </c>
      <c r="G67" s="86">
        <f>H67+F67-D67</f>
      </c>
      <c r="H67" s="86">
        <f>SUM(J67:Q67)</f>
      </c>
      <c r="I67" s="86">
        <f>H67-D67</f>
      </c>
      <c r="J67" s="442">
        <v>7776.07</v>
      </c>
      <c r="K67" s="442">
        <v>8369.02</v>
      </c>
      <c r="L67" s="442">
        <v>11368.7</v>
      </c>
      <c r="M67" s="442">
        <v>8866.67</v>
      </c>
      <c r="N67" s="442">
        <v>6000.67</v>
      </c>
      <c r="O67" s="442">
        <v>8830.13</v>
      </c>
      <c r="P67" s="442">
        <v>5100</v>
      </c>
      <c r="Q67" s="442"/>
      <c r="R67" s="444">
        <f>SUM(J67:Q67)</f>
      </c>
      <c r="S67" s="445">
        <f>H67+F67+(ABS(E67))-D67</f>
      </c>
      <c r="T67" s="3"/>
      <c r="U67" s="4"/>
      <c r="V67" s="4"/>
    </row>
    <row x14ac:dyDescent="0.25" r="68" customHeight="1" ht="17.25">
      <c r="A68" s="441">
        <v>25568.79196759259</v>
      </c>
      <c r="B68" s="442">
        <v>875000</v>
      </c>
      <c r="C68" s="443">
        <v>-827235.5</v>
      </c>
      <c r="D68" s="1">
        <f>SUM(Kings!X54)+SUM(BHB!X43)+SUM(CV!T46)</f>
      </c>
      <c r="E68" s="443">
        <v>-834515.5</v>
      </c>
      <c r="F68" s="443">
        <f>IF(((B68+D68+E68-H68)&gt;0),0,(B68+D68+E68-H68))</f>
      </c>
      <c r="G68" s="86">
        <f>H68+F68-D68</f>
      </c>
      <c r="H68" s="86">
        <f>SUM(J68:Q68)</f>
      </c>
      <c r="I68" s="86">
        <f>H68-D68</f>
      </c>
      <c r="J68" s="442">
        <v>7776.07</v>
      </c>
      <c r="K68" s="442">
        <v>8364.02</v>
      </c>
      <c r="L68" s="442">
        <v>12419.68</v>
      </c>
      <c r="M68" s="442">
        <v>11442.11</v>
      </c>
      <c r="N68" s="442">
        <v>6000.67</v>
      </c>
      <c r="O68" s="442">
        <v>10367.09</v>
      </c>
      <c r="P68" s="442">
        <v>5100</v>
      </c>
      <c r="Q68" s="442"/>
      <c r="R68" s="444">
        <f>SUM(J68:Q68)</f>
      </c>
      <c r="S68" s="445">
        <f>H68+F68+(ABS(E68))-D68</f>
      </c>
      <c r="T68" s="3"/>
      <c r="U68" s="4"/>
      <c r="V68" s="4"/>
    </row>
    <row x14ac:dyDescent="0.25" r="69" customHeight="1" ht="17.25">
      <c r="A69" s="441">
        <v>25568.79196759259</v>
      </c>
      <c r="B69" s="442">
        <v>875000</v>
      </c>
      <c r="C69" s="443">
        <v>-834515.5</v>
      </c>
      <c r="D69" s="1">
        <f>SUM(ACS!X42:X47)+SUM(BHB!X44)</f>
      </c>
      <c r="E69" s="443">
        <v>-849465.5</v>
      </c>
      <c r="F69" s="443">
        <f>IF(((B69+D69+E69-H69)&gt;0),0,(B69+D69+E69-H69))</f>
      </c>
      <c r="G69" s="86">
        <f>H69+F69-D69</f>
      </c>
      <c r="H69" s="86">
        <f>SUM(J69:Q69)</f>
      </c>
      <c r="I69" s="86">
        <f>H69-D69</f>
      </c>
      <c r="J69" s="442">
        <v>7776.07</v>
      </c>
      <c r="K69" s="442">
        <v>5034.02</v>
      </c>
      <c r="L69" s="442">
        <v>13371.4</v>
      </c>
      <c r="M69" s="442">
        <v>13731.77</v>
      </c>
      <c r="N69" s="442">
        <v>6000.67</v>
      </c>
      <c r="O69" s="442">
        <v>6314.85</v>
      </c>
      <c r="P69" s="442">
        <v>5100</v>
      </c>
      <c r="Q69" s="442"/>
      <c r="R69" s="444">
        <f>SUM(J69:Q69)</f>
      </c>
      <c r="S69" s="445">
        <f>H69+F69+(ABS(E69))-D69</f>
      </c>
      <c r="T69" s="3"/>
      <c r="U69" s="4"/>
      <c r="V69" s="4"/>
    </row>
    <row x14ac:dyDescent="0.25" r="70" customHeight="1" ht="17.25">
      <c r="A70" s="441">
        <v>25568.79196759259</v>
      </c>
      <c r="B70" s="442">
        <v>875000</v>
      </c>
      <c r="C70" s="443">
        <v>-849465.5</v>
      </c>
      <c r="D70" s="1">
        <f>SUM(Boom!X27)+SUM(BHB!X45)+SUM(CV!X47)+SUM(Kings!X55)</f>
      </c>
      <c r="E70" s="443">
        <v>-865805.5</v>
      </c>
      <c r="F70" s="443">
        <f>IF(((B70+D70+E70-H70)&gt;0),0,(B70+D70+E70-H70))</f>
      </c>
      <c r="G70" s="86">
        <f>H70+F70-D70</f>
      </c>
      <c r="H70" s="86">
        <f>SUM(J70:Q70)</f>
      </c>
      <c r="I70" s="86">
        <f>H70-D70</f>
      </c>
      <c r="J70" s="442">
        <v>6023.65</v>
      </c>
      <c r="K70" s="442">
        <v>9102.97</v>
      </c>
      <c r="L70" s="442">
        <v>2540.98</v>
      </c>
      <c r="M70" s="442">
        <v>11532.08</v>
      </c>
      <c r="N70" s="442">
        <v>1000.67</v>
      </c>
      <c r="O70" s="442">
        <v>1320.49</v>
      </c>
      <c r="P70" s="442">
        <v>100</v>
      </c>
      <c r="Q70" s="442"/>
      <c r="R70" s="444">
        <f>SUM(J70:Q70)</f>
      </c>
      <c r="S70" s="445">
        <f>H70+F70+(ABS(E70))-D70</f>
      </c>
      <c r="T70" s="3"/>
      <c r="U70" s="4"/>
      <c r="V70" s="4"/>
    </row>
    <row x14ac:dyDescent="0.25" r="71" customHeight="1" ht="17.25">
      <c r="A71" s="441">
        <v>25568.79196759259</v>
      </c>
      <c r="B71" s="442">
        <v>875000</v>
      </c>
      <c r="C71" s="443">
        <v>-865805.5</v>
      </c>
      <c r="D71" s="1">
        <f>SUM(BHB!X46:X47)</f>
      </c>
      <c r="E71" s="443">
        <v>-869255.5</v>
      </c>
      <c r="F71" s="443">
        <f>IF(((B71+D71+E71-H71)&gt;0),0,(B71+D71+E71-H71))</f>
      </c>
      <c r="G71" s="86">
        <f>H71+F71-D71</f>
      </c>
      <c r="H71" s="86">
        <f>SUM(J71:Q71)</f>
      </c>
      <c r="I71" s="86">
        <f>H71-D71</f>
      </c>
      <c r="J71" s="442">
        <v>993.65</v>
      </c>
      <c r="K71" s="442">
        <v>1697.97</v>
      </c>
      <c r="L71" s="442">
        <v>2360.98</v>
      </c>
      <c r="M71" s="442">
        <v>14045.21</v>
      </c>
      <c r="N71" s="442">
        <v>2030.62</v>
      </c>
      <c r="O71" s="442">
        <v>4420.07</v>
      </c>
      <c r="P71" s="442">
        <v>100</v>
      </c>
      <c r="Q71" s="442"/>
      <c r="R71" s="444">
        <f>SUM(J71:Q71)</f>
      </c>
      <c r="S71" s="445">
        <f>H71+F71+(ABS(E71))-D71</f>
      </c>
      <c r="T71" s="3"/>
      <c r="U71" s="4"/>
      <c r="V71" s="4"/>
    </row>
    <row x14ac:dyDescent="0.25" r="72" customHeight="1" ht="17.25">
      <c r="A72" s="441">
        <v>25568.79196759259</v>
      </c>
      <c r="B72" s="442">
        <v>875000</v>
      </c>
      <c r="C72" s="443">
        <v>-869255.5</v>
      </c>
      <c r="D72" s="1">
        <f>CV!X48</f>
      </c>
      <c r="E72" s="443">
        <v>-869255.5</v>
      </c>
      <c r="F72" s="443">
        <f>IF(((B72+D72+E72-H72)&gt;0),0,(B72+D72+E72-H72))</f>
      </c>
      <c r="G72" s="86">
        <f>H72+F72-D72</f>
      </c>
      <c r="H72" s="86">
        <f>SUM(J72:Q72)</f>
      </c>
      <c r="I72" s="86">
        <f>H72</f>
      </c>
      <c r="J72" s="442">
        <v>993.65</v>
      </c>
      <c r="K72" s="442">
        <v>792.97</v>
      </c>
      <c r="L72" s="442">
        <v>3964.65</v>
      </c>
      <c r="M72" s="442">
        <v>2632.77</v>
      </c>
      <c r="N72" s="442">
        <v>2030.62</v>
      </c>
      <c r="O72" s="442">
        <v>6719.97</v>
      </c>
      <c r="P72" s="442">
        <v>100</v>
      </c>
      <c r="Q72" s="442"/>
      <c r="R72" s="444">
        <f>SUM(J72:Q72)</f>
      </c>
      <c r="S72" s="445">
        <f>H72+F72+(ABS(E72))-D72</f>
      </c>
      <c r="T72" s="3"/>
      <c r="U72" s="4"/>
      <c r="V72" s="4"/>
    </row>
    <row x14ac:dyDescent="0.25" r="73" customHeight="1" ht="17.25">
      <c r="A73" s="441">
        <v>25568.79196759259</v>
      </c>
      <c r="B73" s="442">
        <v>875000</v>
      </c>
      <c r="C73" s="443">
        <v>-869255.5</v>
      </c>
      <c r="D73" s="1">
        <f>SUM(Boom!X28)+SUM(Kings!X56)+SUM(CV!X49:X50)</f>
      </c>
      <c r="E73" s="443">
        <v>-874855.5</v>
      </c>
      <c r="F73" s="443">
        <f>IF(((B73+D73+E73-H73)&gt;0),0,(B73+D73+E73-H73))</f>
      </c>
      <c r="G73" s="86">
        <f>H73+F73-D73</f>
      </c>
      <c r="H73" s="86">
        <f>SUM(J73:Q73)</f>
      </c>
      <c r="I73" s="86">
        <f>H73-D73</f>
      </c>
      <c r="J73" s="442">
        <v>993.65</v>
      </c>
      <c r="K73" s="442">
        <v>782.97</v>
      </c>
      <c r="L73" s="442">
        <v>5015.65</v>
      </c>
      <c r="M73" s="442">
        <v>3627.61</v>
      </c>
      <c r="N73" s="442">
        <v>2030.62</v>
      </c>
      <c r="O73" s="442">
        <v>8019.57</v>
      </c>
      <c r="P73" s="442">
        <v>100</v>
      </c>
      <c r="Q73" s="442"/>
      <c r="R73" s="444">
        <f>SUM(J73:Q73)</f>
      </c>
      <c r="S73" s="445">
        <f>H73+F73+(ABS(E73))-D73</f>
      </c>
      <c r="T73" s="3"/>
      <c r="U73" s="4"/>
      <c r="V73" s="4"/>
    </row>
    <row x14ac:dyDescent="0.25" r="74" customHeight="1" ht="17.25">
      <c r="A74" s="441">
        <v>25568.79196759259</v>
      </c>
      <c r="B74" s="442">
        <v>875000</v>
      </c>
      <c r="C74" s="443">
        <v>-874855.5</v>
      </c>
      <c r="D74" s="1">
        <v>0</v>
      </c>
      <c r="E74" s="443">
        <v>-874855.5</v>
      </c>
      <c r="F74" s="443">
        <f>IF(((B74+D74+E74-H74)&gt;0),0,(B74+D74+E74-H74))</f>
      </c>
      <c r="G74" s="86">
        <f>H74+F74-D74</f>
      </c>
      <c r="H74" s="86">
        <f>SUM(J74:Q74)</f>
      </c>
      <c r="I74" s="86">
        <f>H74-D74</f>
      </c>
      <c r="J74" s="442">
        <v>93.65</v>
      </c>
      <c r="K74" s="442">
        <v>6281.72</v>
      </c>
      <c r="L74" s="442">
        <v>1210.58</v>
      </c>
      <c r="M74" s="442">
        <v>2653.05</v>
      </c>
      <c r="N74" s="442">
        <v>1030.62</v>
      </c>
      <c r="O74" s="442">
        <v>2110.53</v>
      </c>
      <c r="P74" s="442">
        <v>100</v>
      </c>
      <c r="Q74" s="442"/>
      <c r="R74" s="444">
        <f>SUM(J74:Q74)</f>
      </c>
      <c r="S74" s="445">
        <f>H74+F74+(ABS(E74))-D74</f>
      </c>
      <c r="T74" s="3"/>
      <c r="U74" s="4"/>
      <c r="V74" s="4"/>
    </row>
    <row x14ac:dyDescent="0.25" r="75" customHeight="1" ht="17.25">
      <c r="A75" s="441">
        <v>25568.79196759259</v>
      </c>
      <c r="B75" s="442">
        <v>875000</v>
      </c>
      <c r="C75" s="443">
        <v>-874855.5</v>
      </c>
      <c r="D75" s="1">
        <f>Kings!X57</f>
      </c>
      <c r="E75" s="443">
        <v>-874855.5</v>
      </c>
      <c r="F75" s="443">
        <f>IF(((B75+D75+E75-H75)&gt;0),0,(B75+D75+E75-H75))</f>
      </c>
      <c r="G75" s="86">
        <f>H75+F75-D75</f>
      </c>
      <c r="H75" s="86">
        <f>SUM(J75:Q75)</f>
      </c>
      <c r="I75" s="86">
        <f>H75-D75</f>
      </c>
      <c r="J75" s="442">
        <v>10309.8</v>
      </c>
      <c r="K75" s="442">
        <v>6281.72</v>
      </c>
      <c r="L75" s="442">
        <v>2375.13</v>
      </c>
      <c r="M75" s="442">
        <v>4682.89</v>
      </c>
      <c r="N75" s="442">
        <v>1915.15</v>
      </c>
      <c r="O75" s="442">
        <v>3304.51</v>
      </c>
      <c r="P75" s="442">
        <v>100</v>
      </c>
      <c r="Q75" s="442"/>
      <c r="R75" s="444">
        <f>SUM(J75:Q75)</f>
      </c>
      <c r="S75" s="445">
        <f>H75+F75+(ABS(E75))-D75</f>
      </c>
      <c r="T75" s="3"/>
      <c r="U75" s="4"/>
      <c r="V75" s="4"/>
    </row>
    <row x14ac:dyDescent="0.25" r="76" customHeight="1" ht="17.25">
      <c r="A76" s="441">
        <v>25568.79196759259</v>
      </c>
      <c r="B76" s="442">
        <v>875000</v>
      </c>
      <c r="C76" s="443">
        <v>-874855.5</v>
      </c>
      <c r="D76" s="1">
        <f>SUM(ACS!X48:X53)+SUM(BHB!X48:X49)</f>
      </c>
      <c r="E76" s="443">
        <v>-874855.5</v>
      </c>
      <c r="F76" s="443">
        <f>IF(((B76+D76+E76-H76)&gt;0),0,(B76+D76+E76-H76))</f>
      </c>
      <c r="G76" s="86">
        <f>H76+F76-D76</f>
      </c>
      <c r="H76" s="86">
        <f>SUM(J76:Q76)</f>
      </c>
      <c r="I76" s="86">
        <f>H76-D76</f>
      </c>
      <c r="J76" s="442">
        <v>5309.8</v>
      </c>
      <c r="K76" s="442">
        <v>6281.72</v>
      </c>
      <c r="L76" s="442">
        <v>3294.51</v>
      </c>
      <c r="M76" s="442">
        <v>7118.58</v>
      </c>
      <c r="N76" s="442">
        <v>1915.15</v>
      </c>
      <c r="O76" s="442">
        <v>7042.32</v>
      </c>
      <c r="P76" s="442">
        <v>100</v>
      </c>
      <c r="Q76" s="442"/>
      <c r="R76" s="444">
        <f>SUM(J76:Q76)</f>
      </c>
      <c r="S76" s="445">
        <f>H76+F76+(ABS(E76))-D76</f>
      </c>
      <c r="T76" s="3"/>
      <c r="U76" s="4"/>
      <c r="V76" s="4"/>
    </row>
    <row x14ac:dyDescent="0.25" r="77" customHeight="1" ht="17.25">
      <c r="A77" s="441">
        <v>25568.79196759259</v>
      </c>
      <c r="B77" s="442">
        <v>875000</v>
      </c>
      <c r="C77" s="443">
        <v>-874855.5</v>
      </c>
      <c r="D77" s="1">
        <f>SUM(Kings!X58)+SUM(BHB!X50)</f>
      </c>
      <c r="E77" s="443">
        <v>-874855.5</v>
      </c>
      <c r="F77" s="443">
        <f>IF(((B77+D77+E77-H77)&gt;0),0,(B77+D77+E77-H77))</f>
      </c>
      <c r="G77" s="86">
        <f>H77+F77-D77</f>
      </c>
      <c r="H77" s="86">
        <f>SUM(J77:Q77)</f>
      </c>
      <c r="I77" s="86">
        <f>H77-D77</f>
      </c>
      <c r="J77" s="442">
        <v>5309.8</v>
      </c>
      <c r="K77" s="442">
        <v>1381.72</v>
      </c>
      <c r="L77" s="442">
        <v>3983.83</v>
      </c>
      <c r="M77" s="442">
        <v>11842.98</v>
      </c>
      <c r="N77" s="442">
        <v>1915.15</v>
      </c>
      <c r="O77" s="442">
        <v>9191.9</v>
      </c>
      <c r="P77" s="442">
        <v>100</v>
      </c>
      <c r="Q77" s="442"/>
      <c r="R77" s="444">
        <f>SUM(J77:Q77)</f>
      </c>
      <c r="S77" s="445">
        <f>H77+F77+(ABS(E77))-D77</f>
      </c>
      <c r="T77" s="3"/>
      <c r="U77" s="4"/>
      <c r="V77" s="4"/>
    </row>
    <row x14ac:dyDescent="0.25" r="78" customHeight="1" ht="17.25">
      <c r="A78" s="441">
        <v>25568.79196759259</v>
      </c>
      <c r="B78" s="442">
        <v>875000</v>
      </c>
      <c r="C78" s="443">
        <v>-874855.5</v>
      </c>
      <c r="D78" s="1">
        <f>SUM(BHB!X51)</f>
      </c>
      <c r="E78" s="443">
        <v>-876115.5</v>
      </c>
      <c r="F78" s="443">
        <f>IF(((B78+D78+E78-H78)&gt;0),0,(B78+D78+E78-H78))</f>
      </c>
      <c r="G78" s="86">
        <f>H78+F78-D78</f>
      </c>
      <c r="H78" s="86">
        <f>SUM(J78:Q78)</f>
      </c>
      <c r="I78" s="86">
        <f>H78-D78</f>
      </c>
      <c r="J78" s="442">
        <v>119.8</v>
      </c>
      <c r="K78" s="442">
        <v>5839.93</v>
      </c>
      <c r="L78" s="442">
        <v>2166.72</v>
      </c>
      <c r="M78" s="442">
        <v>2212.95</v>
      </c>
      <c r="N78" s="442">
        <v>115.15</v>
      </c>
      <c r="O78" s="442">
        <v>1941.77</v>
      </c>
      <c r="P78" s="442">
        <v>100</v>
      </c>
      <c r="Q78" s="442"/>
      <c r="R78" s="444">
        <f>SUM(J78:Q78)</f>
      </c>
      <c r="S78" s="445">
        <f>H78+F78+(ABS(E78))-D78</f>
      </c>
      <c r="T78" s="3"/>
      <c r="U78" s="4"/>
      <c r="V78" s="4"/>
    </row>
    <row x14ac:dyDescent="0.25" r="79" customHeight="1" ht="17.25">
      <c r="A79" s="441">
        <v>25568.79196759259</v>
      </c>
      <c r="B79" s="442">
        <v>975000</v>
      </c>
      <c r="C79" s="443">
        <v>-876115.5</v>
      </c>
      <c r="D79" s="1">
        <f>SUM(ACS!X54:X55)+BHB!X52+Kings!X59+SUM(Boom!X29:X30)</f>
      </c>
      <c r="E79" s="443">
        <v>-876115.5</v>
      </c>
      <c r="F79" s="443">
        <f>IF(((B79+D79+E79-H79)&gt;0),0,(B79+D79+E79-H79))</f>
      </c>
      <c r="G79" s="86">
        <f>H79+F79-D79</f>
      </c>
      <c r="H79" s="86">
        <f>SUM(J79:Q79)</f>
      </c>
      <c r="I79" s="86">
        <f>H79-D79</f>
      </c>
      <c r="J79" s="442">
        <v>4809.22</v>
      </c>
      <c r="K79" s="442">
        <v>2474.93</v>
      </c>
      <c r="L79" s="442">
        <v>3456</v>
      </c>
      <c r="M79" s="442">
        <v>18551.71</v>
      </c>
      <c r="N79" s="442">
        <v>1072.38</v>
      </c>
      <c r="O79" s="442">
        <v>3469.09</v>
      </c>
      <c r="P79" s="442">
        <v>100</v>
      </c>
      <c r="Q79" s="442"/>
      <c r="R79" s="444">
        <f>SUM(J79:Q79)</f>
      </c>
      <c r="S79" s="445">
        <f>H79+F79+(ABS(E79))-D79</f>
      </c>
      <c r="T79" s="3"/>
      <c r="U79" s="4"/>
      <c r="V79" s="4"/>
    </row>
    <row x14ac:dyDescent="0.25" r="80" customHeight="1" ht="17.25">
      <c r="A80" s="441">
        <v>25568.79196759259</v>
      </c>
      <c r="B80" s="442">
        <v>975000</v>
      </c>
      <c r="C80" s="443">
        <v>-876115.5</v>
      </c>
      <c r="D80" s="1">
        <f>SUM(CV!X51:X53)</f>
      </c>
      <c r="E80" s="443">
        <v>-891175.5</v>
      </c>
      <c r="F80" s="443">
        <f>IF(((B80+D80+E80-H80)&gt;0),0,(B80+D80+E80-H80))</f>
      </c>
      <c r="G80" s="86">
        <f>H80+F80-D80</f>
      </c>
      <c r="H80" s="86">
        <f>SUM(J80:Q80)</f>
      </c>
      <c r="I80" s="86">
        <f>H80-D80</f>
      </c>
      <c r="J80" s="442">
        <v>17909.22</v>
      </c>
      <c r="K80" s="442">
        <v>19169.93</v>
      </c>
      <c r="L80" s="442">
        <v>9915.4</v>
      </c>
      <c r="M80" s="442">
        <v>21298.77</v>
      </c>
      <c r="N80" s="442">
        <v>11072.38</v>
      </c>
      <c r="O80" s="442">
        <v>18223.27</v>
      </c>
      <c r="P80" s="442">
        <v>10100</v>
      </c>
      <c r="Q80" s="442"/>
      <c r="R80" s="444">
        <f>SUM(J80:Q80)</f>
      </c>
      <c r="S80" s="445">
        <f>H80+F80+(ABS(E80))-D80</f>
      </c>
      <c r="T80" s="3"/>
      <c r="U80" s="4"/>
      <c r="V80" s="4"/>
    </row>
    <row x14ac:dyDescent="0.25" r="81" customHeight="1" ht="17.25">
      <c r="A81" s="441">
        <v>25568.79196759259</v>
      </c>
      <c r="B81" s="442">
        <v>975000</v>
      </c>
      <c r="C81" s="443">
        <v>-891175.5</v>
      </c>
      <c r="D81" s="1">
        <f>SUM(Kings!X60:X61)+CV!X54</f>
      </c>
      <c r="E81" s="443">
        <v>-900895.5</v>
      </c>
      <c r="F81" s="443">
        <f>IF(((B81+D81+E81-H81)&gt;0),0,(B81+D81+E81-H81))</f>
      </c>
      <c r="G81" s="86">
        <f>H81+F81-D81</f>
      </c>
      <c r="H81" s="86">
        <f>SUM(J81:Q81)</f>
      </c>
      <c r="I81" s="86">
        <f>H81-D81</f>
      </c>
      <c r="J81" s="442">
        <v>17899.22</v>
      </c>
      <c r="K81" s="442">
        <v>19164.93</v>
      </c>
      <c r="L81" s="442">
        <v>10594.7</v>
      </c>
      <c r="M81" s="442">
        <v>18503.84</v>
      </c>
      <c r="N81" s="442">
        <v>11072.38</v>
      </c>
      <c r="O81" s="442">
        <v>15633.91</v>
      </c>
      <c r="P81" s="442">
        <v>10100</v>
      </c>
      <c r="Q81" s="442">
        <v>-210</v>
      </c>
      <c r="R81" s="444">
        <f>SUM(J81:Q81)</f>
      </c>
      <c r="S81" s="445">
        <f>H81+F81+(ABS(E81))-D81</f>
      </c>
      <c r="T81" s="3"/>
      <c r="U81" s="4"/>
      <c r="V81" s="4"/>
    </row>
    <row x14ac:dyDescent="0.25" r="82" customHeight="1" ht="17.25">
      <c r="A82" s="441">
        <v>25568.79196759259</v>
      </c>
      <c r="B82" s="442">
        <v>975000</v>
      </c>
      <c r="C82" s="443">
        <v>-900895.5</v>
      </c>
      <c r="D82" s="1">
        <f>Boom!X31+SUM(ACS!X56:X57)</f>
      </c>
      <c r="E82" s="443">
        <v>-907795.5</v>
      </c>
      <c r="F82" s="443">
        <f>IF(((B82+D82+E82-H82)&gt;0),0,(B82+D82+E82-H82))</f>
      </c>
      <c r="G82" s="86">
        <f>H82+F82-D82</f>
      </c>
      <c r="H82" s="86">
        <f>SUM(J82:Q82)</f>
      </c>
      <c r="I82" s="86">
        <f>H82-D82</f>
      </c>
      <c r="J82" s="442">
        <v>17899.22</v>
      </c>
      <c r="K82" s="442">
        <v>19164.93</v>
      </c>
      <c r="L82" s="442">
        <v>12430.43</v>
      </c>
      <c r="M82" s="442">
        <v>17478.84</v>
      </c>
      <c r="N82" s="442">
        <v>11072.38</v>
      </c>
      <c r="O82" s="442">
        <v>6443.69</v>
      </c>
      <c r="P82" s="442">
        <v>5100</v>
      </c>
      <c r="Q82" s="442"/>
      <c r="R82" s="444">
        <f>SUM(J82:Q82)</f>
      </c>
      <c r="S82" s="445">
        <f>H82+F82+(ABS(E82))-D82</f>
      </c>
      <c r="T82" s="3"/>
      <c r="U82" s="4"/>
      <c r="V82" s="4"/>
    </row>
    <row x14ac:dyDescent="0.25" r="83" customHeight="1" ht="17.25">
      <c r="A83" s="441">
        <v>25568.79196759259</v>
      </c>
      <c r="B83" s="442">
        <v>975000</v>
      </c>
      <c r="C83" s="443">
        <v>-907795.5</v>
      </c>
      <c r="D83" s="1">
        <f>Kings!X62+Boom!X32</f>
      </c>
      <c r="E83" s="443">
        <f>'R&amp;H Portfolio'!C$10*-1</f>
      </c>
      <c r="F83" s="443">
        <f>IF(((B83+D83+E83-H83)&gt;0),0,(B83+D83+E83-H83))</f>
      </c>
      <c r="G83" s="86">
        <f>H83+F83-D83</f>
      </c>
      <c r="H83" s="86">
        <f>SUM(J83:Q83)</f>
      </c>
      <c r="I83" s="86">
        <f>H83-D83</f>
      </c>
      <c r="J83" s="442">
        <v>10999.22</v>
      </c>
      <c r="K83" s="442">
        <v>25021.75</v>
      </c>
      <c r="L83" s="442">
        <v>8044.6</v>
      </c>
      <c r="M83" s="442">
        <v>9636.26</v>
      </c>
      <c r="N83" s="442">
        <v>11072.38</v>
      </c>
      <c r="O83" s="442">
        <v>7434.7</v>
      </c>
      <c r="P83" s="442">
        <v>5100</v>
      </c>
      <c r="Q83" s="442"/>
      <c r="R83" s="444">
        <f>SUM(J83:Q83)</f>
      </c>
      <c r="S83" s="445">
        <f>H83+F83+(ABS(E83))-D83</f>
      </c>
      <c r="T83" s="3"/>
      <c r="U83" s="4"/>
      <c r="V83" s="4"/>
    </row>
    <row x14ac:dyDescent="0.25" r="84" customHeight="1" ht="17.25">
      <c r="A84" s="441">
        <v>25568.79196759259</v>
      </c>
      <c r="B84" s="442">
        <v>975000</v>
      </c>
      <c r="C84" s="443">
        <v>-917875.5</v>
      </c>
      <c r="D84" s="1"/>
      <c r="E84" s="443">
        <f>'R&amp;H Portfolio'!C$10*-1</f>
      </c>
      <c r="F84" s="443">
        <f>IF(((B84+D84+E84-H84)&gt;0),0,(B84+D84+E84-H84))</f>
      </c>
      <c r="G84" s="86">
        <f>H84+F84-D84</f>
      </c>
      <c r="H84" s="86">
        <f>SUM(J84:Q84)</f>
      </c>
      <c r="I84" s="86">
        <f>H84-D84</f>
      </c>
      <c r="J84" s="442">
        <v>20807.52</v>
      </c>
      <c r="K84" s="442">
        <v>10021.75</v>
      </c>
      <c r="L84" s="442">
        <v>13838.67</v>
      </c>
      <c r="M84" s="442">
        <v>17040.43</v>
      </c>
      <c r="N84" s="442">
        <v>11726.69</v>
      </c>
      <c r="O84" s="442">
        <v>6412.9</v>
      </c>
      <c r="P84" s="442">
        <v>5100</v>
      </c>
      <c r="Q84" s="442"/>
      <c r="R84" s="444">
        <f>SUM(J84:Q84)</f>
      </c>
      <c r="S84" s="445">
        <f>H84+F84+(ABS(E84))-D84</f>
      </c>
      <c r="T84" s="3"/>
      <c r="U84" s="4"/>
      <c r="V84" s="4"/>
    </row>
    <row x14ac:dyDescent="0.25" r="85" customHeight="1" ht="17.25">
      <c r="A85" s="441">
        <v>25568.79196759259</v>
      </c>
      <c r="B85" s="442">
        <v>975000</v>
      </c>
      <c r="C85" s="443"/>
      <c r="D85" s="1"/>
      <c r="E85" s="443">
        <f>'R&amp;H Portfolio'!C$10*-1</f>
      </c>
      <c r="F85" s="443">
        <f>IF(((B85+D85+E85-H85)&gt;0),0,(B85+D85+E85-H85))</f>
      </c>
      <c r="G85" s="86">
        <f>H85+F85-D85</f>
      </c>
      <c r="H85" s="86">
        <f>SUM(J85:Q85)</f>
      </c>
      <c r="I85" s="86">
        <f>H85-D85</f>
      </c>
      <c r="J85" s="442"/>
      <c r="K85" s="442"/>
      <c r="L85" s="442"/>
      <c r="M85" s="442"/>
      <c r="N85" s="442"/>
      <c r="O85" s="442"/>
      <c r="P85" s="442"/>
      <c r="Q85" s="442"/>
      <c r="R85" s="444">
        <f>SUM(J85:Q85)</f>
      </c>
      <c r="S85" s="445">
        <f>H85+F85+(ABS(E85))-D85</f>
      </c>
      <c r="T85" s="3"/>
      <c r="U85" s="4"/>
      <c r="V85" s="4"/>
    </row>
    <row x14ac:dyDescent="0.25" r="86" customHeight="1" ht="17.25">
      <c r="A86" s="441">
        <v>25568.79196759259</v>
      </c>
      <c r="B86" s="442">
        <v>975000</v>
      </c>
      <c r="C86" s="443"/>
      <c r="D86" s="1"/>
      <c r="E86" s="443">
        <f>'R&amp;H Portfolio'!C$10*-1</f>
      </c>
      <c r="F86" s="443">
        <f>IF(((B86+D86+E86-H86)&gt;0),0,(B86+D86+E86-H86))</f>
      </c>
      <c r="G86" s="86">
        <f>H86+F86-D86</f>
      </c>
      <c r="H86" s="86">
        <f>SUM(J86:Q86)</f>
      </c>
      <c r="I86" s="86">
        <f>H86-D86</f>
      </c>
      <c r="J86" s="442"/>
      <c r="K86" s="442"/>
      <c r="L86" s="442"/>
      <c r="M86" s="442"/>
      <c r="N86" s="442"/>
      <c r="O86" s="442"/>
      <c r="P86" s="442"/>
      <c r="Q86" s="442"/>
      <c r="R86" s="444">
        <f>SUM(J86:Q86)</f>
      </c>
      <c r="S86" s="445">
        <f>H86+F86+(ABS(E86))-D86</f>
      </c>
      <c r="T86" s="3"/>
      <c r="U86" s="4"/>
      <c r="V86" s="4"/>
    </row>
    <row x14ac:dyDescent="0.25" r="87" customHeight="1" ht="17.25">
      <c r="A87" s="441">
        <v>25568.79196759259</v>
      </c>
      <c r="B87" s="442">
        <v>975000</v>
      </c>
      <c r="C87" s="443"/>
      <c r="D87" s="1"/>
      <c r="E87" s="443">
        <f>'R&amp;H Portfolio'!C$10*-1</f>
      </c>
      <c r="F87" s="443">
        <f>IF(((B87+D87+E87-H87)&gt;0),0,(B87+D87+E87-H87))</f>
      </c>
      <c r="G87" s="86">
        <f>H87+F87-D87</f>
      </c>
      <c r="H87" s="86">
        <f>SUM(J87:Q87)</f>
      </c>
      <c r="I87" s="86">
        <f>H87-D87</f>
      </c>
      <c r="J87" s="442"/>
      <c r="K87" s="442"/>
      <c r="L87" s="442"/>
      <c r="M87" s="442"/>
      <c r="N87" s="442"/>
      <c r="O87" s="442"/>
      <c r="P87" s="442"/>
      <c r="Q87" s="442"/>
      <c r="R87" s="444">
        <f>SUM(J87:Q87)</f>
      </c>
      <c r="S87" s="445">
        <f>H87+F87+(ABS(E87))-D87</f>
      </c>
      <c r="T87" s="3"/>
      <c r="U87" s="4"/>
      <c r="V87" s="4"/>
    </row>
    <row x14ac:dyDescent="0.25" r="88" customHeight="1" ht="17.25">
      <c r="A88" s="441">
        <v>25568.79196759259</v>
      </c>
      <c r="B88" s="442">
        <v>975000</v>
      </c>
      <c r="C88" s="443"/>
      <c r="D88" s="1"/>
      <c r="E88" s="443">
        <f>'R&amp;H Portfolio'!C$10*-1</f>
      </c>
      <c r="F88" s="443">
        <f>IF(((B88+D88+E88-H88)&gt;0),0,(B88+D88+E88-H88))</f>
      </c>
      <c r="G88" s="86">
        <f>H88+F88-D88</f>
      </c>
      <c r="H88" s="86">
        <f>SUM(J88:Q88)</f>
      </c>
      <c r="I88" s="86">
        <f>H88-D88</f>
      </c>
      <c r="J88" s="442"/>
      <c r="K88" s="442"/>
      <c r="L88" s="442"/>
      <c r="M88" s="442"/>
      <c r="N88" s="442"/>
      <c r="O88" s="442"/>
      <c r="P88" s="442"/>
      <c r="Q88" s="442"/>
      <c r="R88" s="444">
        <f>SUM(J88:Q88)</f>
      </c>
      <c r="S88" s="445">
        <f>H88+F88+(ABS(E88))-D88</f>
      </c>
      <c r="T88" s="3"/>
      <c r="U88" s="4"/>
      <c r="V88" s="4"/>
    </row>
    <row x14ac:dyDescent="0.25" r="89" customHeight="1" ht="17.25">
      <c r="A89" s="441">
        <v>25568.79196759259</v>
      </c>
      <c r="B89" s="442">
        <v>975000</v>
      </c>
      <c r="C89" s="443"/>
      <c r="D89" s="1"/>
      <c r="E89" s="443">
        <f>'R&amp;H Portfolio'!C$10*-1</f>
      </c>
      <c r="F89" s="443">
        <f>IF(((B89+D89+E89-H89)&gt;0),0,(B89+D89+E89-H89))</f>
      </c>
      <c r="G89" s="86">
        <f>H89+F89-D89</f>
      </c>
      <c r="H89" s="86">
        <f>SUM(J89:Q89)</f>
      </c>
      <c r="I89" s="86">
        <f>H89-D89</f>
      </c>
      <c r="J89" s="442"/>
      <c r="K89" s="442"/>
      <c r="L89" s="442"/>
      <c r="M89" s="442"/>
      <c r="N89" s="442"/>
      <c r="O89" s="442"/>
      <c r="P89" s="442"/>
      <c r="Q89" s="442"/>
      <c r="R89" s="444">
        <f>SUM(J89:Q89)</f>
      </c>
      <c r="S89" s="445">
        <f>H89+F89+(ABS(E89))-D89</f>
      </c>
      <c r="T89" s="3"/>
      <c r="U89" s="4"/>
      <c r="V89" s="4"/>
    </row>
    <row x14ac:dyDescent="0.25" r="90" customHeight="1" ht="17.25">
      <c r="A90" s="441">
        <v>25568.79196759259</v>
      </c>
      <c r="B90" s="442">
        <v>975000</v>
      </c>
      <c r="C90" s="443"/>
      <c r="D90" s="1"/>
      <c r="E90" s="443">
        <f>'R&amp;H Portfolio'!C$10*-1</f>
      </c>
      <c r="F90" s="443">
        <f>IF(((B90+D90+E90-H90)&gt;0),0,(B90+D90+E90-H90))</f>
      </c>
      <c r="G90" s="86">
        <f>H90+F90-D90</f>
      </c>
      <c r="H90" s="86">
        <f>SUM(J90:Q90)</f>
      </c>
      <c r="I90" s="86">
        <f>H90-D90</f>
      </c>
      <c r="J90" s="442"/>
      <c r="K90" s="442"/>
      <c r="L90" s="442"/>
      <c r="M90" s="442"/>
      <c r="N90" s="442"/>
      <c r="O90" s="442"/>
      <c r="P90" s="442"/>
      <c r="Q90" s="442"/>
      <c r="R90" s="444">
        <f>SUM(J90:Q90)</f>
      </c>
      <c r="S90" s="445">
        <f>H90+F90+(ABS(E90))-D90</f>
      </c>
      <c r="T90" s="3"/>
      <c r="U90" s="4"/>
      <c r="V90" s="4"/>
    </row>
    <row x14ac:dyDescent="0.25" r="91" customHeight="1" ht="17.25">
      <c r="A91" s="17"/>
      <c r="B91" s="86"/>
      <c r="C91" s="86"/>
      <c r="D91" s="1"/>
      <c r="E91" s="86"/>
      <c r="F91" s="3"/>
      <c r="G91" s="3"/>
      <c r="H91" s="3"/>
      <c r="I91" s="3"/>
      <c r="J91" s="86"/>
      <c r="K91" s="86"/>
      <c r="L91" s="86"/>
      <c r="M91" s="86"/>
      <c r="N91" s="86"/>
      <c r="O91" s="86"/>
      <c r="P91" s="86"/>
      <c r="Q91" s="86"/>
      <c r="R91" s="3"/>
      <c r="S91" s="3"/>
      <c r="T91" s="3"/>
      <c r="U91" s="4"/>
      <c r="V91" s="4"/>
    </row>
    <row x14ac:dyDescent="0.25" r="92" customHeight="1" ht="17.25">
      <c r="A92" s="17"/>
      <c r="B92" s="86"/>
      <c r="C92" s="86"/>
      <c r="D92" s="1"/>
      <c r="E92" s="86"/>
      <c r="F92" s="3"/>
      <c r="G92" s="3"/>
      <c r="H92" s="3"/>
      <c r="I92" s="3"/>
      <c r="J92" s="86"/>
      <c r="K92" s="86"/>
      <c r="L92" s="86"/>
      <c r="M92" s="86"/>
      <c r="N92" s="86"/>
      <c r="O92" s="86"/>
      <c r="P92" s="86"/>
      <c r="Q92" s="86"/>
      <c r="R92" s="3"/>
      <c r="S92" s="3"/>
      <c r="T92" s="3"/>
      <c r="U92" s="4"/>
      <c r="V92" s="4"/>
    </row>
    <row x14ac:dyDescent="0.25" r="93" customHeight="1" ht="17.25">
      <c r="A93" s="17"/>
      <c r="B93" s="86"/>
      <c r="C93" s="86"/>
      <c r="D93" s="1"/>
      <c r="E93" s="86"/>
      <c r="F93" s="3"/>
      <c r="G93" s="3"/>
      <c r="H93" s="3"/>
      <c r="I93" s="3"/>
      <c r="J93" s="86"/>
      <c r="K93" s="86"/>
      <c r="L93" s="86"/>
      <c r="M93" s="86"/>
      <c r="N93" s="86"/>
      <c r="O93" s="86"/>
      <c r="P93" s="86"/>
      <c r="Q93" s="86"/>
      <c r="R93" s="3"/>
      <c r="S93" s="3"/>
      <c r="T93" s="3"/>
      <c r="U93" s="4"/>
      <c r="V93" s="4"/>
    </row>
    <row x14ac:dyDescent="0.25" r="94" customHeight="1" ht="17.25">
      <c r="A94" s="17"/>
      <c r="B94" s="86"/>
      <c r="C94" s="86"/>
      <c r="D94" s="1"/>
      <c r="E94" s="86"/>
      <c r="F94" s="3"/>
      <c r="G94" s="3"/>
      <c r="H94" s="3"/>
      <c r="I94" s="3"/>
      <c r="J94" s="86"/>
      <c r="K94" s="86"/>
      <c r="L94" s="86"/>
      <c r="M94" s="86"/>
      <c r="N94" s="86"/>
      <c r="O94" s="86"/>
      <c r="P94" s="86"/>
      <c r="Q94" s="86"/>
      <c r="R94" s="3"/>
      <c r="S94" s="3"/>
      <c r="T94" s="3"/>
      <c r="U94" s="4"/>
      <c r="V94" s="4"/>
    </row>
    <row x14ac:dyDescent="0.25" r="95" customHeight="1" ht="17.25">
      <c r="A95" s="17"/>
      <c r="B95" s="86"/>
      <c r="C95" s="86"/>
      <c r="D95" s="1"/>
      <c r="E95" s="86"/>
      <c r="F95" s="3"/>
      <c r="G95" s="3"/>
      <c r="H95" s="3"/>
      <c r="I95" s="3"/>
      <c r="J95" s="86"/>
      <c r="K95" s="86"/>
      <c r="L95" s="86"/>
      <c r="M95" s="86"/>
      <c r="N95" s="86"/>
      <c r="O95" s="86"/>
      <c r="P95" s="86"/>
      <c r="Q95" s="86"/>
      <c r="R95" s="3"/>
      <c r="S95" s="3"/>
      <c r="T95" s="3"/>
      <c r="U95" s="4"/>
      <c r="V95" s="4"/>
    </row>
    <row x14ac:dyDescent="0.25" r="96" customHeight="1" ht="17.25">
      <c r="A96" s="17"/>
      <c r="B96" s="86"/>
      <c r="C96" s="86"/>
      <c r="D96" s="1"/>
      <c r="E96" s="86"/>
      <c r="F96" s="3"/>
      <c r="G96" s="3"/>
      <c r="H96" s="3"/>
      <c r="I96" s="3"/>
      <c r="J96" s="86"/>
      <c r="K96" s="86"/>
      <c r="L96" s="86"/>
      <c r="M96" s="86"/>
      <c r="N96" s="86"/>
      <c r="O96" s="86"/>
      <c r="P96" s="86"/>
      <c r="Q96" s="86"/>
      <c r="R96" s="3"/>
      <c r="S96" s="3"/>
      <c r="T96" s="3"/>
      <c r="U96" s="4"/>
      <c r="V96" s="4"/>
    </row>
    <row x14ac:dyDescent="0.25" r="97" customHeight="1" ht="17.25">
      <c r="A97" s="17"/>
      <c r="B97" s="86"/>
      <c r="C97" s="86"/>
      <c r="D97" s="1"/>
      <c r="E97" s="86"/>
      <c r="F97" s="3"/>
      <c r="G97" s="3"/>
      <c r="H97" s="3"/>
      <c r="I97" s="3"/>
      <c r="J97" s="86"/>
      <c r="K97" s="86"/>
      <c r="L97" s="86"/>
      <c r="M97" s="86"/>
      <c r="N97" s="86"/>
      <c r="O97" s="86"/>
      <c r="P97" s="86"/>
      <c r="Q97" s="86"/>
      <c r="R97" s="3"/>
      <c r="S97" s="3"/>
      <c r="T97" s="3"/>
      <c r="U97" s="4"/>
      <c r="V9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V7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48" width="12.290714285714287" customWidth="1" bestFit="1"/>
    <col min="2" max="2" style="89" width="18.576428571428572" customWidth="1" bestFit="1"/>
    <col min="3" max="3" style="21" width="11.862142857142858" customWidth="1" bestFit="1"/>
    <col min="4" max="4" style="21" width="8.147857142857141" customWidth="1" bestFit="1"/>
    <col min="5" max="5" style="21" width="12.290714285714287" customWidth="1" bestFit="1"/>
    <col min="6" max="6" style="21" width="5.576428571428571" customWidth="1" bestFit="1"/>
    <col min="7" max="7" style="171" width="7.576428571428571" customWidth="1" bestFit="1"/>
    <col min="8" max="8" style="249" width="7.576428571428571" customWidth="1" bestFit="1"/>
    <col min="9" max="9" style="249" width="7.719285714285714" customWidth="1" bestFit="1"/>
    <col min="10" max="10" style="21" width="9.719285714285713" customWidth="1" bestFit="1"/>
    <col min="11" max="11" style="28" width="10.147857142857141" customWidth="1" bestFit="1"/>
    <col min="12" max="12" style="21" width="8.576428571428572" customWidth="1" bestFit="1"/>
    <col min="13" max="13" style="21" width="10.576428571428572" customWidth="1" bestFit="1"/>
    <col min="14" max="14" style="171" width="8.862142857142858" customWidth="1" bestFit="1"/>
    <col min="15" max="15" style="171" width="9.290714285714287" customWidth="1" bestFit="1"/>
    <col min="16" max="16" style="21" width="7.862142857142857" customWidth="1" bestFit="1"/>
    <col min="17" max="17" style="28" width="11.576428571428572" customWidth="1" bestFit="1"/>
    <col min="18" max="18" style="21" width="9.290714285714287" customWidth="1" bestFit="1"/>
    <col min="19" max="19" style="21" width="7.576428571428571" customWidth="1" bestFit="1"/>
    <col min="20" max="20" style="21" width="9.576428571428572" customWidth="1" bestFit="1"/>
    <col min="21" max="21" style="21" width="7.576428571428571" customWidth="1" bestFit="1"/>
    <col min="22" max="22" style="21" width="8.719285714285713" customWidth="1" bestFit="1"/>
    <col min="23" max="23" style="21" width="11.576428571428572" customWidth="1" bestFit="1"/>
    <col min="24" max="24" style="21" width="9.576428571428572" customWidth="1" bestFit="1"/>
    <col min="25" max="25" style="21" width="8.862142857142858" customWidth="1" bestFit="1"/>
    <col min="26" max="26" style="21" width="8.576428571428572" customWidth="1" bestFit="1"/>
    <col min="27" max="27" style="21" width="10.147857142857141" customWidth="1" bestFit="1"/>
    <col min="28" max="28" style="21" width="13.576428571428572" customWidth="1" bestFit="1"/>
    <col min="29" max="29" style="21" width="9.862142857142858" customWidth="1" bestFit="1"/>
    <col min="30" max="30" style="21" width="8.576428571428572" customWidth="1" bestFit="1"/>
    <col min="31" max="31" style="21" width="9.005" customWidth="1" bestFit="1"/>
    <col min="32" max="32" style="157" width="10.147857142857141" customWidth="1" bestFit="1"/>
    <col min="33" max="33" style="21" width="12.43357142857143" customWidth="1" bestFit="1" hidden="1"/>
    <col min="34" max="34" style="21" width="12.43357142857143" customWidth="1" bestFit="1" hidden="1"/>
    <col min="35" max="35" style="21" width="12.43357142857143" customWidth="1" bestFit="1" hidden="1"/>
    <col min="36" max="36" style="21" width="12.43357142857143" customWidth="1" bestFit="1" hidden="1"/>
    <col min="37" max="37" style="21" width="12.43357142857143" customWidth="1" bestFit="1" hidden="1"/>
    <col min="38" max="38" style="21" width="12.43357142857143" customWidth="1" bestFit="1" hidden="1"/>
    <col min="39" max="39" style="21" width="12.43357142857143" customWidth="1" bestFit="1" hidden="1"/>
    <col min="40" max="40" style="21" width="12.43357142857143" customWidth="1" bestFit="1" hidden="1"/>
    <col min="41" max="41" style="21" width="12.43357142857143" customWidth="1" bestFit="1" hidden="1"/>
    <col min="42" max="42" style="249" width="12.43357142857143" customWidth="1" bestFit="1" hidden="1"/>
    <col min="43" max="43" style="249" width="12.43357142857143" customWidth="1" bestFit="1" hidden="1"/>
    <col min="44" max="44" style="249" width="12.43357142857143" customWidth="1" bestFit="1" hidden="1"/>
    <col min="45" max="45" style="249" width="12.43357142857143" customWidth="1" bestFit="1" hidden="1"/>
    <col min="46" max="46" style="249" width="12.43357142857143" customWidth="1" bestFit="1" hidden="1"/>
    <col min="47" max="47" style="249" width="12.43357142857143" customWidth="1" bestFit="1" hidden="1"/>
    <col min="48" max="48" style="249" width="12.43357142857143" customWidth="1" bestFit="1" hidden="1"/>
    <col min="49" max="49" style="249" width="12.43357142857143" customWidth="1" bestFit="1" hidden="1"/>
    <col min="50" max="50" style="249" width="10.147857142857141" customWidth="1" bestFit="1"/>
    <col min="51" max="51" style="249" width="10.147857142857141" customWidth="1" bestFit="1"/>
    <col min="52" max="52" style="249" width="10.147857142857141" customWidth="1" bestFit="1"/>
    <col min="53" max="53" style="249" width="10.576428571428572" customWidth="1" bestFit="1"/>
    <col min="54" max="54" style="437" width="9.576428571428572" customWidth="1" bestFit="1"/>
    <col min="55" max="55" style="171" width="9.576428571428572" customWidth="1" bestFit="1"/>
    <col min="56" max="56" style="171" width="9.576428571428572" customWidth="1" bestFit="1"/>
    <col min="57" max="57" style="171" width="9.576428571428572" customWidth="1" bestFit="1"/>
    <col min="58" max="58" style="21" width="10.576428571428572" customWidth="1" bestFit="1"/>
    <col min="59" max="59" style="21" width="9.147857142857141" customWidth="1" bestFit="1"/>
    <col min="60" max="60" style="21" width="9.576428571428572" customWidth="1" bestFit="1"/>
    <col min="61" max="61" style="21" width="16.576428571428572" customWidth="1" bestFit="1"/>
    <col min="62" max="62" style="21" width="16.576428571428572" customWidth="1" bestFit="1"/>
    <col min="63" max="63" style="171" width="13.147857142857141" customWidth="1" bestFit="1"/>
    <col min="64" max="64" style="21" width="12.005" customWidth="1" bestFit="1"/>
    <col min="65" max="65" style="21" width="15.147857142857141" customWidth="1" bestFit="1"/>
    <col min="66" max="66" style="21" width="12.862142857142858" customWidth="1" bestFit="1"/>
    <col min="67" max="67" style="248" width="12.43357142857143" customWidth="1" bestFit="1"/>
    <col min="68" max="68" style="22" width="12.43357142857143" customWidth="1" bestFit="1"/>
    <col min="69" max="69" style="22" width="12.43357142857143" customWidth="1" bestFit="1"/>
    <col min="70" max="70" style="22" width="12.43357142857143" customWidth="1" bestFit="1"/>
    <col min="71" max="71" style="22" width="12.43357142857143" customWidth="1" bestFit="1"/>
    <col min="72" max="72" style="22" width="12.43357142857143" customWidth="1" bestFit="1"/>
    <col min="73" max="73" style="22" width="12.43357142857143" customWidth="1" bestFit="1"/>
    <col min="74" max="74" style="22" width="12.43357142857143" customWidth="1" bestFit="1"/>
  </cols>
  <sheetData>
    <row x14ac:dyDescent="0.25" r="1" customHeight="1" ht="16">
      <c r="A1" s="381" t="s">
        <v>62</v>
      </c>
      <c r="B1" s="382">
        <v>0.03</v>
      </c>
      <c r="C1" s="174" t="s">
        <v>62</v>
      </c>
      <c r="D1" s="174" t="s">
        <v>62</v>
      </c>
      <c r="E1" s="174" t="s">
        <v>62</v>
      </c>
      <c r="F1" s="174" t="s">
        <v>62</v>
      </c>
      <c r="G1" s="383"/>
      <c r="H1" s="384" t="s">
        <v>62</v>
      </c>
      <c r="I1" s="384" t="s">
        <v>62</v>
      </c>
      <c r="J1" s="174" t="s">
        <v>62</v>
      </c>
      <c r="K1" s="385" t="s">
        <v>62</v>
      </c>
      <c r="L1" s="174" t="s">
        <v>62</v>
      </c>
      <c r="M1" s="174" t="s">
        <v>62</v>
      </c>
      <c r="N1" s="383" t="s">
        <v>62</v>
      </c>
      <c r="O1" s="383" t="s">
        <v>62</v>
      </c>
      <c r="P1" s="174" t="s">
        <v>62</v>
      </c>
      <c r="Q1" s="385" t="s">
        <v>62</v>
      </c>
      <c r="R1" s="174" t="s">
        <v>62</v>
      </c>
      <c r="S1" s="174" t="s">
        <v>62</v>
      </c>
      <c r="T1" s="174" t="s">
        <v>62</v>
      </c>
      <c r="U1" s="174" t="s">
        <v>62</v>
      </c>
      <c r="V1" s="174" t="s">
        <v>62</v>
      </c>
      <c r="W1" s="174" t="s">
        <v>62</v>
      </c>
      <c r="X1" s="174" t="s">
        <v>62</v>
      </c>
      <c r="Y1" s="174" t="s">
        <v>62</v>
      </c>
      <c r="Z1" s="174" t="s">
        <v>62</v>
      </c>
      <c r="AA1" s="174" t="s">
        <v>62</v>
      </c>
      <c r="AB1" s="174" t="s">
        <v>62</v>
      </c>
      <c r="AC1" s="174" t="s">
        <v>62</v>
      </c>
      <c r="AD1" s="174" t="s">
        <v>62</v>
      </c>
      <c r="AE1" s="174" t="s">
        <v>62</v>
      </c>
      <c r="AF1" s="174" t="s">
        <v>62</v>
      </c>
      <c r="AG1" s="174" t="s">
        <v>62</v>
      </c>
      <c r="AH1" s="174" t="s">
        <v>62</v>
      </c>
      <c r="AI1" s="174" t="s">
        <v>62</v>
      </c>
      <c r="AJ1" s="174" t="s">
        <v>62</v>
      </c>
      <c r="AK1" s="174" t="s">
        <v>62</v>
      </c>
      <c r="AL1" s="174" t="s">
        <v>62</v>
      </c>
      <c r="AM1" s="174" t="s">
        <v>62</v>
      </c>
      <c r="AN1" s="174" t="s">
        <v>62</v>
      </c>
      <c r="AO1" s="174" t="s">
        <v>62</v>
      </c>
      <c r="AP1" s="384" t="s">
        <v>62</v>
      </c>
      <c r="AQ1" s="384" t="s">
        <v>62</v>
      </c>
      <c r="AR1" s="384" t="s">
        <v>62</v>
      </c>
      <c r="AS1" s="384" t="s">
        <v>62</v>
      </c>
      <c r="AT1" s="384" t="s">
        <v>62</v>
      </c>
      <c r="AU1" s="384" t="s">
        <v>62</v>
      </c>
      <c r="AV1" s="384" t="s">
        <v>62</v>
      </c>
      <c r="AW1" s="384" t="s">
        <v>62</v>
      </c>
      <c r="AX1" s="384" t="s">
        <v>62</v>
      </c>
      <c r="AY1" s="384" t="s">
        <v>62</v>
      </c>
      <c r="AZ1" s="384" t="s">
        <v>62</v>
      </c>
      <c r="BA1" s="383"/>
      <c r="BB1" s="383"/>
      <c r="BC1" s="383"/>
      <c r="BD1" s="383"/>
      <c r="BE1" s="383"/>
      <c r="BF1" s="174" t="s">
        <v>62</v>
      </c>
      <c r="BG1" s="174" t="s">
        <v>62</v>
      </c>
      <c r="BH1" s="174" t="s">
        <v>62</v>
      </c>
      <c r="BI1" s="174" t="s">
        <v>62</v>
      </c>
      <c r="BJ1" s="174" t="s">
        <v>62</v>
      </c>
      <c r="BK1" s="383"/>
      <c r="BL1" s="174" t="s">
        <v>62</v>
      </c>
      <c r="BM1" s="174" t="s">
        <v>62</v>
      </c>
      <c r="BN1" s="174" t="s">
        <v>62</v>
      </c>
      <c r="BO1" s="381" t="s">
        <v>62</v>
      </c>
      <c r="BP1" s="175" t="s">
        <v>62</v>
      </c>
      <c r="BQ1" s="175" t="s">
        <v>62</v>
      </c>
      <c r="BR1" s="175" t="s">
        <v>62</v>
      </c>
      <c r="BS1" s="175" t="s">
        <v>62</v>
      </c>
      <c r="BT1" s="175" t="s">
        <v>62</v>
      </c>
      <c r="BU1" s="175" t="s">
        <v>62</v>
      </c>
      <c r="BV1" s="175" t="s">
        <v>62</v>
      </c>
    </row>
    <row x14ac:dyDescent="0.25" r="2" customHeight="1" ht="85.5" customFormat="1" s="6">
      <c r="A2" s="189" t="s">
        <v>65</v>
      </c>
      <c r="B2" s="190" t="s">
        <v>66</v>
      </c>
      <c r="C2" s="191" t="s">
        <v>67</v>
      </c>
      <c r="D2" s="191" t="s">
        <v>369</v>
      </c>
      <c r="E2" s="191" t="s">
        <v>69</v>
      </c>
      <c r="F2" s="191" t="s">
        <v>70</v>
      </c>
      <c r="G2" s="192" t="s">
        <v>71</v>
      </c>
      <c r="H2" s="193" t="s">
        <v>72</v>
      </c>
      <c r="I2" s="193" t="s">
        <v>73</v>
      </c>
      <c r="J2" s="194" t="s">
        <v>74</v>
      </c>
      <c r="K2" s="195" t="s">
        <v>75</v>
      </c>
      <c r="L2" s="194" t="s">
        <v>73</v>
      </c>
      <c r="M2" s="194" t="s">
        <v>76</v>
      </c>
      <c r="N2" s="192" t="s">
        <v>77</v>
      </c>
      <c r="O2" s="192" t="s">
        <v>78</v>
      </c>
      <c r="P2" s="196" t="s">
        <v>79</v>
      </c>
      <c r="Q2" s="195" t="s">
        <v>80</v>
      </c>
      <c r="R2" s="197" t="s">
        <v>81</v>
      </c>
      <c r="S2" s="197" t="s">
        <v>82</v>
      </c>
      <c r="T2" s="198" t="s">
        <v>83</v>
      </c>
      <c r="U2" s="198" t="s">
        <v>84</v>
      </c>
      <c r="V2" s="199" t="s">
        <v>85</v>
      </c>
      <c r="W2" s="199" t="s">
        <v>86</v>
      </c>
      <c r="X2" s="198" t="s">
        <v>87</v>
      </c>
      <c r="Y2" s="198" t="s">
        <v>88</v>
      </c>
      <c r="Z2" s="198" t="s">
        <v>89</v>
      </c>
      <c r="AA2" s="198" t="s">
        <v>90</v>
      </c>
      <c r="AB2" s="199" t="s">
        <v>91</v>
      </c>
      <c r="AC2" s="199" t="s">
        <v>92</v>
      </c>
      <c r="AD2" s="199" t="s">
        <v>93</v>
      </c>
      <c r="AE2" s="199" t="s">
        <v>94</v>
      </c>
      <c r="AF2" s="386" t="s">
        <v>809</v>
      </c>
      <c r="AG2" s="387" t="s">
        <v>96</v>
      </c>
      <c r="AH2" s="388" t="s">
        <v>97</v>
      </c>
      <c r="AI2" s="388" t="s">
        <v>98</v>
      </c>
      <c r="AJ2" s="388" t="s">
        <v>99</v>
      </c>
      <c r="AK2" s="388" t="s">
        <v>100</v>
      </c>
      <c r="AL2" s="388" t="s">
        <v>101</v>
      </c>
      <c r="AM2" s="388" t="s">
        <v>102</v>
      </c>
      <c r="AN2" s="388" t="s">
        <v>103</v>
      </c>
      <c r="AO2" s="388" t="s">
        <v>104</v>
      </c>
      <c r="AP2" s="200" t="s">
        <v>105</v>
      </c>
      <c r="AQ2" s="200" t="s">
        <v>106</v>
      </c>
      <c r="AR2" s="200" t="s">
        <v>107</v>
      </c>
      <c r="AS2" s="200" t="s">
        <v>108</v>
      </c>
      <c r="AT2" s="200" t="s">
        <v>109</v>
      </c>
      <c r="AU2" s="200" t="s">
        <v>110</v>
      </c>
      <c r="AV2" s="200" t="s">
        <v>111</v>
      </c>
      <c r="AW2" s="200" t="s">
        <v>112</v>
      </c>
      <c r="AX2" s="200" t="s">
        <v>113</v>
      </c>
      <c r="AY2" s="200" t="s">
        <v>114</v>
      </c>
      <c r="AZ2" s="200" t="s">
        <v>115</v>
      </c>
      <c r="BA2" s="200" t="s">
        <v>116</v>
      </c>
      <c r="BB2" s="389" t="s">
        <v>117</v>
      </c>
      <c r="BC2" s="270" t="s">
        <v>355</v>
      </c>
      <c r="BD2" s="270" t="s">
        <v>356</v>
      </c>
      <c r="BE2" s="270" t="s">
        <v>357</v>
      </c>
      <c r="BF2" s="199" t="s">
        <v>119</v>
      </c>
      <c r="BG2" s="199" t="s">
        <v>630</v>
      </c>
      <c r="BH2" s="199" t="s">
        <v>121</v>
      </c>
      <c r="BI2" s="199" t="s">
        <v>122</v>
      </c>
      <c r="BJ2" s="199" t="s">
        <v>123</v>
      </c>
      <c r="BK2" s="363" t="s">
        <v>124</v>
      </c>
      <c r="BL2" s="199" t="s">
        <v>631</v>
      </c>
      <c r="BM2" s="175" t="s">
        <v>126</v>
      </c>
      <c r="BN2" s="175" t="s">
        <v>127</v>
      </c>
      <c r="BO2" s="390"/>
      <c r="BP2" s="4"/>
      <c r="BQ2" s="4"/>
      <c r="BR2" s="4"/>
      <c r="BS2" s="4"/>
      <c r="BT2" s="4"/>
      <c r="BU2" s="4"/>
      <c r="BV2" s="4"/>
    </row>
    <row x14ac:dyDescent="0.25" r="3" customHeight="1" ht="16">
      <c r="A3" s="223">
        <v>25568.79196759259</v>
      </c>
      <c r="B3" s="224" t="s">
        <v>810</v>
      </c>
      <c r="C3" s="225" t="s">
        <v>811</v>
      </c>
      <c r="D3" s="226" t="s">
        <v>812</v>
      </c>
      <c r="E3" s="226" t="s">
        <v>554</v>
      </c>
      <c r="F3" s="226" t="s">
        <v>784</v>
      </c>
      <c r="G3" s="245">
        <v>535</v>
      </c>
      <c r="H3" s="228">
        <v>1.349</v>
      </c>
      <c r="I3" s="229">
        <v>0.11</v>
      </c>
      <c r="J3" s="391">
        <f>H3+I3</f>
      </c>
      <c r="K3" s="231">
        <v>30000</v>
      </c>
      <c r="L3" s="232">
        <f>K3*I3</f>
      </c>
      <c r="M3" s="232">
        <f>K3*J3</f>
      </c>
      <c r="N3" s="233">
        <v>100</v>
      </c>
      <c r="O3" s="233"/>
      <c r="P3" s="234">
        <f>IF(ISBLANK(N3),O3/4.3,N3/20)</f>
      </c>
      <c r="Q3" s="231">
        <v>3000</v>
      </c>
      <c r="R3" s="231"/>
      <c r="S3" s="246" t="s">
        <v>82</v>
      </c>
      <c r="T3" s="239">
        <f>IF(ISBLANK(R3),0,X3)</f>
      </c>
      <c r="U3" s="239">
        <f>IF(ISBLANK(S3),0,X3)</f>
      </c>
      <c r="V3" s="238">
        <f>IFERROR(Q3/K3,0)</f>
      </c>
      <c r="W3" s="232">
        <f>IFERROR(L3*V3,0)</f>
      </c>
      <c r="X3" s="239">
        <f>IFERROR(Q3+W3,0)</f>
      </c>
      <c r="Y3" s="239">
        <f>IFERROR(M3*V3,0)</f>
      </c>
      <c r="Z3" s="239">
        <f>Y3-(Y3*$B$1)</f>
      </c>
      <c r="AA3" s="240">
        <f>IFERROR(Z3/X3,"")</f>
      </c>
      <c r="AB3" s="241">
        <f>IFERROR(IF(ISBLANK(N3),Y3/O3,Y3/N3),0)</f>
      </c>
      <c r="AC3" s="241">
        <f>IFERROR(-1*(AB3*B$1),0)</f>
      </c>
      <c r="AD3" s="241">
        <f>IFERROR(SUM(AB3:AC3),0)</f>
      </c>
      <c r="AE3" s="241">
        <f>IF(ISBLANK(N3),AD3,AD3*5)</f>
      </c>
      <c r="AF3" s="392">
        <f>SUM(AG3:BE3)</f>
      </c>
      <c r="AG3" s="393"/>
      <c r="AH3" s="393"/>
      <c r="AI3" s="393"/>
      <c r="AJ3" s="393"/>
      <c r="AK3" s="393"/>
      <c r="AL3" s="393"/>
      <c r="AM3" s="393"/>
      <c r="AN3" s="393"/>
      <c r="AO3" s="393"/>
      <c r="AP3" s="394">
        <v>637.35</v>
      </c>
      <c r="AQ3" s="243">
        <v>297.43</v>
      </c>
      <c r="AR3" s="394">
        <v>297.43</v>
      </c>
      <c r="AS3" s="243">
        <v>84.98</v>
      </c>
      <c r="AT3" s="394">
        <v>245.23</v>
      </c>
      <c r="AU3" s="394">
        <v>212.45</v>
      </c>
      <c r="AV3" s="394">
        <v>212.45</v>
      </c>
      <c r="AW3" s="394">
        <v>169.96</v>
      </c>
      <c r="AX3" s="394">
        <v>253.97</v>
      </c>
      <c r="AY3" s="394">
        <v>127.47</v>
      </c>
      <c r="AZ3" s="394">
        <v>1707.22</v>
      </c>
      <c r="BA3" s="395"/>
      <c r="BB3" s="396"/>
      <c r="BC3" s="397"/>
      <c r="BD3" s="397"/>
      <c r="BE3" s="397"/>
      <c r="BF3" s="215">
        <f>Z3-AF3</f>
      </c>
      <c r="BG3" s="238">
        <f>IFERROR(AF3/Z3,0)</f>
      </c>
      <c r="BH3" s="214">
        <f>IFERROR(AF3/X3,0)</f>
      </c>
      <c r="BI3" s="238">
        <f>IFERROR(X3/SUM(X$3:X$3),0)</f>
      </c>
      <c r="BJ3" s="238">
        <f>IFERROR(BF3/SUM(BF$3:BF200),0)</f>
      </c>
      <c r="BK3" s="217">
        <f>BF3/'R&amp;H Portfolio'!Q$10</f>
      </c>
      <c r="BL3" s="241">
        <f>BI3*P3</f>
      </c>
      <c r="BM3" s="218"/>
      <c r="BN3" s="219">
        <f>IF(BM3="YES", BF3, "")</f>
      </c>
      <c r="BO3" s="17"/>
      <c r="BP3" s="4"/>
      <c r="BQ3" s="4"/>
      <c r="BR3" s="4"/>
      <c r="BS3" s="4"/>
      <c r="BT3" s="4"/>
      <c r="BU3" s="4"/>
      <c r="BV3" s="4"/>
    </row>
    <row x14ac:dyDescent="0.25" r="4" customHeight="1" ht="16">
      <c r="A4" s="202">
        <v>25568.79196759259</v>
      </c>
      <c r="B4" s="203" t="s">
        <v>813</v>
      </c>
      <c r="C4" s="204" t="s">
        <v>814</v>
      </c>
      <c r="D4" s="70" t="s">
        <v>815</v>
      </c>
      <c r="E4" s="70" t="s">
        <v>406</v>
      </c>
      <c r="F4" s="70" t="s">
        <v>175</v>
      </c>
      <c r="G4" s="205">
        <v>642</v>
      </c>
      <c r="H4" s="206">
        <v>1.349</v>
      </c>
      <c r="I4" s="207">
        <v>0.15</v>
      </c>
      <c r="J4" s="398">
        <f>H4+I4</f>
      </c>
      <c r="K4" s="209">
        <v>20000</v>
      </c>
      <c r="L4" s="58">
        <f>K4*I4</f>
      </c>
      <c r="M4" s="58">
        <f>K4*J4</f>
      </c>
      <c r="N4" s="210">
        <v>90</v>
      </c>
      <c r="O4" s="16"/>
      <c r="P4" s="211">
        <f>IF(ISBLANK(N4),O4/4.3,N4/20)</f>
      </c>
      <c r="Q4" s="209">
        <v>2000</v>
      </c>
      <c r="R4" s="212" t="s">
        <v>816</v>
      </c>
      <c r="S4" s="3"/>
      <c r="T4" s="213">
        <f>IF(ISBLANK(R4),0,X4)</f>
      </c>
      <c r="U4" s="213">
        <f>IF(ISBLANK(S4),0,X4)</f>
      </c>
      <c r="V4" s="214">
        <f>IFERROR(Q4/K4,0)</f>
      </c>
      <c r="W4" s="58">
        <f>IFERROR(L4*V4,0)</f>
      </c>
      <c r="X4" s="213">
        <f>IFERROR(Q4+W4,0)</f>
      </c>
      <c r="Y4" s="213">
        <f>IFERROR(M4*V4,0)</f>
      </c>
      <c r="Z4" s="213">
        <f>Y4-(Y4*$B$1)</f>
      </c>
      <c r="AA4" s="67">
        <f>IFERROR(Z4/X4,"")</f>
      </c>
      <c r="AB4" s="215">
        <f>IFERROR(IF(ISBLANK(N4),Y4/O4,Y4/N4),0)</f>
      </c>
      <c r="AC4" s="215">
        <f>IFERROR(-1*(AB4*B$1),0)</f>
      </c>
      <c r="AD4" s="215">
        <f>IFERROR(SUM(AB4:AC4),0)</f>
      </c>
      <c r="AE4" s="215">
        <f>IF(ISBLANK(N4),AD4,AD4*5)</f>
      </c>
      <c r="AF4" s="399">
        <f>SUM(AG4:BE4)</f>
      </c>
      <c r="AG4" s="400"/>
      <c r="AH4" s="400"/>
      <c r="AI4" s="400"/>
      <c r="AJ4" s="400"/>
      <c r="AK4" s="400"/>
      <c r="AL4" s="400"/>
      <c r="AM4" s="400"/>
      <c r="AN4" s="400"/>
      <c r="AO4" s="400"/>
      <c r="AP4" s="338">
        <v>32.4</v>
      </c>
      <c r="AQ4" s="338">
        <v>226.8</v>
      </c>
      <c r="AR4" s="338">
        <v>226.8</v>
      </c>
      <c r="AS4" s="338">
        <v>129.6</v>
      </c>
      <c r="AT4" s="338">
        <v>129.6</v>
      </c>
      <c r="AU4" s="401">
        <v>162</v>
      </c>
      <c r="AV4" s="401">
        <v>162</v>
      </c>
      <c r="AW4" s="401">
        <v>162</v>
      </c>
      <c r="AX4" s="401">
        <v>162</v>
      </c>
      <c r="AY4" s="338">
        <v>129.6</v>
      </c>
      <c r="AZ4" s="401">
        <v>162</v>
      </c>
      <c r="BA4" s="338">
        <v>129.6</v>
      </c>
      <c r="BB4" s="402">
        <v>162</v>
      </c>
      <c r="BC4" s="403"/>
      <c r="BD4" s="403"/>
      <c r="BE4" s="403"/>
      <c r="BF4" s="215">
        <f>Z4-AF4</f>
      </c>
      <c r="BG4" s="214">
        <f>IFERROR(AF4/Z4,0)</f>
      </c>
      <c r="BH4" s="214">
        <f>IFERROR(AF4/X4,0)</f>
      </c>
      <c r="BI4" s="238">
        <f>IFERROR(X4/SUM(X$4:X$20),0)</f>
      </c>
      <c r="BJ4" s="238">
        <f>IFERROR(BF4/SUM(BF$3:BF201),0)</f>
      </c>
      <c r="BK4" s="217">
        <f>BF4/'R&amp;H Portfolio'!Q$10</f>
      </c>
      <c r="BL4" s="215">
        <f>BI4*P4</f>
      </c>
      <c r="BM4" s="73"/>
      <c r="BN4" s="220">
        <f>IF(BM4="YES", BF4, "")</f>
      </c>
      <c r="BO4" s="17"/>
      <c r="BP4" s="4"/>
      <c r="BQ4" s="4"/>
      <c r="BR4" s="4"/>
      <c r="BS4" s="4"/>
      <c r="BT4" s="4"/>
      <c r="BU4" s="4"/>
      <c r="BV4" s="4"/>
    </row>
    <row x14ac:dyDescent="0.25" r="5" customHeight="1" ht="16">
      <c r="A5" s="202">
        <v>25568.79196759259</v>
      </c>
      <c r="B5" s="203" t="s">
        <v>817</v>
      </c>
      <c r="C5" s="204" t="s">
        <v>818</v>
      </c>
      <c r="D5" s="70" t="s">
        <v>819</v>
      </c>
      <c r="E5" s="70" t="s">
        <v>144</v>
      </c>
      <c r="F5" s="70" t="s">
        <v>235</v>
      </c>
      <c r="G5" s="205">
        <v>616</v>
      </c>
      <c r="H5" s="206">
        <v>1.349</v>
      </c>
      <c r="I5" s="207">
        <v>0.15</v>
      </c>
      <c r="J5" s="398">
        <f>H5+I5</f>
      </c>
      <c r="K5" s="209">
        <v>33000</v>
      </c>
      <c r="L5" s="58">
        <f>K5*I5</f>
      </c>
      <c r="M5" s="58">
        <f>K5*J5</f>
      </c>
      <c r="N5" s="210">
        <v>125</v>
      </c>
      <c r="O5" s="16"/>
      <c r="P5" s="211">
        <f>IF(ISBLANK(N5),O5/4.3,N5/20)</f>
      </c>
      <c r="Q5" s="209">
        <v>3300</v>
      </c>
      <c r="R5" s="212" t="s">
        <v>133</v>
      </c>
      <c r="S5" s="3"/>
      <c r="T5" s="213">
        <f>IF(ISBLANK(R5),0,X5)</f>
      </c>
      <c r="U5" s="213">
        <f>IF(ISBLANK(S5),0,X5)</f>
      </c>
      <c r="V5" s="214">
        <f>IFERROR(Q5/K5,0)</f>
      </c>
      <c r="W5" s="58">
        <f>IFERROR(L5*V5,0)</f>
      </c>
      <c r="X5" s="213">
        <f>IFERROR(Q5+W5,0)</f>
      </c>
      <c r="Y5" s="213">
        <f>IFERROR(M5*V5,0)</f>
      </c>
      <c r="Z5" s="213">
        <f>Y5-(Y5*$B$1)</f>
      </c>
      <c r="AA5" s="67">
        <f>IFERROR(Z5/X5,"")</f>
      </c>
      <c r="AB5" s="215">
        <f>IFERROR(IF(ISBLANK(N5),Y5/O5,Y5/N5),0)</f>
      </c>
      <c r="AC5" s="215">
        <f>IFERROR(-1*(AB5*B$1),0)</f>
      </c>
      <c r="AD5" s="215">
        <f>IFERROR(SUM(AB5:AC5),0)</f>
      </c>
      <c r="AE5" s="215">
        <f>IF(ISBLANK(N5),AD5,AD5*5)</f>
      </c>
      <c r="AF5" s="399">
        <f>SUM(AG5:BE5)</f>
      </c>
      <c r="AG5" s="400"/>
      <c r="AH5" s="400"/>
      <c r="AI5" s="400"/>
      <c r="AJ5" s="400"/>
      <c r="AK5" s="400"/>
      <c r="AL5" s="400"/>
      <c r="AM5" s="400"/>
      <c r="AN5" s="400"/>
      <c r="AO5" s="400"/>
      <c r="AP5" s="338"/>
      <c r="AQ5" s="338">
        <v>268.87</v>
      </c>
      <c r="AR5" s="338">
        <v>268.87</v>
      </c>
      <c r="AS5" s="338">
        <v>153.64</v>
      </c>
      <c r="AT5" s="338">
        <v>153.64</v>
      </c>
      <c r="AU5" s="338">
        <v>192.05</v>
      </c>
      <c r="AV5" s="338">
        <v>192.05</v>
      </c>
      <c r="AW5" s="338">
        <v>192.05</v>
      </c>
      <c r="AX5" s="338">
        <v>192.05</v>
      </c>
      <c r="AY5" s="338">
        <v>153.64</v>
      </c>
      <c r="AZ5" s="338">
        <v>192.05</v>
      </c>
      <c r="BA5" s="338">
        <v>153.64</v>
      </c>
      <c r="BB5" s="402">
        <v>192.05</v>
      </c>
      <c r="BC5" s="403"/>
      <c r="BD5" s="403"/>
      <c r="BE5" s="403"/>
      <c r="BF5" s="215">
        <f>Z5-AF5</f>
      </c>
      <c r="BG5" s="214">
        <f>IFERROR(AF5/Z5,0)</f>
      </c>
      <c r="BH5" s="214">
        <f>IFERROR(AF5/X5,0)</f>
      </c>
      <c r="BI5" s="238">
        <f>IFERROR(X5/SUM(X$4:X$20),0)</f>
      </c>
      <c r="BJ5" s="238">
        <f>IFERROR(BF5/SUM(BF$3:BF202),0)</f>
      </c>
      <c r="BK5" s="217">
        <f>BF5/'R&amp;H Portfolio'!Q$10</f>
      </c>
      <c r="BL5" s="215">
        <f>BI5*P5</f>
      </c>
      <c r="BM5" s="73"/>
      <c r="BN5" s="220">
        <f>IF(BM5="YES", BF5, "")</f>
      </c>
      <c r="BO5" s="17"/>
      <c r="BP5" s="4"/>
      <c r="BQ5" s="4"/>
      <c r="BR5" s="4"/>
      <c r="BS5" s="4"/>
      <c r="BT5" s="4"/>
      <c r="BU5" s="4"/>
      <c r="BV5" s="4"/>
    </row>
    <row x14ac:dyDescent="0.25" r="6" customHeight="1" ht="16">
      <c r="A6" s="202">
        <v>25568.79196759259</v>
      </c>
      <c r="B6" s="203" t="s">
        <v>820</v>
      </c>
      <c r="C6" s="204" t="s">
        <v>821</v>
      </c>
      <c r="D6" s="70" t="s">
        <v>822</v>
      </c>
      <c r="E6" s="70" t="s">
        <v>823</v>
      </c>
      <c r="F6" s="70" t="s">
        <v>160</v>
      </c>
      <c r="G6" s="205">
        <v>551</v>
      </c>
      <c r="H6" s="206">
        <v>1.349</v>
      </c>
      <c r="I6" s="207">
        <v>0.15</v>
      </c>
      <c r="J6" s="398">
        <f>H6+I6</f>
      </c>
      <c r="K6" s="209">
        <v>30000</v>
      </c>
      <c r="L6" s="58">
        <f>K6*I6</f>
      </c>
      <c r="M6" s="58">
        <f>K6*J6</f>
      </c>
      <c r="N6" s="210">
        <v>90</v>
      </c>
      <c r="O6" s="16"/>
      <c r="P6" s="211">
        <f>IF(ISBLANK(N6),O6/4.3,N6/20)</f>
      </c>
      <c r="Q6" s="209">
        <v>3000</v>
      </c>
      <c r="R6" s="3"/>
      <c r="S6" s="212" t="s">
        <v>82</v>
      </c>
      <c r="T6" s="213">
        <f>IF(ISBLANK(R6),0,X6)</f>
      </c>
      <c r="U6" s="213">
        <f>IF(ISBLANK(S6),0,X6)</f>
      </c>
      <c r="V6" s="214">
        <f>IFERROR(Q6/K6,0)</f>
      </c>
      <c r="W6" s="58">
        <f>IFERROR(L6*V6,0)</f>
      </c>
      <c r="X6" s="213">
        <f>IFERROR(Q6+W6,0)</f>
      </c>
      <c r="Y6" s="213">
        <f>IFERROR(M6*V6,0)</f>
      </c>
      <c r="Z6" s="213">
        <f>Y6-(Y6*$B$1)</f>
      </c>
      <c r="AA6" s="67">
        <f>IFERROR(Z6/X6,"")</f>
      </c>
      <c r="AB6" s="215">
        <f>IFERROR(IF(ISBLANK(N6),Y6/O6,Y6/N6),0)</f>
      </c>
      <c r="AC6" s="215">
        <f>IFERROR(-1*(AB6*B$1),0)</f>
      </c>
      <c r="AD6" s="215">
        <f>IFERROR(SUM(AB6:AC6),0)</f>
      </c>
      <c r="AE6" s="215">
        <f>IF(ISBLANK(N6),AD6,AD6*5)</f>
      </c>
      <c r="AF6" s="399">
        <f>SUM(AG6:BE6)</f>
      </c>
      <c r="AG6" s="400"/>
      <c r="AH6" s="400"/>
      <c r="AI6" s="400"/>
      <c r="AJ6" s="400"/>
      <c r="AK6" s="400"/>
      <c r="AL6" s="400"/>
      <c r="AM6" s="400"/>
      <c r="AN6" s="400"/>
      <c r="AO6" s="400"/>
      <c r="AP6" s="338"/>
      <c r="AQ6" s="401">
        <v>291</v>
      </c>
      <c r="AR6" s="338">
        <v>339.5</v>
      </c>
      <c r="AS6" s="401">
        <v>194</v>
      </c>
      <c r="AT6" s="401">
        <v>194</v>
      </c>
      <c r="AU6" s="338">
        <v>242.5</v>
      </c>
      <c r="AV6" s="338">
        <v>242.5</v>
      </c>
      <c r="AW6" s="338">
        <v>242.5</v>
      </c>
      <c r="AX6" s="338">
        <v>242.5</v>
      </c>
      <c r="AY6" s="401">
        <v>194</v>
      </c>
      <c r="AZ6" s="338">
        <v>242.5</v>
      </c>
      <c r="BA6" s="338">
        <v>121.25</v>
      </c>
      <c r="BB6" s="402">
        <v>48.5</v>
      </c>
      <c r="BC6" s="403"/>
      <c r="BD6" s="403"/>
      <c r="BE6" s="403"/>
      <c r="BF6" s="215">
        <f>Z6-AF6</f>
      </c>
      <c r="BG6" s="214">
        <f>IFERROR(AF6/Z6,0)</f>
      </c>
      <c r="BH6" s="214">
        <f>IFERROR(AF6/X6,0)</f>
      </c>
      <c r="BI6" s="238">
        <f>IFERROR(X6/SUM(X$4:X$20),0)</f>
      </c>
      <c r="BJ6" s="238">
        <f>IFERROR(BF6/SUM(BF$3:BF203),0)</f>
      </c>
      <c r="BK6" s="217">
        <f>BF6/'R&amp;H Portfolio'!Q$10</f>
      </c>
      <c r="BL6" s="215">
        <f>BI6*P6</f>
      </c>
      <c r="BM6" s="73"/>
      <c r="BN6" s="220">
        <f>IF(BM6="YES", BF6, "")</f>
      </c>
      <c r="BO6" s="17"/>
      <c r="BP6" s="4"/>
      <c r="BQ6" s="4"/>
      <c r="BR6" s="4"/>
      <c r="BS6" s="4"/>
      <c r="BT6" s="4"/>
      <c r="BU6" s="4"/>
      <c r="BV6" s="4"/>
    </row>
    <row x14ac:dyDescent="0.25" r="7" customHeight="1" ht="16">
      <c r="A7" s="202">
        <v>25568.79196759259</v>
      </c>
      <c r="B7" s="203" t="s">
        <v>824</v>
      </c>
      <c r="C7" s="204" t="s">
        <v>825</v>
      </c>
      <c r="D7" s="70" t="s">
        <v>826</v>
      </c>
      <c r="E7" s="70" t="s">
        <v>144</v>
      </c>
      <c r="F7" s="70" t="s">
        <v>226</v>
      </c>
      <c r="G7" s="205">
        <v>653</v>
      </c>
      <c r="H7" s="206">
        <v>1.32</v>
      </c>
      <c r="I7" s="207">
        <v>0.15</v>
      </c>
      <c r="J7" s="398">
        <f>H7+I7</f>
      </c>
      <c r="K7" s="209">
        <v>25000</v>
      </c>
      <c r="L7" s="58">
        <f>K7*I7</f>
      </c>
      <c r="M7" s="58">
        <f>K7*J7</f>
      </c>
      <c r="N7" s="210">
        <v>70</v>
      </c>
      <c r="O7" s="16"/>
      <c r="P7" s="211">
        <f>IF(ISBLANK(N7),O7/4.3,N7/20)</f>
      </c>
      <c r="Q7" s="209">
        <v>2500</v>
      </c>
      <c r="R7" s="212" t="s">
        <v>133</v>
      </c>
      <c r="S7" s="3"/>
      <c r="T7" s="213">
        <f>IF(ISBLANK(R7),0,X7)</f>
      </c>
      <c r="U7" s="213">
        <f>IF(ISBLANK(S7),0,X7)</f>
      </c>
      <c r="V7" s="214">
        <f>IFERROR(Q7/K7,0)</f>
      </c>
      <c r="W7" s="58">
        <f>IFERROR(L7*V7,0)</f>
      </c>
      <c r="X7" s="213">
        <f>IFERROR(Q7+W7,0)</f>
      </c>
      <c r="Y7" s="213">
        <f>IFERROR(M7*V7,0)</f>
      </c>
      <c r="Z7" s="213">
        <f>Y7-(Y7*$B$1)</f>
      </c>
      <c r="AA7" s="67">
        <f>IFERROR(Z7/X7,"")</f>
      </c>
      <c r="AB7" s="215">
        <f>IFERROR(IF(ISBLANK(N7),Y7/O7,Y7/N7),0)</f>
      </c>
      <c r="AC7" s="215">
        <f>IFERROR(-1*(AB7*B$1),0)</f>
      </c>
      <c r="AD7" s="215">
        <f>IFERROR(SUM(AB7:AC7),0)</f>
      </c>
      <c r="AE7" s="215">
        <f>IF(ISBLANK(N7),AD7,AD7*5)</f>
      </c>
      <c r="AF7" s="399">
        <f>SUM(AG7:BE7)</f>
      </c>
      <c r="AG7" s="400"/>
      <c r="AH7" s="400"/>
      <c r="AI7" s="400"/>
      <c r="AJ7" s="400"/>
      <c r="AK7" s="400"/>
      <c r="AL7" s="400"/>
      <c r="AM7" s="400"/>
      <c r="AN7" s="400"/>
      <c r="AO7" s="400"/>
      <c r="AP7" s="338"/>
      <c r="AQ7" s="338">
        <v>254.6</v>
      </c>
      <c r="AR7" s="338">
        <v>356.44</v>
      </c>
      <c r="AS7" s="338">
        <v>203.68</v>
      </c>
      <c r="AT7" s="338">
        <v>203.68</v>
      </c>
      <c r="AU7" s="338">
        <v>254.6</v>
      </c>
      <c r="AV7" s="338">
        <v>208.34</v>
      </c>
      <c r="AW7" s="338">
        <v>203.68</v>
      </c>
      <c r="AX7" s="338">
        <v>194.18</v>
      </c>
      <c r="AY7" s="338">
        <v>102.04</v>
      </c>
      <c r="AZ7" s="338">
        <v>127.55</v>
      </c>
      <c r="BA7" s="338">
        <v>203.68</v>
      </c>
      <c r="BB7" s="402">
        <v>254.6</v>
      </c>
      <c r="BC7" s="403"/>
      <c r="BD7" s="403"/>
      <c r="BE7" s="403"/>
      <c r="BF7" s="215">
        <f>Z7-AF7</f>
      </c>
      <c r="BG7" s="214">
        <f>IFERROR(AF7/Z7,0)</f>
      </c>
      <c r="BH7" s="214">
        <f>IFERROR(AF7/X7,0)</f>
      </c>
      <c r="BI7" s="238">
        <f>IFERROR(X7/SUM(X$4:X$20),0)</f>
      </c>
      <c r="BJ7" s="238">
        <f>IFERROR(BF7/SUM(BF$3:BF204),0)</f>
      </c>
      <c r="BK7" s="217">
        <f>BF7/'R&amp;H Portfolio'!Q$10</f>
      </c>
      <c r="BL7" s="215">
        <f>BI7*P7</f>
      </c>
      <c r="BM7" s="73"/>
      <c r="BN7" s="220">
        <f>IF(BM7="YES", BF7, "")</f>
      </c>
      <c r="BO7" s="17"/>
      <c r="BP7" s="4"/>
      <c r="BQ7" s="4"/>
      <c r="BR7" s="4"/>
      <c r="BS7" s="4"/>
      <c r="BT7" s="4"/>
      <c r="BU7" s="4"/>
      <c r="BV7" s="4"/>
    </row>
    <row x14ac:dyDescent="0.25" r="8" customHeight="1" ht="16">
      <c r="A8" s="366">
        <v>25568.79196759259</v>
      </c>
      <c r="B8" s="367" t="s">
        <v>827</v>
      </c>
      <c r="C8" s="368" t="s">
        <v>828</v>
      </c>
      <c r="D8" s="369" t="s">
        <v>829</v>
      </c>
      <c r="E8" s="369" t="s">
        <v>830</v>
      </c>
      <c r="F8" s="369" t="s">
        <v>226</v>
      </c>
      <c r="G8" s="370">
        <v>657</v>
      </c>
      <c r="H8" s="371">
        <v>1.349</v>
      </c>
      <c r="I8" s="372">
        <v>0.15</v>
      </c>
      <c r="J8" s="404">
        <f>H8+I8</f>
      </c>
      <c r="K8" s="73">
        <v>48000</v>
      </c>
      <c r="L8" s="73">
        <f>K8*I8</f>
      </c>
      <c r="M8" s="73">
        <f>K8*J8</f>
      </c>
      <c r="N8" s="374">
        <v>120</v>
      </c>
      <c r="O8" s="374"/>
      <c r="P8" s="375">
        <f>IF(ISBLANK(N8),O8/4.3,N8/20)</f>
      </c>
      <c r="Q8" s="73">
        <v>4800</v>
      </c>
      <c r="R8" s="369" t="s">
        <v>133</v>
      </c>
      <c r="S8" s="73"/>
      <c r="T8" s="73">
        <f>IF(ISBLANK(R8),0,X8)</f>
      </c>
      <c r="U8" s="73">
        <f>IF(ISBLANK(S8),0,X8)</f>
      </c>
      <c r="V8" s="376">
        <f>IFERROR(Q8/K8,0)</f>
      </c>
      <c r="W8" s="73">
        <f>IFERROR(L8*V8,0)</f>
      </c>
      <c r="X8" s="73">
        <f>IFERROR(Q8+W8,0)</f>
      </c>
      <c r="Y8" s="73">
        <f>IFERROR(M8*V8,0)</f>
      </c>
      <c r="Z8" s="73">
        <f>Y8-(Y8*$B$1)</f>
      </c>
      <c r="AA8" s="377">
        <f>IFERROR(Z8/X8,"")</f>
      </c>
      <c r="AB8" s="220">
        <f>IFERROR(IF(ISBLANK(N8),Y8/O8,Y8/N8),0)</f>
      </c>
      <c r="AC8" s="220">
        <f>IFERROR(-1*(AB8*B$1),0)</f>
      </c>
      <c r="AD8" s="220">
        <f>IFERROR(SUM(AB8:AC8),0)</f>
      </c>
      <c r="AE8" s="220">
        <f>IF(ISBLANK(N8),AD8,AD8*5)</f>
      </c>
      <c r="AF8" s="405">
        <f>SUM(AG8:BE8)</f>
      </c>
      <c r="AG8" s="406"/>
      <c r="AH8" s="406"/>
      <c r="AI8" s="406"/>
      <c r="AJ8" s="406"/>
      <c r="AK8" s="406"/>
      <c r="AL8" s="406"/>
      <c r="AM8" s="406"/>
      <c r="AN8" s="406"/>
      <c r="AO8" s="406"/>
      <c r="AP8" s="407"/>
      <c r="AQ8" s="408">
        <v>291</v>
      </c>
      <c r="AR8" s="408">
        <v>291</v>
      </c>
      <c r="AS8" s="407"/>
      <c r="AT8" s="407"/>
      <c r="AU8" s="407"/>
      <c r="AV8" s="407"/>
      <c r="AW8" s="407"/>
      <c r="AX8" s="407"/>
      <c r="AY8" s="407"/>
      <c r="AZ8" s="407"/>
      <c r="BA8" s="407"/>
      <c r="BB8" s="409"/>
      <c r="BC8" s="410"/>
      <c r="BD8" s="410"/>
      <c r="BE8" s="410"/>
      <c r="BF8" s="220">
        <f>Z8-AF8</f>
      </c>
      <c r="BG8" s="376">
        <f>IFERROR(AF8/Z8,0)</f>
      </c>
      <c r="BH8" s="376">
        <f>IFERROR(AF8/X8,0)</f>
      </c>
      <c r="BI8" s="411">
        <f>IFERROR(X8/SUM(X$4:X$20),0)</f>
      </c>
      <c r="BJ8" s="411">
        <f>IFERROR(BF8/SUM(BF$3:BF205),0)</f>
      </c>
      <c r="BK8" s="378">
        <f>BF8/'R&amp;H Portfolio'!Q$10</f>
      </c>
      <c r="BL8" s="220">
        <f>BI8*P8</f>
      </c>
      <c r="BM8" s="369" t="s">
        <v>831</v>
      </c>
      <c r="BN8" s="220">
        <f>IF(BM8="YES", BF8, "")</f>
      </c>
      <c r="BO8" s="366">
        <v>25568.79196759259</v>
      </c>
      <c r="BP8" s="4"/>
      <c r="BQ8" s="4"/>
      <c r="BR8" s="4"/>
      <c r="BS8" s="4"/>
      <c r="BT8" s="4"/>
      <c r="BU8" s="4"/>
      <c r="BV8" s="4"/>
    </row>
    <row x14ac:dyDescent="0.25" r="9" customHeight="1" ht="16">
      <c r="A9" s="202">
        <v>25568.79196759259</v>
      </c>
      <c r="B9" s="203" t="s">
        <v>832</v>
      </c>
      <c r="C9" s="204" t="s">
        <v>833</v>
      </c>
      <c r="D9" s="70" t="s">
        <v>834</v>
      </c>
      <c r="E9" s="70" t="s">
        <v>835</v>
      </c>
      <c r="F9" s="70" t="s">
        <v>132</v>
      </c>
      <c r="G9" s="205">
        <v>653</v>
      </c>
      <c r="H9" s="206">
        <v>1.3</v>
      </c>
      <c r="I9" s="207">
        <v>0.15</v>
      </c>
      <c r="J9" s="398">
        <f>H9+I9</f>
      </c>
      <c r="K9" s="209">
        <v>42500</v>
      </c>
      <c r="L9" s="58">
        <f>K9*I9</f>
      </c>
      <c r="M9" s="58">
        <f>K9*J9</f>
      </c>
      <c r="N9" s="210">
        <v>110</v>
      </c>
      <c r="O9" s="16"/>
      <c r="P9" s="211">
        <f>IF(ISBLANK(N9),O9/4.3,N9/20)</f>
      </c>
      <c r="Q9" s="209">
        <v>4250</v>
      </c>
      <c r="R9" s="212" t="s">
        <v>133</v>
      </c>
      <c r="S9" s="209"/>
      <c r="T9" s="213">
        <f>IF(ISBLANK(R9),0,X9)</f>
      </c>
      <c r="U9" s="213">
        <f>IF(ISBLANK(S9),0,X9)</f>
      </c>
      <c r="V9" s="214">
        <f>IFERROR(Q9/K9,0)</f>
      </c>
      <c r="W9" s="58">
        <f>IFERROR(L9*V9,0)</f>
      </c>
      <c r="X9" s="213">
        <f>IFERROR(Q9+W9,0)</f>
      </c>
      <c r="Y9" s="213">
        <f>IFERROR(M9*V9,0)</f>
      </c>
      <c r="Z9" s="213">
        <f>Y9-(Y9*$B$1)</f>
      </c>
      <c r="AA9" s="67">
        <f>IFERROR(Z9/X9,"")</f>
      </c>
      <c r="AB9" s="215">
        <f>IFERROR(IF(ISBLANK(N9),Y9/O9,Y9/N9),0)</f>
      </c>
      <c r="AC9" s="215">
        <f>IFERROR(-1*(AB9*B$1),0)</f>
      </c>
      <c r="AD9" s="215">
        <f>IFERROR(SUM(AB9:AC9),0)</f>
      </c>
      <c r="AE9" s="215">
        <f>IF(ISBLANK(N9),AD9,AD9*5)</f>
      </c>
      <c r="AF9" s="399">
        <f>SUM(AG9:BE9)</f>
      </c>
      <c r="AG9" s="400"/>
      <c r="AH9" s="400"/>
      <c r="AI9" s="400"/>
      <c r="AJ9" s="400"/>
      <c r="AK9" s="400"/>
      <c r="AL9" s="400"/>
      <c r="AM9" s="400"/>
      <c r="AN9" s="400"/>
      <c r="AO9" s="400"/>
      <c r="AP9" s="338"/>
      <c r="AQ9" s="338">
        <v>272.1</v>
      </c>
      <c r="AR9" s="338">
        <v>380.94</v>
      </c>
      <c r="AS9" s="338">
        <v>217.68</v>
      </c>
      <c r="AT9" s="338">
        <v>217.68</v>
      </c>
      <c r="AU9" s="338">
        <v>272.1</v>
      </c>
      <c r="AV9" s="338">
        <v>272.1</v>
      </c>
      <c r="AW9" s="338">
        <v>272.1</v>
      </c>
      <c r="AX9" s="338">
        <v>272.1</v>
      </c>
      <c r="AY9" s="338">
        <v>217.68</v>
      </c>
      <c r="AZ9" s="338">
        <v>272.1</v>
      </c>
      <c r="BA9" s="338">
        <v>217.68</v>
      </c>
      <c r="BB9" s="402">
        <v>272.1</v>
      </c>
      <c r="BC9" s="403"/>
      <c r="BD9" s="403"/>
      <c r="BE9" s="403"/>
      <c r="BF9" s="215">
        <f>Z9-AF9</f>
      </c>
      <c r="BG9" s="214">
        <f>IFERROR(AF9/Z9,0)</f>
      </c>
      <c r="BH9" s="214">
        <f>IFERROR(AF9/X9,0)</f>
      </c>
      <c r="BI9" s="238">
        <f>IFERROR(X9/SUM(X$4:X$20),0)</f>
      </c>
      <c r="BJ9" s="238">
        <f>IFERROR(BF9/SUM(BF$3:BF206),0)</f>
      </c>
      <c r="BK9" s="217">
        <f>BF9/'R&amp;H Portfolio'!Q$10</f>
      </c>
      <c r="BL9" s="215">
        <f>BI9*P9</f>
      </c>
      <c r="BM9" s="73"/>
      <c r="BN9" s="220">
        <f>IF(BM9="YES", BF9, "")</f>
      </c>
      <c r="BO9" s="17"/>
      <c r="BP9" s="4"/>
      <c r="BQ9" s="4"/>
      <c r="BR9" s="4"/>
      <c r="BS9" s="4"/>
      <c r="BT9" s="4"/>
      <c r="BU9" s="4"/>
      <c r="BV9" s="4"/>
    </row>
    <row x14ac:dyDescent="0.25" r="10" customHeight="1" ht="16">
      <c r="A10" s="202">
        <v>25568.79196759259</v>
      </c>
      <c r="B10" s="203" t="s">
        <v>836</v>
      </c>
      <c r="C10" s="204" t="s">
        <v>837</v>
      </c>
      <c r="D10" s="70" t="s">
        <v>838</v>
      </c>
      <c r="E10" s="70" t="s">
        <v>164</v>
      </c>
      <c r="F10" s="70" t="s">
        <v>165</v>
      </c>
      <c r="G10" s="205">
        <v>640</v>
      </c>
      <c r="H10" s="206">
        <v>1.349</v>
      </c>
      <c r="I10" s="207">
        <v>0.15</v>
      </c>
      <c r="J10" s="398">
        <f>H10+I10</f>
      </c>
      <c r="K10" s="209">
        <v>44000</v>
      </c>
      <c r="L10" s="58">
        <f>K10*I10</f>
      </c>
      <c r="M10" s="58">
        <f>K10*J10</f>
      </c>
      <c r="N10" s="210">
        <v>120</v>
      </c>
      <c r="O10" s="16"/>
      <c r="P10" s="211">
        <f>IF(ISBLANK(N10),O10/4.3,N10/20)</f>
      </c>
      <c r="Q10" s="209">
        <v>4400</v>
      </c>
      <c r="R10" s="212" t="s">
        <v>133</v>
      </c>
      <c r="S10" s="3"/>
      <c r="T10" s="213">
        <f>IF(ISBLANK(R10),0,X10)</f>
      </c>
      <c r="U10" s="213">
        <f>IF(ISBLANK(S10),0,X10)</f>
      </c>
      <c r="V10" s="214">
        <f>IFERROR(Q10/K10,0)</f>
      </c>
      <c r="W10" s="58">
        <f>IFERROR(L10*V10,0)</f>
      </c>
      <c r="X10" s="213">
        <f>IFERROR(Q10+W10,0)</f>
      </c>
      <c r="Y10" s="213">
        <f>IFERROR(M10*V10,0)</f>
      </c>
      <c r="Z10" s="213">
        <f>Y10-(Y10*$B$1)</f>
      </c>
      <c r="AA10" s="67">
        <f>IFERROR(Z10/X10,"")</f>
      </c>
      <c r="AB10" s="215">
        <f>IFERROR(IF(ISBLANK(N10),Y10/O10,Y10/N10),0)</f>
      </c>
      <c r="AC10" s="215">
        <f>IFERROR(-1*(AB10*B$1),0)</f>
      </c>
      <c r="AD10" s="215">
        <f>IFERROR(SUM(AB10:AC10),0)</f>
      </c>
      <c r="AE10" s="215">
        <f>IF(ISBLANK(N10),AD10,AD10*5)</f>
      </c>
      <c r="AF10" s="399">
        <f>SUM(AG10:BE10)</f>
      </c>
      <c r="AG10" s="400"/>
      <c r="AH10" s="400"/>
      <c r="AI10" s="400"/>
      <c r="AJ10" s="400"/>
      <c r="AK10" s="400"/>
      <c r="AL10" s="400"/>
      <c r="AM10" s="400"/>
      <c r="AN10" s="400"/>
      <c r="AO10" s="400"/>
      <c r="AP10" s="338"/>
      <c r="AQ10" s="338">
        <v>266.75</v>
      </c>
      <c r="AR10" s="338">
        <v>373.45</v>
      </c>
      <c r="AS10" s="338">
        <v>213.4</v>
      </c>
      <c r="AT10" s="338">
        <v>213.4</v>
      </c>
      <c r="AU10" s="338">
        <v>266.75</v>
      </c>
      <c r="AV10" s="338">
        <v>266.75</v>
      </c>
      <c r="AW10" s="338">
        <v>266.75</v>
      </c>
      <c r="AX10" s="338">
        <v>266.75</v>
      </c>
      <c r="AY10" s="338">
        <v>213.4</v>
      </c>
      <c r="AZ10" s="338">
        <v>1973.46</v>
      </c>
      <c r="BA10" s="338">
        <v>-1493.31</v>
      </c>
      <c r="BB10" s="402">
        <v>266.75</v>
      </c>
      <c r="BC10" s="403"/>
      <c r="BD10" s="403"/>
      <c r="BE10" s="403"/>
      <c r="BF10" s="215">
        <f>Z10-AF10</f>
      </c>
      <c r="BG10" s="214">
        <f>IFERROR(AF10/Z10,0)</f>
      </c>
      <c r="BH10" s="214">
        <f>IFERROR(AF10/X10,0)</f>
      </c>
      <c r="BI10" s="238">
        <f>IFERROR(X10/SUM(X$4:X$20),0)</f>
      </c>
      <c r="BJ10" s="238">
        <f>IFERROR(BF10/SUM(BF$3:BF207),0)</f>
      </c>
      <c r="BK10" s="217">
        <f>BF10/'R&amp;H Portfolio'!Q$10</f>
      </c>
      <c r="BL10" s="215">
        <f>BI10*P10</f>
      </c>
      <c r="BM10" s="73"/>
      <c r="BN10" s="220">
        <f>IF(BM10="YES", BF10, "")</f>
      </c>
      <c r="BO10" s="17"/>
      <c r="BP10" s="4"/>
      <c r="BQ10" s="4"/>
      <c r="BR10" s="4"/>
      <c r="BS10" s="4"/>
      <c r="BT10" s="4"/>
      <c r="BU10" s="4"/>
      <c r="BV10" s="4"/>
    </row>
    <row x14ac:dyDescent="0.25" r="11" customHeight="1" ht="16">
      <c r="A11" s="202">
        <v>25568.79196759259</v>
      </c>
      <c r="B11" s="203" t="s">
        <v>839</v>
      </c>
      <c r="C11" s="204" t="s">
        <v>840</v>
      </c>
      <c r="D11" s="70" t="s">
        <v>841</v>
      </c>
      <c r="E11" s="70" t="s">
        <v>164</v>
      </c>
      <c r="F11" s="70" t="s">
        <v>754</v>
      </c>
      <c r="G11" s="205">
        <v>530</v>
      </c>
      <c r="H11" s="206">
        <v>1.349</v>
      </c>
      <c r="I11" s="207">
        <v>0.15</v>
      </c>
      <c r="J11" s="398">
        <f>H11+I11</f>
      </c>
      <c r="K11" s="209">
        <v>25000</v>
      </c>
      <c r="L11" s="58">
        <f>K11*I11</f>
      </c>
      <c r="M11" s="58">
        <f>K11*J11</f>
      </c>
      <c r="N11" s="210">
        <v>140</v>
      </c>
      <c r="O11" s="16"/>
      <c r="P11" s="211">
        <f>IF(ISBLANK(N11),O11/4.3,N11/20)</f>
      </c>
      <c r="Q11" s="209">
        <v>2500</v>
      </c>
      <c r="R11" s="212" t="s">
        <v>133</v>
      </c>
      <c r="S11" s="3"/>
      <c r="T11" s="213">
        <f>IF(ISBLANK(R11),0,X11)</f>
      </c>
      <c r="U11" s="213">
        <f>IF(ISBLANK(S11),0,X11)</f>
      </c>
      <c r="V11" s="214">
        <f>IFERROR(Q11/K11,0)</f>
      </c>
      <c r="W11" s="58">
        <f>IFERROR(L11*V11,0)</f>
      </c>
      <c r="X11" s="213">
        <f>IFERROR(Q11+W11,0)</f>
      </c>
      <c r="Y11" s="213">
        <f>IFERROR(M11*V11,0)</f>
      </c>
      <c r="Z11" s="213">
        <f>Y11-(Y11*$B$1)</f>
      </c>
      <c r="AA11" s="67">
        <f>IFERROR(Z11/X11,"")</f>
      </c>
      <c r="AB11" s="215">
        <f>IFERROR(IF(ISBLANK(N11),Y11/O11,Y11/N11),0)</f>
      </c>
      <c r="AC11" s="215">
        <f>IFERROR(-1*(AB11*B$1),0)</f>
      </c>
      <c r="AD11" s="215">
        <f>IFERROR(SUM(AB11:AC11),0)</f>
      </c>
      <c r="AE11" s="215">
        <f>IF(ISBLANK(N11),AD11,AD11*5)</f>
      </c>
      <c r="AF11" s="399">
        <f>SUM(AG11:BE11)</f>
      </c>
      <c r="AG11" s="400"/>
      <c r="AH11" s="400"/>
      <c r="AI11" s="400"/>
      <c r="AJ11" s="400"/>
      <c r="AK11" s="400"/>
      <c r="AL11" s="400"/>
      <c r="AM11" s="400"/>
      <c r="AN11" s="400"/>
      <c r="AO11" s="400"/>
      <c r="AP11" s="338"/>
      <c r="AQ11" s="401">
        <v>130</v>
      </c>
      <c r="AR11" s="401">
        <v>182</v>
      </c>
      <c r="AS11" s="401">
        <v>104</v>
      </c>
      <c r="AT11" s="401">
        <v>104</v>
      </c>
      <c r="AU11" s="401">
        <v>130</v>
      </c>
      <c r="AV11" s="401">
        <v>130</v>
      </c>
      <c r="AW11" s="401">
        <v>130</v>
      </c>
      <c r="AX11" s="401">
        <v>130</v>
      </c>
      <c r="AY11" s="401">
        <v>104</v>
      </c>
      <c r="AZ11" s="401">
        <v>130</v>
      </c>
      <c r="BA11" s="401">
        <v>104</v>
      </c>
      <c r="BB11" s="402">
        <v>130</v>
      </c>
      <c r="BC11" s="403"/>
      <c r="BD11" s="403"/>
      <c r="BE11" s="403"/>
      <c r="BF11" s="215">
        <f>Z11-AF11</f>
      </c>
      <c r="BG11" s="214">
        <f>IFERROR(AF11/Z11,0)</f>
      </c>
      <c r="BH11" s="214">
        <f>IFERROR(AF11/X11,0)</f>
      </c>
      <c r="BI11" s="238">
        <f>IFERROR(X11/SUM(X$4:X$20),0)</f>
      </c>
      <c r="BJ11" s="238">
        <f>IFERROR(BF11/SUM(BF$3:BF208),0)</f>
      </c>
      <c r="BK11" s="217">
        <f>BF11/'R&amp;H Portfolio'!Q$10</f>
      </c>
      <c r="BL11" s="215">
        <f>BI11*P11</f>
      </c>
      <c r="BM11" s="73"/>
      <c r="BN11" s="220">
        <f>IF(BM11="YES", BF11, "")</f>
      </c>
      <c r="BO11" s="17"/>
      <c r="BP11" s="4"/>
      <c r="BQ11" s="4"/>
      <c r="BR11" s="4"/>
      <c r="BS11" s="4"/>
      <c r="BT11" s="4"/>
      <c r="BU11" s="4"/>
      <c r="BV11" s="4"/>
    </row>
    <row x14ac:dyDescent="0.25" r="12" customHeight="1" ht="16">
      <c r="A12" s="202">
        <v>25568.79196759259</v>
      </c>
      <c r="B12" s="203" t="s">
        <v>842</v>
      </c>
      <c r="C12" s="204" t="s">
        <v>843</v>
      </c>
      <c r="D12" s="70" t="s">
        <v>844</v>
      </c>
      <c r="E12" s="70" t="s">
        <v>845</v>
      </c>
      <c r="F12" s="70" t="s">
        <v>846</v>
      </c>
      <c r="G12" s="205">
        <v>617</v>
      </c>
      <c r="H12" s="206">
        <v>1.349</v>
      </c>
      <c r="I12" s="207">
        <v>0.15</v>
      </c>
      <c r="J12" s="398">
        <f>H12+I12</f>
      </c>
      <c r="K12" s="209">
        <v>40000</v>
      </c>
      <c r="L12" s="58">
        <f>K12*I12</f>
      </c>
      <c r="M12" s="58">
        <f>K12*J12</f>
      </c>
      <c r="N12" s="210">
        <v>150</v>
      </c>
      <c r="O12" s="16"/>
      <c r="P12" s="211">
        <f>IF(ISBLANK(N12),O12/4.3,N12/20)</f>
      </c>
      <c r="Q12" s="209">
        <v>3000</v>
      </c>
      <c r="R12" s="212" t="s">
        <v>133</v>
      </c>
      <c r="S12" s="3"/>
      <c r="T12" s="213">
        <f>IF(ISBLANK(R12),0,X12)</f>
      </c>
      <c r="U12" s="213">
        <f>IF(ISBLANK(S12),0,X12)</f>
      </c>
      <c r="V12" s="214">
        <f>IFERROR(Q12/K12,0)</f>
      </c>
      <c r="W12" s="58">
        <f>IFERROR(L12*V12,0)</f>
      </c>
      <c r="X12" s="213">
        <f>IFERROR(Q12+W12,0)</f>
      </c>
      <c r="Y12" s="213">
        <f>IFERROR(M12*V12,0)</f>
      </c>
      <c r="Z12" s="213">
        <f>Y12-(Y12*$B$1)</f>
      </c>
      <c r="AA12" s="67">
        <f>IFERROR(Z12/X12,"")</f>
      </c>
      <c r="AB12" s="215">
        <f>IFERROR(IF(ISBLANK(N12),Y12/O12,Y12/N12),0)</f>
      </c>
      <c r="AC12" s="215">
        <f>IFERROR(-1*(AB12*B$1),0)</f>
      </c>
      <c r="AD12" s="215">
        <f>IFERROR(SUM(AB12:AC12),0)</f>
      </c>
      <c r="AE12" s="215">
        <f>IF(ISBLANK(N12),AD12,AD12*5)</f>
      </c>
      <c r="AF12" s="399">
        <f>SUM(AG12:BE12)</f>
      </c>
      <c r="AG12" s="400"/>
      <c r="AH12" s="400"/>
      <c r="AI12" s="400"/>
      <c r="AJ12" s="400"/>
      <c r="AK12" s="400"/>
      <c r="AL12" s="400"/>
      <c r="AM12" s="400"/>
      <c r="AN12" s="400"/>
      <c r="AO12" s="400"/>
      <c r="AP12" s="338"/>
      <c r="AQ12" s="338">
        <v>116.4</v>
      </c>
      <c r="AR12" s="338">
        <v>203.7</v>
      </c>
      <c r="AS12" s="338">
        <v>116.4</v>
      </c>
      <c r="AT12" s="338">
        <v>116.4</v>
      </c>
      <c r="AU12" s="338">
        <v>145.5</v>
      </c>
      <c r="AV12" s="338">
        <v>145.5</v>
      </c>
      <c r="AW12" s="338">
        <v>145.5</v>
      </c>
      <c r="AX12" s="338">
        <v>145.5</v>
      </c>
      <c r="AY12" s="338">
        <v>116.4</v>
      </c>
      <c r="AZ12" s="338">
        <v>145.5</v>
      </c>
      <c r="BA12" s="338">
        <v>116.4</v>
      </c>
      <c r="BB12" s="402">
        <v>145.5</v>
      </c>
      <c r="BC12" s="403"/>
      <c r="BD12" s="403"/>
      <c r="BE12" s="403"/>
      <c r="BF12" s="215">
        <f>Z12-AF12</f>
      </c>
      <c r="BG12" s="214">
        <f>IFERROR(AF12/Z12,0)</f>
      </c>
      <c r="BH12" s="214">
        <f>IFERROR(AF12/X12,0)</f>
      </c>
      <c r="BI12" s="238">
        <f>IFERROR(X12/SUM(X$4:X$20),0)</f>
      </c>
      <c r="BJ12" s="238">
        <f>IFERROR(BF12/SUM(BF$3:BF209),0)</f>
      </c>
      <c r="BK12" s="217">
        <f>BF12/'R&amp;H Portfolio'!Q$10</f>
      </c>
      <c r="BL12" s="215">
        <f>BI12*P12</f>
      </c>
      <c r="BM12" s="73"/>
      <c r="BN12" s="220">
        <f>IF(BM12="YES", BF12, "")</f>
      </c>
      <c r="BO12" s="17"/>
      <c r="BP12" s="4"/>
      <c r="BQ12" s="4"/>
      <c r="BR12" s="4"/>
      <c r="BS12" s="4"/>
      <c r="BT12" s="4"/>
      <c r="BU12" s="4"/>
      <c r="BV12" s="4"/>
    </row>
    <row x14ac:dyDescent="0.25" r="13" customHeight="1" ht="16">
      <c r="A13" s="202">
        <v>25568.79196759259</v>
      </c>
      <c r="B13" s="203" t="s">
        <v>847</v>
      </c>
      <c r="C13" s="204" t="s">
        <v>848</v>
      </c>
      <c r="D13" s="70" t="s">
        <v>849</v>
      </c>
      <c r="E13" s="70" t="s">
        <v>850</v>
      </c>
      <c r="F13" s="70" t="s">
        <v>851</v>
      </c>
      <c r="G13" s="205">
        <v>747</v>
      </c>
      <c r="H13" s="206">
        <v>1.349</v>
      </c>
      <c r="I13" s="207">
        <v>0.15</v>
      </c>
      <c r="J13" s="398">
        <f>H13+I13</f>
      </c>
      <c r="K13" s="209">
        <v>40000</v>
      </c>
      <c r="L13" s="58">
        <f>K13*I13</f>
      </c>
      <c r="M13" s="58">
        <f>K13*J13</f>
      </c>
      <c r="N13" s="210">
        <v>100</v>
      </c>
      <c r="O13" s="16"/>
      <c r="P13" s="211">
        <f>IF(ISBLANK(N13),O13/4.3,N13/20)</f>
      </c>
      <c r="Q13" s="209">
        <v>2000</v>
      </c>
      <c r="R13" s="212" t="s">
        <v>133</v>
      </c>
      <c r="S13" s="3"/>
      <c r="T13" s="213">
        <f>IF(ISBLANK(R13),0,X13)</f>
      </c>
      <c r="U13" s="213">
        <f>IF(ISBLANK(S13),0,X13)</f>
      </c>
      <c r="V13" s="214">
        <f>IFERROR(Q13/K13,0)</f>
      </c>
      <c r="W13" s="58">
        <f>IFERROR(L13*V13,0)</f>
      </c>
      <c r="X13" s="213">
        <f>IFERROR(Q13+W13,0)</f>
      </c>
      <c r="Y13" s="213">
        <f>IFERROR(M13*V13,0)</f>
      </c>
      <c r="Z13" s="213">
        <f>Y13-(Y13*$B$1)</f>
      </c>
      <c r="AA13" s="67">
        <f>IFERROR(Z13/X13,"")</f>
      </c>
      <c r="AB13" s="215">
        <f>IFERROR(IF(ISBLANK(N13),Y13/O13,Y13/N13),0)</f>
      </c>
      <c r="AC13" s="215">
        <f>IFERROR(-1*(AB13*B$1),0)</f>
      </c>
      <c r="AD13" s="215">
        <f>IFERROR(SUM(AB13:AC13),0)</f>
      </c>
      <c r="AE13" s="215">
        <f>IF(ISBLANK(N13),AD13,AD13*5)</f>
      </c>
      <c r="AF13" s="399">
        <f>SUM(AG13:BE13)</f>
      </c>
      <c r="AG13" s="400"/>
      <c r="AH13" s="400"/>
      <c r="AI13" s="400"/>
      <c r="AJ13" s="400"/>
      <c r="AK13" s="400"/>
      <c r="AL13" s="400"/>
      <c r="AM13" s="400"/>
      <c r="AN13" s="400"/>
      <c r="AO13" s="400"/>
      <c r="AP13" s="338"/>
      <c r="AQ13" s="338">
        <v>87.3</v>
      </c>
      <c r="AR13" s="338">
        <v>203.7</v>
      </c>
      <c r="AS13" s="338">
        <v>116.4</v>
      </c>
      <c r="AT13" s="338">
        <v>116.4</v>
      </c>
      <c r="AU13" s="338">
        <v>145.5</v>
      </c>
      <c r="AV13" s="338">
        <v>145.5</v>
      </c>
      <c r="AW13" s="338">
        <v>145.5</v>
      </c>
      <c r="AX13" s="338">
        <v>145.8</v>
      </c>
      <c r="AY13" s="338">
        <v>116.4</v>
      </c>
      <c r="AZ13" s="338">
        <v>145.5</v>
      </c>
      <c r="BA13" s="338">
        <v>116.4</v>
      </c>
      <c r="BB13" s="402">
        <v>145.5</v>
      </c>
      <c r="BC13" s="403"/>
      <c r="BD13" s="403"/>
      <c r="BE13" s="403"/>
      <c r="BF13" s="215">
        <f>Z13-AF13</f>
      </c>
      <c r="BG13" s="214">
        <f>IFERROR(AF13/Z13,0)</f>
      </c>
      <c r="BH13" s="214">
        <f>IFERROR(AF13/X13,0)</f>
      </c>
      <c r="BI13" s="238">
        <f>IFERROR(X13/SUM(X$4:X$20),0)</f>
      </c>
      <c r="BJ13" s="238">
        <f>IFERROR(BF13/SUM(BF$3:BF210),0)</f>
      </c>
      <c r="BK13" s="217">
        <f>BF13/'R&amp;H Portfolio'!Q$10</f>
      </c>
      <c r="BL13" s="215">
        <f>BI13*P13</f>
      </c>
      <c r="BM13" s="73"/>
      <c r="BN13" s="220">
        <f>IF(BM13="YES", BF13, "")</f>
      </c>
      <c r="BO13" s="17"/>
      <c r="BP13" s="4"/>
      <c r="BQ13" s="4"/>
      <c r="BR13" s="4"/>
      <c r="BS13" s="4"/>
      <c r="BT13" s="4"/>
      <c r="BU13" s="4"/>
      <c r="BV13" s="4"/>
    </row>
    <row x14ac:dyDescent="0.25" r="14" customHeight="1" ht="16">
      <c r="A14" s="202">
        <v>25568.79196759259</v>
      </c>
      <c r="B14" s="203" t="s">
        <v>852</v>
      </c>
      <c r="C14" s="204" t="s">
        <v>853</v>
      </c>
      <c r="D14" s="70" t="s">
        <v>854</v>
      </c>
      <c r="E14" s="70" t="s">
        <v>164</v>
      </c>
      <c r="F14" s="70" t="s">
        <v>754</v>
      </c>
      <c r="G14" s="205">
        <v>550</v>
      </c>
      <c r="H14" s="206">
        <v>1.349</v>
      </c>
      <c r="I14" s="207">
        <v>0.15</v>
      </c>
      <c r="J14" s="398">
        <f>H14+I14</f>
      </c>
      <c r="K14" s="209">
        <v>33000</v>
      </c>
      <c r="L14" s="58">
        <f>K14*I14</f>
      </c>
      <c r="M14" s="58">
        <f>K14*J14</f>
      </c>
      <c r="N14" s="16"/>
      <c r="O14" s="210">
        <v>36</v>
      </c>
      <c r="P14" s="211">
        <f>IF(ISBLANK(N14),O14/4.3,N14/20)</f>
      </c>
      <c r="Q14" s="209">
        <v>2500</v>
      </c>
      <c r="R14" s="212" t="s">
        <v>133</v>
      </c>
      <c r="S14" s="3"/>
      <c r="T14" s="213">
        <f>IF(ISBLANK(R14),0,X14)</f>
      </c>
      <c r="U14" s="213">
        <f>IF(ISBLANK(S14),0,X14)</f>
      </c>
      <c r="V14" s="214">
        <f>IFERROR(Q14/K14,0)</f>
      </c>
      <c r="W14" s="58">
        <f>IFERROR(L14*V14,0)</f>
      </c>
      <c r="X14" s="213">
        <f>IFERROR(Q14+W14,0)</f>
      </c>
      <c r="Y14" s="213">
        <f>IFERROR(M14*V14,0)</f>
      </c>
      <c r="Z14" s="213">
        <f>Y14-(Y14*$B$1)</f>
      </c>
      <c r="AA14" s="67">
        <f>IFERROR(Z14/X14,"")</f>
      </c>
      <c r="AB14" s="215">
        <f>IFERROR(IF(ISBLANK(N14),Y14/O14,Y14/N14),0)</f>
      </c>
      <c r="AC14" s="215">
        <f>IFERROR(-1*(AB14*B$1),0)</f>
      </c>
      <c r="AD14" s="215">
        <f>IFERROR(SUM(AB14:AC14),0)</f>
      </c>
      <c r="AE14" s="215">
        <f>IF(ISBLANK(N14),AD14,AD14*5)</f>
      </c>
      <c r="AF14" s="399">
        <f>SUM(AG14:BE14)</f>
      </c>
      <c r="AG14" s="400"/>
      <c r="AH14" s="400"/>
      <c r="AI14" s="400"/>
      <c r="AJ14" s="400"/>
      <c r="AK14" s="400"/>
      <c r="AL14" s="400"/>
      <c r="AM14" s="400"/>
      <c r="AN14" s="400"/>
      <c r="AO14" s="400"/>
      <c r="AP14" s="338"/>
      <c r="AQ14" s="338">
        <v>77.61</v>
      </c>
      <c r="AR14" s="338">
        <v>202.08</v>
      </c>
      <c r="AS14" s="338">
        <v>101.04</v>
      </c>
      <c r="AT14" s="338"/>
      <c r="AU14" s="338">
        <v>101.04</v>
      </c>
      <c r="AV14" s="338">
        <v>202.08</v>
      </c>
      <c r="AW14" s="338">
        <v>101.04</v>
      </c>
      <c r="AX14" s="338">
        <v>101.04</v>
      </c>
      <c r="AY14" s="338"/>
      <c r="AZ14" s="338">
        <v>38.8</v>
      </c>
      <c r="BA14" s="338">
        <v>101.04</v>
      </c>
      <c r="BB14" s="402">
        <v>101.04</v>
      </c>
      <c r="BC14" s="403"/>
      <c r="BD14" s="403"/>
      <c r="BE14" s="403"/>
      <c r="BF14" s="215">
        <f>Y14-AF14</f>
      </c>
      <c r="BG14" s="214">
        <f>IFERROR(AF14/Z14,0)</f>
      </c>
      <c r="BH14" s="214">
        <f>IFERROR(AF14/X14,0)</f>
      </c>
      <c r="BI14" s="238">
        <f>IFERROR(X14/SUM(X$4:X$20),0)</f>
      </c>
      <c r="BJ14" s="238">
        <f>IFERROR(BF14/SUM(BF$3:BF211),0)</f>
      </c>
      <c r="BK14" s="217">
        <f>BF14/'R&amp;H Portfolio'!Q$10</f>
      </c>
      <c r="BL14" s="215">
        <f>BI14*P14</f>
      </c>
      <c r="BM14" s="73"/>
      <c r="BN14" s="220">
        <f>IF(BM14="YES", BF14, "")</f>
      </c>
      <c r="BO14" s="17"/>
      <c r="BP14" s="4"/>
      <c r="BQ14" s="4"/>
      <c r="BR14" s="4"/>
      <c r="BS14" s="4"/>
      <c r="BT14" s="4"/>
      <c r="BU14" s="4"/>
      <c r="BV14" s="4"/>
    </row>
    <row x14ac:dyDescent="0.25" r="15" customHeight="1" ht="16">
      <c r="A15" s="202">
        <v>25568.79196759259</v>
      </c>
      <c r="B15" s="203" t="s">
        <v>855</v>
      </c>
      <c r="C15" s="204" t="s">
        <v>856</v>
      </c>
      <c r="D15" s="70" t="s">
        <v>857</v>
      </c>
      <c r="E15" s="70" t="s">
        <v>164</v>
      </c>
      <c r="F15" s="70" t="s">
        <v>226</v>
      </c>
      <c r="G15" s="205">
        <v>578</v>
      </c>
      <c r="H15" s="206">
        <v>1.315</v>
      </c>
      <c r="I15" s="207">
        <v>0.15</v>
      </c>
      <c r="J15" s="398">
        <f>H15+I15</f>
      </c>
      <c r="K15" s="209">
        <v>30000</v>
      </c>
      <c r="L15" s="58">
        <f>K15*I15</f>
      </c>
      <c r="M15" s="58">
        <f>K15*J15</f>
      </c>
      <c r="N15" s="210">
        <v>110</v>
      </c>
      <c r="O15" s="16"/>
      <c r="P15" s="211">
        <f>IF(ISBLANK(N15),O15/4.3,N15/20)</f>
      </c>
      <c r="Q15" s="209">
        <v>2000</v>
      </c>
      <c r="R15" s="212" t="s">
        <v>133</v>
      </c>
      <c r="S15" s="3"/>
      <c r="T15" s="213">
        <f>IF(ISBLANK(R15),0,X15)</f>
      </c>
      <c r="U15" s="213">
        <f>IF(ISBLANK(S15),0,X15)</f>
      </c>
      <c r="V15" s="214">
        <f>IFERROR(Q15/K15,0)</f>
      </c>
      <c r="W15" s="58">
        <f>IFERROR(L15*V15,0)</f>
      </c>
      <c r="X15" s="213">
        <f>IFERROR(Q15+W15,0)</f>
      </c>
      <c r="Y15" s="213">
        <f>IFERROR(M15*V15,0)</f>
      </c>
      <c r="Z15" s="213">
        <f>Y15-(Y15*$B$1)</f>
      </c>
      <c r="AA15" s="67">
        <f>IFERROR(Z15/X15,"")</f>
      </c>
      <c r="AB15" s="215">
        <f>IFERROR(IF(ISBLANK(N15),Y15/O15,Y15/N15),0)</f>
      </c>
      <c r="AC15" s="215">
        <f>IFERROR(-1*(AB15*B$1),0)</f>
      </c>
      <c r="AD15" s="215">
        <f>IFERROR(SUM(AB15:AC15),0)</f>
      </c>
      <c r="AE15" s="215">
        <f>IF(ISBLANK(N15),AD15,AD15*5)</f>
      </c>
      <c r="AF15" s="399">
        <f>SUM(AG15:BE15)</f>
      </c>
      <c r="AG15" s="400"/>
      <c r="AH15" s="400"/>
      <c r="AI15" s="400"/>
      <c r="AJ15" s="400"/>
      <c r="AK15" s="400"/>
      <c r="AL15" s="400"/>
      <c r="AM15" s="400"/>
      <c r="AN15" s="400"/>
      <c r="AO15" s="400"/>
      <c r="AP15" s="338"/>
      <c r="AQ15" s="338"/>
      <c r="AR15" s="338">
        <v>181.09</v>
      </c>
      <c r="AS15" s="338">
        <v>103.48</v>
      </c>
      <c r="AT15" s="338">
        <v>77.61</v>
      </c>
      <c r="AU15" s="338">
        <v>129.35</v>
      </c>
      <c r="AV15" s="338">
        <v>77.61</v>
      </c>
      <c r="AW15" s="338">
        <v>77.61</v>
      </c>
      <c r="AX15" s="338">
        <v>103.48</v>
      </c>
      <c r="AY15" s="338">
        <v>51.44</v>
      </c>
      <c r="AZ15" s="338">
        <v>38.8</v>
      </c>
      <c r="BA15" s="338">
        <v>29.1</v>
      </c>
      <c r="BB15" s="402">
        <v>74.38</v>
      </c>
      <c r="BC15" s="403"/>
      <c r="BD15" s="403"/>
      <c r="BE15" s="403"/>
      <c r="BF15" s="215">
        <f>Y15-AF15</f>
      </c>
      <c r="BG15" s="214">
        <f>IFERROR(AF15/Y15,0)</f>
      </c>
      <c r="BH15" s="214">
        <f>IFERROR(AF15/X15,0)</f>
      </c>
      <c r="BI15" s="238">
        <f>IFERROR(X15/SUM(X$4:X$20),0)</f>
      </c>
      <c r="BJ15" s="238">
        <f>IFERROR(BF15/SUM(BF$3:BF212),0)</f>
      </c>
      <c r="BK15" s="217">
        <f>BF15/'R&amp;H Portfolio'!Q$10</f>
      </c>
      <c r="BL15" s="215">
        <f>BI15*P15</f>
      </c>
      <c r="BM15" s="73"/>
      <c r="BN15" s="220">
        <f>IF(BM15="YES", BF15, "")</f>
      </c>
      <c r="BO15" s="17"/>
      <c r="BP15" s="4"/>
      <c r="BQ15" s="4"/>
      <c r="BR15" s="4"/>
      <c r="BS15" s="4"/>
      <c r="BT15" s="4"/>
      <c r="BU15" s="4"/>
      <c r="BV15" s="4"/>
    </row>
    <row x14ac:dyDescent="0.25" r="16" customHeight="1" ht="16">
      <c r="A16" s="202">
        <v>25568.79196759259</v>
      </c>
      <c r="B16" s="203" t="s">
        <v>858</v>
      </c>
      <c r="C16" s="204" t="s">
        <v>859</v>
      </c>
      <c r="D16" s="70" t="s">
        <v>860</v>
      </c>
      <c r="E16" s="70" t="s">
        <v>252</v>
      </c>
      <c r="F16" s="70" t="s">
        <v>160</v>
      </c>
      <c r="G16" s="205">
        <v>656</v>
      </c>
      <c r="H16" s="206">
        <v>1.349</v>
      </c>
      <c r="I16" s="207">
        <v>0.15</v>
      </c>
      <c r="J16" s="398">
        <f>H16+I16</f>
      </c>
      <c r="K16" s="209">
        <v>20000</v>
      </c>
      <c r="L16" s="58">
        <f>K16*I16</f>
      </c>
      <c r="M16" s="58">
        <f>K16*J16</f>
      </c>
      <c r="N16" s="210">
        <v>70</v>
      </c>
      <c r="O16" s="16"/>
      <c r="P16" s="211">
        <f>IF(ISBLANK(N16),O16/4.3,N16/20)</f>
      </c>
      <c r="Q16" s="209">
        <v>2000</v>
      </c>
      <c r="R16" s="212" t="s">
        <v>133</v>
      </c>
      <c r="S16" s="3"/>
      <c r="T16" s="213">
        <f>IF(ISBLANK(R16),0,X16)</f>
      </c>
      <c r="U16" s="213">
        <f>IF(ISBLANK(S16),0,X16)</f>
      </c>
      <c r="V16" s="214">
        <f>IFERROR(Q16/K16,0)</f>
      </c>
      <c r="W16" s="58">
        <f>IFERROR(L16*V16,0)</f>
      </c>
      <c r="X16" s="213">
        <f>IFERROR(Q16+W16,0)</f>
      </c>
      <c r="Y16" s="213">
        <f>IFERROR(M16*V16,0)</f>
      </c>
      <c r="Z16" s="213">
        <f>Y16-(Y16*$B$1)</f>
      </c>
      <c r="AA16" s="67">
        <f>IFERROR(Z16/X16,"")</f>
      </c>
      <c r="AB16" s="215">
        <f>IFERROR(IF(ISBLANK(N16),Y16/O16,Y16/N16),0)</f>
      </c>
      <c r="AC16" s="215">
        <f>IFERROR(-1*(AB16*B$1),0)</f>
      </c>
      <c r="AD16" s="215">
        <f>IFERROR(SUM(AB16:AC16),0)</f>
      </c>
      <c r="AE16" s="215">
        <f>IF(ISBLANK(N16),AD16,AD16*5)</f>
      </c>
      <c r="AF16" s="399">
        <f>SUM(AG16:BE16)</f>
      </c>
      <c r="AG16" s="400"/>
      <c r="AH16" s="400"/>
      <c r="AI16" s="400"/>
      <c r="AJ16" s="400"/>
      <c r="AK16" s="400"/>
      <c r="AL16" s="400"/>
      <c r="AM16" s="400"/>
      <c r="AN16" s="400"/>
      <c r="AO16" s="400"/>
      <c r="AP16" s="338"/>
      <c r="AQ16" s="338"/>
      <c r="AR16" s="338">
        <v>291.27</v>
      </c>
      <c r="AS16" s="338">
        <v>166.44</v>
      </c>
      <c r="AT16" s="338">
        <v>166.44</v>
      </c>
      <c r="AU16" s="338">
        <v>208.05</v>
      </c>
      <c r="AV16" s="338">
        <v>208.05</v>
      </c>
      <c r="AW16" s="338">
        <v>208.05</v>
      </c>
      <c r="AX16" s="338">
        <v>208.05</v>
      </c>
      <c r="AY16" s="338">
        <v>166.44</v>
      </c>
      <c r="AZ16" s="338">
        <v>208.05</v>
      </c>
      <c r="BA16" s="338">
        <v>166.44</v>
      </c>
      <c r="BB16" s="402">
        <v>208.05</v>
      </c>
      <c r="BC16" s="403"/>
      <c r="BD16" s="403"/>
      <c r="BE16" s="403"/>
      <c r="BF16" s="215">
        <f>Y16-AF16</f>
      </c>
      <c r="BG16" s="214">
        <f>IFERROR(AF16/Y16,0)</f>
      </c>
      <c r="BH16" s="214">
        <f>IFERROR(AF16/X16,0)</f>
      </c>
      <c r="BI16" s="238">
        <f>IFERROR(X16/SUM(X$4:X$20),0)</f>
      </c>
      <c r="BJ16" s="238">
        <f>IFERROR(BF16/SUM(BF$3:BF213),0)</f>
      </c>
      <c r="BK16" s="217">
        <f>BF16/'R&amp;H Portfolio'!Q$10</f>
      </c>
      <c r="BL16" s="215">
        <f>BI16*P16</f>
      </c>
      <c r="BM16" s="73"/>
      <c r="BN16" s="220">
        <f>IF(BM16="YES", BF16, "")</f>
      </c>
      <c r="BO16" s="17"/>
      <c r="BP16" s="4"/>
      <c r="BQ16" s="4"/>
      <c r="BR16" s="4"/>
      <c r="BS16" s="4"/>
      <c r="BT16" s="4"/>
      <c r="BU16" s="4"/>
      <c r="BV16" s="4"/>
    </row>
    <row x14ac:dyDescent="0.25" r="17" customHeight="1" ht="16">
      <c r="A17" s="202">
        <v>25568.79196759259</v>
      </c>
      <c r="B17" s="203" t="s">
        <v>861</v>
      </c>
      <c r="C17" s="3"/>
      <c r="D17" s="70" t="s">
        <v>862</v>
      </c>
      <c r="E17" s="70" t="s">
        <v>225</v>
      </c>
      <c r="F17" s="70" t="s">
        <v>262</v>
      </c>
      <c r="G17" s="205">
        <v>639</v>
      </c>
      <c r="H17" s="206">
        <v>1.3</v>
      </c>
      <c r="I17" s="207">
        <v>0.15</v>
      </c>
      <c r="J17" s="398">
        <f>H17+I17</f>
      </c>
      <c r="K17" s="209">
        <v>53000</v>
      </c>
      <c r="L17" s="58">
        <f>K17*I17</f>
      </c>
      <c r="M17" s="58">
        <f>K17*J17</f>
      </c>
      <c r="N17" s="16"/>
      <c r="O17" s="210">
        <v>32</v>
      </c>
      <c r="P17" s="211">
        <f>IF(ISBLANK(N17),O17/4.3,N17/20)</f>
      </c>
      <c r="Q17" s="209">
        <v>4000</v>
      </c>
      <c r="R17" s="212" t="s">
        <v>133</v>
      </c>
      <c r="S17" s="3"/>
      <c r="T17" s="213">
        <f>IF(ISBLANK(R17),0,X17)</f>
      </c>
      <c r="U17" s="213">
        <f>IF(ISBLANK(S17),0,X17)</f>
      </c>
      <c r="V17" s="214">
        <f>IFERROR(Q17/K17,0)</f>
      </c>
      <c r="W17" s="58">
        <f>IFERROR(L17*V17,0)</f>
      </c>
      <c r="X17" s="213">
        <f>IFERROR(Q17+W17,0)</f>
      </c>
      <c r="Y17" s="213">
        <f>IFERROR(M17*V17,0)</f>
      </c>
      <c r="Z17" s="213">
        <f>Y17-(Y17*$B$1)</f>
      </c>
      <c r="AA17" s="67">
        <f>IFERROR(Z17/X17,"")</f>
      </c>
      <c r="AB17" s="215">
        <f>IFERROR(IF(ISBLANK(N17),Y17/O17,Y17/N17),0)</f>
      </c>
      <c r="AC17" s="215">
        <f>IFERROR(-1*(AB17*B$1),0)</f>
      </c>
      <c r="AD17" s="215">
        <f>IFERROR(SUM(AB17:AC17),0)</f>
      </c>
      <c r="AE17" s="215">
        <f>IF(ISBLANK(N17),AD17,AD17*5)</f>
      </c>
      <c r="AF17" s="399">
        <f>SUM(AG17:BE17)</f>
      </c>
      <c r="AG17" s="400"/>
      <c r="AH17" s="400"/>
      <c r="AI17" s="400"/>
      <c r="AJ17" s="400"/>
      <c r="AK17" s="400"/>
      <c r="AL17" s="400"/>
      <c r="AM17" s="400"/>
      <c r="AN17" s="400"/>
      <c r="AO17" s="400"/>
      <c r="AP17" s="338"/>
      <c r="AQ17" s="338"/>
      <c r="AR17" s="338">
        <v>175.84</v>
      </c>
      <c r="AS17" s="338">
        <v>175.7</v>
      </c>
      <c r="AT17" s="338">
        <v>203.92</v>
      </c>
      <c r="AU17" s="338"/>
      <c r="AV17" s="338"/>
      <c r="AW17" s="338">
        <v>263.76</v>
      </c>
      <c r="AX17" s="338">
        <v>63.69</v>
      </c>
      <c r="AY17" s="338">
        <v>29.65</v>
      </c>
      <c r="AZ17" s="338">
        <v>221.98</v>
      </c>
      <c r="BA17" s="338">
        <v>89.68</v>
      </c>
      <c r="BB17" s="402"/>
      <c r="BC17" s="403"/>
      <c r="BD17" s="403"/>
      <c r="BE17" s="403"/>
      <c r="BF17" s="215">
        <f>Y17-AF17</f>
      </c>
      <c r="BG17" s="214">
        <f>IFERROR(AF17/Y17,0)</f>
      </c>
      <c r="BH17" s="214">
        <f>IFERROR(AF17/X17,0)</f>
      </c>
      <c r="BI17" s="238">
        <f>IFERROR(X17/SUM(X$4:X$20),0)</f>
      </c>
      <c r="BJ17" s="238">
        <f>IFERROR(BF17/SUM(BF$3:BF214),0)</f>
      </c>
      <c r="BK17" s="217">
        <f>BF17/'R&amp;H Portfolio'!Q$10</f>
      </c>
      <c r="BL17" s="215">
        <f>BI17*P17</f>
      </c>
      <c r="BM17" s="73"/>
      <c r="BN17" s="220">
        <f>IF(BM17="YES", BF17, "")</f>
      </c>
      <c r="BO17" s="17"/>
      <c r="BP17" s="4"/>
      <c r="BQ17" s="4"/>
      <c r="BR17" s="4"/>
      <c r="BS17" s="4"/>
      <c r="BT17" s="4"/>
      <c r="BU17" s="4"/>
      <c r="BV17" s="4"/>
    </row>
    <row x14ac:dyDescent="0.25" r="18" customHeight="1" ht="16">
      <c r="A18" s="202">
        <v>25568.79196759259</v>
      </c>
      <c r="B18" s="203" t="s">
        <v>863</v>
      </c>
      <c r="C18" s="3"/>
      <c r="D18" s="70" t="s">
        <v>864</v>
      </c>
      <c r="E18" s="70" t="s">
        <v>169</v>
      </c>
      <c r="F18" s="70" t="s">
        <v>469</v>
      </c>
      <c r="G18" s="205">
        <v>673</v>
      </c>
      <c r="H18" s="206">
        <v>1.349</v>
      </c>
      <c r="I18" s="207">
        <v>0.15</v>
      </c>
      <c r="J18" s="398">
        <f>H18+I18</f>
      </c>
      <c r="K18" s="209">
        <v>40000</v>
      </c>
      <c r="L18" s="58">
        <f>K18*I18</f>
      </c>
      <c r="M18" s="58">
        <f>K18*J18</f>
      </c>
      <c r="N18" s="16"/>
      <c r="O18" s="210">
        <v>24</v>
      </c>
      <c r="P18" s="211">
        <f>IF(ISBLANK(N18),O18/4.3,N18/20)</f>
      </c>
      <c r="Q18" s="209">
        <v>4000</v>
      </c>
      <c r="R18" s="212" t="s">
        <v>133</v>
      </c>
      <c r="S18" s="3"/>
      <c r="T18" s="213">
        <f>IF(ISBLANK(R18),0,X18)</f>
      </c>
      <c r="U18" s="213">
        <f>IF(ISBLANK(S18),0,X18)</f>
      </c>
      <c r="V18" s="214">
        <f>IFERROR(Q18/K18,0)</f>
      </c>
      <c r="W18" s="58">
        <f>IFERROR(L18*V18,0)</f>
      </c>
      <c r="X18" s="213">
        <f>IFERROR(Q18+W18,0)</f>
      </c>
      <c r="Y18" s="213">
        <f>IFERROR(M18*V18,0)</f>
      </c>
      <c r="Z18" s="213">
        <f>Y18-(Y18*$B$1)</f>
      </c>
      <c r="AA18" s="67">
        <f>IFERROR(Z18/X18,"")</f>
      </c>
      <c r="AB18" s="215">
        <f>IFERROR(IF(ISBLANK(N18),Y18/O18,Y18/N18),0)</f>
      </c>
      <c r="AC18" s="215">
        <f>IFERROR(-1*(AB18*B$1),0)</f>
      </c>
      <c r="AD18" s="215">
        <f>IFERROR(SUM(AB18:AC18),0)</f>
      </c>
      <c r="AE18" s="215">
        <f>IF(ISBLANK(N18),AD18,AD18*5)</f>
      </c>
      <c r="AF18" s="399">
        <f>SUM(AG18:BE18)</f>
      </c>
      <c r="AG18" s="400"/>
      <c r="AH18" s="400"/>
      <c r="AI18" s="400"/>
      <c r="AJ18" s="400"/>
      <c r="AK18" s="400"/>
      <c r="AL18" s="400"/>
      <c r="AM18" s="400"/>
      <c r="AN18" s="400"/>
      <c r="AO18" s="400"/>
      <c r="AP18" s="338"/>
      <c r="AQ18" s="338"/>
      <c r="AR18" s="338">
        <v>242.4</v>
      </c>
      <c r="AS18" s="338">
        <v>484.8</v>
      </c>
      <c r="AT18" s="338"/>
      <c r="AU18" s="338"/>
      <c r="AV18" s="338">
        <v>484.8</v>
      </c>
      <c r="AW18" s="338">
        <v>242.4</v>
      </c>
      <c r="AX18" s="338">
        <v>242.4</v>
      </c>
      <c r="AY18" s="338"/>
      <c r="AZ18" s="338">
        <v>242.4</v>
      </c>
      <c r="BA18" s="338">
        <v>242.4</v>
      </c>
      <c r="BB18" s="402">
        <v>484.8</v>
      </c>
      <c r="BC18" s="403"/>
      <c r="BD18" s="403"/>
      <c r="BE18" s="403"/>
      <c r="BF18" s="215">
        <f>Y18-AF18</f>
      </c>
      <c r="BG18" s="214">
        <f>IFERROR(AF18/Y18,0)</f>
      </c>
      <c r="BH18" s="214">
        <f>IFERROR(AF18/X18,0)</f>
      </c>
      <c r="BI18" s="238">
        <f>IFERROR(X18/SUM(X$4:X$20),0)</f>
      </c>
      <c r="BJ18" s="238">
        <f>IFERROR(BF18/SUM(BF$3:BF215),0)</f>
      </c>
      <c r="BK18" s="217">
        <f>BF18/'R&amp;H Portfolio'!Q$10</f>
      </c>
      <c r="BL18" s="215">
        <f>BI18*P18</f>
      </c>
      <c r="BM18" s="73"/>
      <c r="BN18" s="220">
        <f>IF(BM18="YES", BF18, "")</f>
      </c>
      <c r="BO18" s="17"/>
      <c r="BP18" s="4"/>
      <c r="BQ18" s="4"/>
      <c r="BR18" s="4"/>
      <c r="BS18" s="4"/>
      <c r="BT18" s="4"/>
      <c r="BU18" s="4"/>
      <c r="BV18" s="4"/>
    </row>
    <row x14ac:dyDescent="0.25" r="19" customHeight="1" ht="16">
      <c r="A19" s="202">
        <v>25568.79196759259</v>
      </c>
      <c r="B19" s="203" t="s">
        <v>865</v>
      </c>
      <c r="C19" s="204" t="s">
        <v>866</v>
      </c>
      <c r="D19" s="70" t="s">
        <v>867</v>
      </c>
      <c r="E19" s="70" t="s">
        <v>868</v>
      </c>
      <c r="F19" s="70" t="s">
        <v>306</v>
      </c>
      <c r="G19" s="205">
        <v>585</v>
      </c>
      <c r="H19" s="206">
        <v>1.349</v>
      </c>
      <c r="I19" s="207">
        <v>0.15</v>
      </c>
      <c r="J19" s="398">
        <f>H19+I19</f>
      </c>
      <c r="K19" s="209">
        <v>95000</v>
      </c>
      <c r="L19" s="58">
        <f>K19*I19</f>
      </c>
      <c r="M19" s="58">
        <f>K19*J19</f>
      </c>
      <c r="N19" s="16"/>
      <c r="O19" s="210">
        <v>22</v>
      </c>
      <c r="P19" s="211">
        <f>IF(ISBLANK(N19),O19/4.3,N19/20)</f>
      </c>
      <c r="Q19" s="209">
        <v>7000</v>
      </c>
      <c r="R19" s="212" t="s">
        <v>133</v>
      </c>
      <c r="S19" s="3"/>
      <c r="T19" s="213">
        <f>IF(ISBLANK(R19),0,X19)</f>
      </c>
      <c r="U19" s="213">
        <f>IF(ISBLANK(S19),0,X19)</f>
      </c>
      <c r="V19" s="214">
        <f>IFERROR(Q19/K19,0)</f>
      </c>
      <c r="W19" s="58">
        <f>IFERROR(L19*V19,0)</f>
      </c>
      <c r="X19" s="213">
        <f>IFERROR(Q19+W19,0)</f>
      </c>
      <c r="Y19" s="213">
        <f>IFERROR(M19*V19,0)</f>
      </c>
      <c r="Z19" s="213">
        <f>Y19-(Y19*$B$1)</f>
      </c>
      <c r="AA19" s="67">
        <f>IFERROR(Z19/X19,"")</f>
      </c>
      <c r="AB19" s="215">
        <f>IFERROR(IF(ISBLANK(N19),Y19/O19,Y19/N19),0)</f>
      </c>
      <c r="AC19" s="215">
        <f>IFERROR(-1*(AB19*B$1),0)</f>
      </c>
      <c r="AD19" s="215">
        <f>IFERROR(SUM(AB19:AC19),0)</f>
      </c>
      <c r="AE19" s="215">
        <f>IF(ISBLANK(N19),AD19,AD19*5)</f>
      </c>
      <c r="AF19" s="399">
        <f>SUM(AG19:BE19)</f>
      </c>
      <c r="AG19" s="400"/>
      <c r="AH19" s="400"/>
      <c r="AI19" s="400"/>
      <c r="AJ19" s="400"/>
      <c r="AK19" s="400"/>
      <c r="AL19" s="400"/>
      <c r="AM19" s="400"/>
      <c r="AN19" s="400"/>
      <c r="AO19" s="400"/>
      <c r="AP19" s="338"/>
      <c r="AQ19" s="338"/>
      <c r="AR19" s="338"/>
      <c r="AS19" s="338">
        <v>462.65</v>
      </c>
      <c r="AT19" s="338">
        <v>462.65</v>
      </c>
      <c r="AU19" s="338">
        <v>462.65</v>
      </c>
      <c r="AV19" s="338">
        <v>462.65</v>
      </c>
      <c r="AW19" s="338">
        <v>35.73</v>
      </c>
      <c r="AX19" s="338">
        <v>35.73</v>
      </c>
      <c r="AY19" s="338">
        <v>178.68</v>
      </c>
      <c r="AZ19" s="338">
        <v>285.89</v>
      </c>
      <c r="BA19" s="338">
        <v>103.64</v>
      </c>
      <c r="BB19" s="402">
        <v>107.21</v>
      </c>
      <c r="BC19" s="403"/>
      <c r="BD19" s="403"/>
      <c r="BE19" s="403"/>
      <c r="BF19" s="215">
        <f>Y19-AF19</f>
      </c>
      <c r="BG19" s="214">
        <f>IFERROR(AF19/Y19,0)</f>
      </c>
      <c r="BH19" s="214">
        <f>IFERROR(AF19/X19,0)</f>
      </c>
      <c r="BI19" s="238">
        <f>IFERROR(X19/SUM(X$4:X$20),0)</f>
      </c>
      <c r="BJ19" s="238">
        <f>IFERROR(BF19/SUM(BF$3:BF216),0)</f>
      </c>
      <c r="BK19" s="217">
        <f>BF19/'R&amp;H Portfolio'!Q$10</f>
      </c>
      <c r="BL19" s="215">
        <f>BI19*P19</f>
      </c>
      <c r="BM19" s="73"/>
      <c r="BN19" s="220">
        <f>IF(BM19="YES", BF19, "")</f>
      </c>
      <c r="BO19" s="17"/>
      <c r="BP19" s="4"/>
      <c r="BQ19" s="4"/>
      <c r="BR19" s="4"/>
      <c r="BS19" s="4"/>
      <c r="BT19" s="4"/>
      <c r="BU19" s="4"/>
      <c r="BV19" s="4"/>
    </row>
    <row x14ac:dyDescent="0.25" r="20" customHeight="1" ht="15">
      <c r="A20" s="223">
        <v>25568.79196759259</v>
      </c>
      <c r="B20" s="224" t="s">
        <v>869</v>
      </c>
      <c r="C20" s="225" t="s">
        <v>870</v>
      </c>
      <c r="D20" s="226" t="s">
        <v>871</v>
      </c>
      <c r="E20" s="226" t="s">
        <v>144</v>
      </c>
      <c r="F20" s="226" t="s">
        <v>160</v>
      </c>
      <c r="G20" s="245">
        <v>770</v>
      </c>
      <c r="H20" s="228">
        <v>1.349</v>
      </c>
      <c r="I20" s="229">
        <v>0.15</v>
      </c>
      <c r="J20" s="391">
        <f>H20+I20</f>
      </c>
      <c r="K20" s="231">
        <v>40000</v>
      </c>
      <c r="L20" s="232">
        <f>K20*I20</f>
      </c>
      <c r="M20" s="232">
        <f>K20*J20</f>
      </c>
      <c r="N20" s="233">
        <v>90</v>
      </c>
      <c r="O20" s="233"/>
      <c r="P20" s="234">
        <f>IF(ISBLANK(N20),O20/4.3,N20/20)</f>
      </c>
      <c r="Q20" s="231">
        <v>4000</v>
      </c>
      <c r="R20" s="246" t="s">
        <v>133</v>
      </c>
      <c r="S20" s="231"/>
      <c r="T20" s="239">
        <f>IF(ISBLANK(R20),0,X20)</f>
      </c>
      <c r="U20" s="239">
        <f>IF(ISBLANK(S20),0,X20)</f>
      </c>
      <c r="V20" s="238">
        <f>IFERROR(Q20/K20,0)</f>
      </c>
      <c r="W20" s="232">
        <f>IFERROR(L20*V20,0)</f>
      </c>
      <c r="X20" s="239">
        <f>IFERROR(Q20+W20,0)</f>
      </c>
      <c r="Y20" s="239">
        <f>IFERROR(M20*V20,0)</f>
      </c>
      <c r="Z20" s="239">
        <f>Y20-(Y20*$B$1)</f>
      </c>
      <c r="AA20" s="240">
        <f>IFERROR(Z20/X20,"")</f>
      </c>
      <c r="AB20" s="241">
        <f>IFERROR(IF(ISBLANK(N20),Y20/O20,Y20/N20),0)</f>
      </c>
      <c r="AC20" s="241">
        <f>IFERROR(-1*(AB20*B$1),0)</f>
      </c>
      <c r="AD20" s="241">
        <f>IFERROR(SUM(AB20:AC20),0)</f>
      </c>
      <c r="AE20" s="241">
        <f>IF(ISBLANK(N20),AD20,AD20*5)</f>
      </c>
      <c r="AF20" s="392">
        <f>SUM(AG20:BE20)</f>
      </c>
      <c r="AG20" s="393"/>
      <c r="AH20" s="393"/>
      <c r="AI20" s="393"/>
      <c r="AJ20" s="393"/>
      <c r="AK20" s="393"/>
      <c r="AL20" s="393"/>
      <c r="AM20" s="393"/>
      <c r="AN20" s="393"/>
      <c r="AO20" s="393"/>
      <c r="AP20" s="243"/>
      <c r="AQ20" s="243"/>
      <c r="AR20" s="243">
        <v>129.4</v>
      </c>
      <c r="AS20" s="243">
        <v>258.8</v>
      </c>
      <c r="AT20" s="243">
        <v>258.8</v>
      </c>
      <c r="AU20" s="243">
        <v>323.5</v>
      </c>
      <c r="AV20" s="243">
        <v>323.5</v>
      </c>
      <c r="AW20" s="243">
        <v>323.5</v>
      </c>
      <c r="AX20" s="243">
        <v>323.5</v>
      </c>
      <c r="AY20" s="243">
        <v>258.8</v>
      </c>
      <c r="AZ20" s="243">
        <v>323.5</v>
      </c>
      <c r="BA20" s="243">
        <v>258.8</v>
      </c>
      <c r="BB20" s="412">
        <v>323.5</v>
      </c>
      <c r="BC20" s="413"/>
      <c r="BD20" s="413"/>
      <c r="BE20" s="413"/>
      <c r="BF20" s="241">
        <f>Y20-AF20</f>
      </c>
      <c r="BG20" s="238">
        <f>IFERROR(AF20/Y20,0)</f>
      </c>
      <c r="BH20" s="238">
        <f>IFERROR(AF20/X20,0)</f>
      </c>
      <c r="BI20" s="238">
        <f>IFERROR(X20/SUM(X$4:X$20),0)</f>
      </c>
      <c r="BJ20" s="238">
        <f>IFERROR(BF20/SUM(BF$3:BF217),0)</f>
      </c>
      <c r="BK20" s="217">
        <f>BF20/'R&amp;H Portfolio'!Q$10</f>
      </c>
      <c r="BL20" s="241">
        <f>BI20*P20</f>
      </c>
      <c r="BM20" s="218"/>
      <c r="BN20" s="219">
        <f>IF(BM20="YES", BF20, "")</f>
      </c>
      <c r="BO20" s="17"/>
      <c r="BP20" s="4"/>
      <c r="BQ20" s="4"/>
      <c r="BR20" s="4"/>
      <c r="BS20" s="4"/>
      <c r="BT20" s="4"/>
      <c r="BU20" s="4"/>
      <c r="BV20" s="4"/>
    </row>
    <row x14ac:dyDescent="0.25" r="21" customHeight="1" ht="15">
      <c r="A21" s="202">
        <v>25568.79196759259</v>
      </c>
      <c r="B21" s="203" t="s">
        <v>872</v>
      </c>
      <c r="C21" s="204" t="s">
        <v>873</v>
      </c>
      <c r="D21" s="70" t="s">
        <v>874</v>
      </c>
      <c r="E21" s="70" t="s">
        <v>131</v>
      </c>
      <c r="F21" s="70" t="s">
        <v>343</v>
      </c>
      <c r="G21" s="205">
        <v>595</v>
      </c>
      <c r="H21" s="206">
        <v>1.25</v>
      </c>
      <c r="I21" s="207">
        <v>0.15</v>
      </c>
      <c r="J21" s="398">
        <f>H21+I21</f>
      </c>
      <c r="K21" s="209">
        <v>85000</v>
      </c>
      <c r="L21" s="58">
        <f>K21*I21</f>
      </c>
      <c r="M21" s="58">
        <f>K21*J21</f>
      </c>
      <c r="N21" s="210">
        <v>130</v>
      </c>
      <c r="O21" s="16"/>
      <c r="P21" s="211">
        <f>IF(ISBLANK(N21),O21/4.3,N21/20)</f>
      </c>
      <c r="Q21" s="209">
        <v>4000</v>
      </c>
      <c r="R21" s="3"/>
      <c r="S21" s="212" t="s">
        <v>82</v>
      </c>
      <c r="T21" s="213">
        <f>IF(ISBLANK(R21),0,X21)</f>
      </c>
      <c r="U21" s="213">
        <f>IF(ISBLANK(S21),0,X21)</f>
      </c>
      <c r="V21" s="214">
        <f>IFERROR(Q21/K21,0)</f>
      </c>
      <c r="W21" s="58">
        <f>IFERROR(L21*V21,0)</f>
      </c>
      <c r="X21" s="213">
        <f>IFERROR(Q21+W21,0)</f>
      </c>
      <c r="Y21" s="213">
        <f>IFERROR(M21*V21,0)</f>
      </c>
      <c r="Z21" s="213">
        <f>Y21-(Y21*$B$1)</f>
      </c>
      <c r="AA21" s="67">
        <f>IFERROR(Z21/X21,"")</f>
      </c>
      <c r="AB21" s="215">
        <f>IFERROR(IF(ISBLANK(N21),Y21/O21,Y21/N21),0)</f>
      </c>
      <c r="AC21" s="215">
        <f>IFERROR(-1*(AB21*B$1),0)</f>
      </c>
      <c r="AD21" s="215">
        <f>IFERROR(SUM(AB21:AC21),0)</f>
      </c>
      <c r="AE21" s="215">
        <f>IF(ISBLANK(N21),AD21,AD21*5)</f>
      </c>
      <c r="AF21" s="399">
        <f>SUM(AG21:BE21)</f>
      </c>
      <c r="AG21" s="400"/>
      <c r="AH21" s="400"/>
      <c r="AI21" s="400"/>
      <c r="AJ21" s="400"/>
      <c r="AK21" s="400"/>
      <c r="AL21" s="400"/>
      <c r="AM21" s="400"/>
      <c r="AN21" s="400"/>
      <c r="AO21" s="400"/>
      <c r="AP21" s="338"/>
      <c r="AQ21" s="338"/>
      <c r="AR21" s="338"/>
      <c r="AS21" s="338">
        <v>83.64</v>
      </c>
      <c r="AT21" s="338">
        <v>167.28</v>
      </c>
      <c r="AU21" s="338">
        <v>167.28</v>
      </c>
      <c r="AV21" s="338">
        <v>34.25</v>
      </c>
      <c r="AW21" s="338">
        <v>57.05</v>
      </c>
      <c r="AX21" s="338">
        <v>91.31</v>
      </c>
      <c r="AY21" s="338">
        <v>62.36</v>
      </c>
      <c r="AZ21" s="338"/>
      <c r="BA21" s="338"/>
      <c r="BB21" s="402"/>
      <c r="BC21" s="403"/>
      <c r="BD21" s="403"/>
      <c r="BE21" s="403"/>
      <c r="BF21" s="215">
        <f>Y21-AF21</f>
      </c>
      <c r="BG21" s="214">
        <f>IFERROR(AF21/Y21,0)</f>
      </c>
      <c r="BH21" s="214">
        <f>IFERROR(AF21/X21,0)</f>
      </c>
      <c r="BI21" s="238">
        <f>IFERROR(X21/SUM(X$21:X$32),0)</f>
      </c>
      <c r="BJ21" s="238">
        <f>IFERROR(BF21/SUM(BF$3:BF218),0)</f>
      </c>
      <c r="BK21" s="217">
        <f>BF21/'R&amp;H Portfolio'!Q$10</f>
      </c>
      <c r="BL21" s="215">
        <f>BI21*P21</f>
      </c>
      <c r="BM21" s="73"/>
      <c r="BN21" s="220">
        <f>IF(BM21="YES", BF21, "")</f>
      </c>
      <c r="BO21" s="17"/>
      <c r="BP21" s="4"/>
      <c r="BQ21" s="4"/>
      <c r="BR21" s="4"/>
      <c r="BS21" s="4"/>
      <c r="BT21" s="4"/>
      <c r="BU21" s="4"/>
      <c r="BV21" s="4"/>
    </row>
    <row x14ac:dyDescent="0.25" r="22" customHeight="1" ht="15">
      <c r="A22" s="366">
        <v>25568.79196759259</v>
      </c>
      <c r="B22" s="367" t="s">
        <v>875</v>
      </c>
      <c r="C22" s="368" t="s">
        <v>876</v>
      </c>
      <c r="D22" s="369" t="s">
        <v>877</v>
      </c>
      <c r="E22" s="369" t="s">
        <v>878</v>
      </c>
      <c r="F22" s="369" t="s">
        <v>469</v>
      </c>
      <c r="G22" s="370">
        <v>575</v>
      </c>
      <c r="H22" s="371">
        <v>1.349</v>
      </c>
      <c r="I22" s="372">
        <v>0.15</v>
      </c>
      <c r="J22" s="404">
        <f>H22+I22</f>
      </c>
      <c r="K22" s="73">
        <v>40000</v>
      </c>
      <c r="L22" s="73">
        <f>K22*I22</f>
      </c>
      <c r="M22" s="73">
        <f>K22*J22</f>
      </c>
      <c r="N22" s="374">
        <v>120</v>
      </c>
      <c r="O22" s="374"/>
      <c r="P22" s="375">
        <f>IF(ISBLANK(N22),O22/4.3,N22/20)</f>
      </c>
      <c r="Q22" s="73">
        <v>3000</v>
      </c>
      <c r="R22" s="73"/>
      <c r="S22" s="369" t="s">
        <v>82</v>
      </c>
      <c r="T22" s="73">
        <f>IF(ISBLANK(R22),0,X22)</f>
      </c>
      <c r="U22" s="73">
        <f>IF(ISBLANK(S22),0,X22)</f>
      </c>
      <c r="V22" s="376">
        <f>IFERROR(Q22/K22,0)</f>
      </c>
      <c r="W22" s="73">
        <f>IFERROR(L22*V22,0)</f>
      </c>
      <c r="X22" s="73">
        <f>IFERROR(Q22+W22,0)</f>
      </c>
      <c r="Y22" s="73">
        <f>IFERROR(M22*V22,0)</f>
      </c>
      <c r="Z22" s="73">
        <f>Y22-(Y22*$B$1)</f>
      </c>
      <c r="AA22" s="377">
        <f>IFERROR(Z22/X22,"")</f>
      </c>
      <c r="AB22" s="220">
        <f>IFERROR(IF(ISBLANK(N22),Y22/O22,Y22/N22),0)</f>
      </c>
      <c r="AC22" s="220">
        <f>IFERROR(-1*(AB22*B$1),0)</f>
      </c>
      <c r="AD22" s="220">
        <f>IFERROR(SUM(AB22:AC22),0)</f>
      </c>
      <c r="AE22" s="220">
        <f>IF(ISBLANK(N22),AD22,AD22*5)</f>
      </c>
      <c r="AF22" s="405">
        <f>SUM(AG22:BE22)</f>
      </c>
      <c r="AG22" s="406"/>
      <c r="AH22" s="406"/>
      <c r="AI22" s="406"/>
      <c r="AJ22" s="406"/>
      <c r="AK22" s="406"/>
      <c r="AL22" s="406"/>
      <c r="AM22" s="406"/>
      <c r="AN22" s="406"/>
      <c r="AO22" s="406"/>
      <c r="AP22" s="407"/>
      <c r="AQ22" s="407"/>
      <c r="AR22" s="407"/>
      <c r="AS22" s="407">
        <v>72.74</v>
      </c>
      <c r="AT22" s="407">
        <v>145.48</v>
      </c>
      <c r="AU22" s="407">
        <v>109.11</v>
      </c>
      <c r="AV22" s="407"/>
      <c r="AW22" s="407"/>
      <c r="AX22" s="407"/>
      <c r="AY22" s="407"/>
      <c r="AZ22" s="407">
        <v>214.86</v>
      </c>
      <c r="BA22" s="407"/>
      <c r="BB22" s="409">
        <v>356.48</v>
      </c>
      <c r="BC22" s="410"/>
      <c r="BD22" s="410"/>
      <c r="BE22" s="410"/>
      <c r="BF22" s="220">
        <f>Y22-AF22</f>
      </c>
      <c r="BG22" s="376">
        <f>IFERROR(AF22/Y22,0)</f>
      </c>
      <c r="BH22" s="376">
        <f>IFERROR(AF22/X22,0)</f>
      </c>
      <c r="BI22" s="411">
        <f>IFERROR(X22/SUM(X$21:X$32),0)</f>
      </c>
      <c r="BJ22" s="411">
        <f>IFERROR(BF22/SUM(BF$3:BF219),0)</f>
      </c>
      <c r="BK22" s="378">
        <f>BF22/'R&amp;H Portfolio'!Q$10</f>
      </c>
      <c r="BL22" s="220">
        <f>BI22*P22</f>
      </c>
      <c r="BM22" s="369" t="s">
        <v>831</v>
      </c>
      <c r="BN22" s="220">
        <f>IF(BM22="YES", BF22, "")</f>
      </c>
      <c r="BO22" s="366">
        <v>25568.79196759259</v>
      </c>
      <c r="BP22" s="4"/>
      <c r="BQ22" s="4"/>
      <c r="BR22" s="4"/>
      <c r="BS22" s="4"/>
      <c r="BT22" s="4"/>
      <c r="BU22" s="4"/>
      <c r="BV22" s="4"/>
    </row>
    <row x14ac:dyDescent="0.25" r="23" customHeight="1" ht="15">
      <c r="A23" s="202">
        <v>25568.79196759259</v>
      </c>
      <c r="B23" s="203" t="s">
        <v>879</v>
      </c>
      <c r="C23" s="204" t="s">
        <v>880</v>
      </c>
      <c r="D23" s="70" t="s">
        <v>881</v>
      </c>
      <c r="E23" s="70" t="s">
        <v>882</v>
      </c>
      <c r="F23" s="70" t="s">
        <v>343</v>
      </c>
      <c r="G23" s="205">
        <v>686</v>
      </c>
      <c r="H23" s="206">
        <v>1.25</v>
      </c>
      <c r="I23" s="207">
        <v>0.15</v>
      </c>
      <c r="J23" s="398">
        <f>H23+I23</f>
      </c>
      <c r="K23" s="209">
        <v>80000</v>
      </c>
      <c r="L23" s="58">
        <f>K23*I23</f>
      </c>
      <c r="M23" s="58">
        <f>K23*J23</f>
      </c>
      <c r="N23" s="16"/>
      <c r="O23" s="210">
        <v>24</v>
      </c>
      <c r="P23" s="211">
        <f>IF(ISBLANK(N23),O23/4.3,N23/20)</f>
      </c>
      <c r="Q23" s="209">
        <v>5000</v>
      </c>
      <c r="R23" s="212" t="s">
        <v>816</v>
      </c>
      <c r="S23" s="3"/>
      <c r="T23" s="213">
        <f>IF(ISBLANK(R23),0,X23)</f>
      </c>
      <c r="U23" s="213">
        <f>IF(ISBLANK(S23),0,X23)</f>
      </c>
      <c r="V23" s="214">
        <f>IFERROR(Q23/K23,0)</f>
      </c>
      <c r="W23" s="58">
        <f>IFERROR(L23*V23,0)</f>
      </c>
      <c r="X23" s="213">
        <f>IFERROR(Q23+W23,0)</f>
      </c>
      <c r="Y23" s="213">
        <f>IFERROR(M23*V23,0)</f>
      </c>
      <c r="Z23" s="213">
        <f>Y23-(Y23*$B$1)</f>
      </c>
      <c r="AA23" s="67">
        <f>IFERROR(Z23/X23,"")</f>
      </c>
      <c r="AB23" s="215">
        <f>IFERROR(IF(ISBLANK(N23),Y23/O23,Y23/N23),0)</f>
      </c>
      <c r="AC23" s="215">
        <f>IFERROR(-1*(AB23*B$1),0)</f>
      </c>
      <c r="AD23" s="215">
        <f>IFERROR(SUM(AB23:AC23),0)</f>
      </c>
      <c r="AE23" s="215">
        <f>IF(ISBLANK(N23),AD23,AD23*5)</f>
      </c>
      <c r="AF23" s="399">
        <f>SUM(AG23:BE23)</f>
      </c>
      <c r="AG23" s="400"/>
      <c r="AH23" s="400"/>
      <c r="AI23" s="400"/>
      <c r="AJ23" s="400"/>
      <c r="AK23" s="400"/>
      <c r="AL23" s="400"/>
      <c r="AM23" s="400"/>
      <c r="AN23" s="400"/>
      <c r="AO23" s="400"/>
      <c r="AP23" s="338"/>
      <c r="AQ23" s="338"/>
      <c r="AR23" s="338"/>
      <c r="AS23" s="338"/>
      <c r="AT23" s="338">
        <v>282.94</v>
      </c>
      <c r="AU23" s="338"/>
      <c r="AV23" s="338">
        <v>424.38</v>
      </c>
      <c r="AW23" s="338">
        <v>212.19</v>
      </c>
      <c r="AX23" s="338">
        <v>212.19</v>
      </c>
      <c r="AY23" s="338">
        <v>282.94</v>
      </c>
      <c r="AZ23" s="338"/>
      <c r="BA23" s="338"/>
      <c r="BB23" s="402"/>
      <c r="BC23" s="403"/>
      <c r="BD23" s="403"/>
      <c r="BE23" s="403"/>
      <c r="BF23" s="215">
        <f>Y23-AF23</f>
      </c>
      <c r="BG23" s="214">
        <f>IFERROR(AF23/Y23,0)</f>
      </c>
      <c r="BH23" s="214">
        <f>IFERROR(AF23/X23,0)</f>
      </c>
      <c r="BI23" s="238">
        <f>IFERROR(X23/SUM(X$21:X$32),0)</f>
      </c>
      <c r="BJ23" s="238">
        <f>IFERROR(BF23/SUM(BF$3:BF220),0)</f>
      </c>
      <c r="BK23" s="217">
        <f>BF23/'R&amp;H Portfolio'!Q$10</f>
      </c>
      <c r="BL23" s="215">
        <f>BI23*P23</f>
      </c>
      <c r="BM23" s="73"/>
      <c r="BN23" s="220">
        <f>IF(BM23="YES", BF23, "")</f>
      </c>
      <c r="BO23" s="17"/>
      <c r="BP23" s="4"/>
      <c r="BQ23" s="4"/>
      <c r="BR23" s="4"/>
      <c r="BS23" s="4"/>
      <c r="BT23" s="4"/>
      <c r="BU23" s="4"/>
      <c r="BV23" s="4"/>
    </row>
    <row x14ac:dyDescent="0.25" r="24" customHeight="1" ht="15">
      <c r="A24" s="414">
        <v>25568.79196759259</v>
      </c>
      <c r="B24" s="415" t="s">
        <v>883</v>
      </c>
      <c r="C24" s="416" t="s">
        <v>884</v>
      </c>
      <c r="D24" s="417" t="s">
        <v>885</v>
      </c>
      <c r="E24" s="417" t="s">
        <v>201</v>
      </c>
      <c r="F24" s="417" t="s">
        <v>335</v>
      </c>
      <c r="G24" s="418">
        <v>589</v>
      </c>
      <c r="H24" s="419">
        <v>1.35</v>
      </c>
      <c r="I24" s="420">
        <v>0.15</v>
      </c>
      <c r="J24" s="404">
        <f>H24+I24</f>
      </c>
      <c r="K24" s="421">
        <v>43000</v>
      </c>
      <c r="L24" s="73">
        <f>K24*I24</f>
      </c>
      <c r="M24" s="73">
        <f>K24*J24</f>
      </c>
      <c r="N24" s="422">
        <v>90</v>
      </c>
      <c r="O24" s="422"/>
      <c r="P24" s="423">
        <f>IF(ISBLANK(N24),O24/4.3,N24/20)</f>
      </c>
      <c r="Q24" s="421">
        <v>3500</v>
      </c>
      <c r="R24" s="417" t="s">
        <v>816</v>
      </c>
      <c r="S24" s="421"/>
      <c r="T24" s="421">
        <f>IF(ISBLANK(R24),0,X24)</f>
      </c>
      <c r="U24" s="421">
        <f>IF(ISBLANK(S24),0,X24)</f>
      </c>
      <c r="V24" s="376">
        <f>IFERROR(Q24/K24,0)</f>
      </c>
      <c r="W24" s="73">
        <f>IFERROR(L24*V24,0)</f>
      </c>
      <c r="X24" s="421">
        <f>IFERROR(Q24+W24,0)</f>
      </c>
      <c r="Y24" s="421">
        <f>IFERROR(M24*V24,0)</f>
      </c>
      <c r="Z24" s="421">
        <f>Y24-(Y24*$B$1)</f>
      </c>
      <c r="AA24" s="424">
        <f>IFERROR(Z24/X24,"")</f>
      </c>
      <c r="AB24" s="220">
        <f>IFERROR(IF(ISBLANK(N24),Y24/O24,Y24/N24),0)</f>
      </c>
      <c r="AC24" s="220">
        <f>IFERROR(-1*(AB24*B$1),0)</f>
      </c>
      <c r="AD24" s="220">
        <f>IFERROR(SUM(AB24:AC24),0)</f>
      </c>
      <c r="AE24" s="220">
        <f>IF(ISBLANK(N24),AD24,AD24*5)</f>
      </c>
      <c r="AF24" s="425">
        <f>SUM(AG24:BE24)</f>
      </c>
      <c r="AG24" s="426"/>
      <c r="AH24" s="426"/>
      <c r="AI24" s="426"/>
      <c r="AJ24" s="426"/>
      <c r="AK24" s="426"/>
      <c r="AL24" s="426"/>
      <c r="AM24" s="426"/>
      <c r="AN24" s="426"/>
      <c r="AO24" s="426"/>
      <c r="AP24" s="427"/>
      <c r="AQ24" s="427"/>
      <c r="AR24" s="427"/>
      <c r="AS24" s="427">
        <v>56.61</v>
      </c>
      <c r="AT24" s="427">
        <v>226.44</v>
      </c>
      <c r="AU24" s="427">
        <v>283.05</v>
      </c>
      <c r="AV24" s="427">
        <v>283.05</v>
      </c>
      <c r="AW24" s="427">
        <v>283.05</v>
      </c>
      <c r="AX24" s="427">
        <v>113.22</v>
      </c>
      <c r="AY24" s="427"/>
      <c r="AZ24" s="427"/>
      <c r="BA24" s="427"/>
      <c r="BB24" s="428">
        <v>165.8</v>
      </c>
      <c r="BC24" s="429"/>
      <c r="BD24" s="429"/>
      <c r="BE24" s="429"/>
      <c r="BF24" s="220">
        <f>Y24-AF24</f>
      </c>
      <c r="BG24" s="376">
        <f>IFERROR(AF24/Y24,0)</f>
      </c>
      <c r="BH24" s="376">
        <f>IFERROR(AF24/X24,0)</f>
      </c>
      <c r="BI24" s="411">
        <f>IFERROR(X24/SUM(X$21:X$32),0)</f>
      </c>
      <c r="BJ24" s="411">
        <f>IFERROR(BF24/SUM(BF$3:BF221),0)</f>
      </c>
      <c r="BK24" s="378">
        <f>BF24/'R&amp;H Portfolio'!Q$10</f>
      </c>
      <c r="BL24" s="220">
        <f>BI24*P24</f>
      </c>
      <c r="BM24" s="369" t="s">
        <v>831</v>
      </c>
      <c r="BN24" s="220">
        <f>IF(BM24="YES", BF24, "")</f>
      </c>
      <c r="BO24" s="366">
        <v>25568.79196759259</v>
      </c>
      <c r="BP24" s="4"/>
      <c r="BQ24" s="4"/>
      <c r="BR24" s="4"/>
      <c r="BS24" s="4"/>
      <c r="BT24" s="4"/>
      <c r="BU24" s="4"/>
      <c r="BV24" s="4"/>
    </row>
    <row x14ac:dyDescent="0.25" r="25" customHeight="1" ht="15">
      <c r="A25" s="202">
        <v>25568.79196759259</v>
      </c>
      <c r="B25" s="203" t="s">
        <v>886</v>
      </c>
      <c r="C25" s="204" t="s">
        <v>887</v>
      </c>
      <c r="D25" s="70" t="s">
        <v>888</v>
      </c>
      <c r="E25" s="70" t="s">
        <v>889</v>
      </c>
      <c r="F25" s="70" t="s">
        <v>170</v>
      </c>
      <c r="G25" s="205">
        <v>700</v>
      </c>
      <c r="H25" s="206">
        <v>1.349</v>
      </c>
      <c r="I25" s="207">
        <v>0.15</v>
      </c>
      <c r="J25" s="398">
        <f>H25+I25</f>
      </c>
      <c r="K25" s="209">
        <v>40000</v>
      </c>
      <c r="L25" s="58">
        <f>K25*I25</f>
      </c>
      <c r="M25" s="58">
        <f>K25*J25</f>
      </c>
      <c r="N25" s="210">
        <v>100</v>
      </c>
      <c r="O25" s="16"/>
      <c r="P25" s="211">
        <f>IF(ISBLANK(N25),O25/4.3,N25/20)</f>
      </c>
      <c r="Q25" s="209">
        <v>1200</v>
      </c>
      <c r="R25" s="3"/>
      <c r="S25" s="212" t="s">
        <v>82</v>
      </c>
      <c r="T25" s="213">
        <f>IF(ISBLANK(R25),0,X25)</f>
      </c>
      <c r="U25" s="213">
        <f>IF(ISBLANK(S25),0,X25)</f>
      </c>
      <c r="V25" s="214">
        <f>IFERROR(Q25/K25,0)</f>
      </c>
      <c r="W25" s="58">
        <f>IFERROR(L25*V25,0)</f>
      </c>
      <c r="X25" s="213">
        <f>IFERROR(Q25+W25,0)</f>
      </c>
      <c r="Y25" s="213">
        <f>IFERROR(M25*V25,0)</f>
      </c>
      <c r="Z25" s="213">
        <f>Y25-(Y25*$B$1)</f>
      </c>
      <c r="AA25" s="67">
        <f>IFERROR(Z25/X25,"")</f>
      </c>
      <c r="AB25" s="215">
        <f>IFERROR(IF(ISBLANK(N25),Y25/O25,Y25/N25),0)</f>
      </c>
      <c r="AC25" s="215">
        <f>IFERROR(-1*(AB25*B$1),0)</f>
      </c>
      <c r="AD25" s="215">
        <f>IFERROR(SUM(AB25:AC25),0)</f>
      </c>
      <c r="AE25" s="215">
        <f>IF(ISBLANK(N25),AD25,AD25*5)</f>
      </c>
      <c r="AF25" s="399">
        <f>SUM(AG25:BE25)</f>
      </c>
      <c r="AG25" s="400"/>
      <c r="AH25" s="400"/>
      <c r="AI25" s="400"/>
      <c r="AJ25" s="400"/>
      <c r="AK25" s="400"/>
      <c r="AL25" s="400"/>
      <c r="AM25" s="400"/>
      <c r="AN25" s="400"/>
      <c r="AO25" s="400"/>
      <c r="AP25" s="338"/>
      <c r="AQ25" s="338"/>
      <c r="AR25" s="338"/>
      <c r="AS25" s="338"/>
      <c r="AT25" s="338"/>
      <c r="AU25" s="338"/>
      <c r="AV25" s="338">
        <v>244.44</v>
      </c>
      <c r="AW25" s="338">
        <v>87.3</v>
      </c>
      <c r="AX25" s="338">
        <v>87.3</v>
      </c>
      <c r="AY25" s="338">
        <v>69.84</v>
      </c>
      <c r="AZ25" s="338">
        <v>87.3</v>
      </c>
      <c r="BA25" s="338">
        <v>69.84</v>
      </c>
      <c r="BB25" s="402">
        <v>87.3</v>
      </c>
      <c r="BC25" s="403"/>
      <c r="BD25" s="403"/>
      <c r="BE25" s="403"/>
      <c r="BF25" s="215">
        <f>Y25-AF25</f>
      </c>
      <c r="BG25" s="214">
        <f>IFERROR(AF25/Y25,0)</f>
      </c>
      <c r="BH25" s="214">
        <f>IFERROR(AF25/X25,0)</f>
      </c>
      <c r="BI25" s="238">
        <f>IFERROR(X25/SUM(X$21:X$32),0)</f>
      </c>
      <c r="BJ25" s="238">
        <f>IFERROR(BF25/SUM(BF$3:BF222),0)</f>
      </c>
      <c r="BK25" s="217">
        <f>BF25/'R&amp;H Portfolio'!Q$10</f>
      </c>
      <c r="BL25" s="215">
        <f>BI25*P25</f>
      </c>
      <c r="BM25" s="73"/>
      <c r="BN25" s="220">
        <f>IF(BM25="YES", BF25, "")</f>
      </c>
      <c r="BO25" s="17"/>
      <c r="BP25" s="4"/>
      <c r="BQ25" s="4"/>
      <c r="BR25" s="4"/>
      <c r="BS25" s="4"/>
      <c r="BT25" s="4"/>
      <c r="BU25" s="4"/>
      <c r="BV25" s="4"/>
    </row>
    <row x14ac:dyDescent="0.25" r="26" customHeight="1" ht="15">
      <c r="A26" s="202">
        <v>25568.79196759259</v>
      </c>
      <c r="B26" s="203" t="s">
        <v>890</v>
      </c>
      <c r="C26" s="204" t="s">
        <v>891</v>
      </c>
      <c r="D26" s="70" t="s">
        <v>892</v>
      </c>
      <c r="E26" s="70" t="s">
        <v>164</v>
      </c>
      <c r="F26" s="70" t="s">
        <v>226</v>
      </c>
      <c r="G26" s="205">
        <v>696</v>
      </c>
      <c r="H26" s="206">
        <v>1.3</v>
      </c>
      <c r="I26" s="207">
        <v>0.15</v>
      </c>
      <c r="J26" s="398">
        <f>H26+I26</f>
      </c>
      <c r="K26" s="209">
        <v>55000</v>
      </c>
      <c r="L26" s="58">
        <f>K26*I26</f>
      </c>
      <c r="M26" s="58">
        <f>K26*J26</f>
      </c>
      <c r="N26" s="16"/>
      <c r="O26" s="210">
        <v>24</v>
      </c>
      <c r="P26" s="211">
        <f>IF(ISBLANK(N26),O26/4.3,N26/20)</f>
      </c>
      <c r="Q26" s="209">
        <v>1650</v>
      </c>
      <c r="R26" s="3"/>
      <c r="S26" s="212" t="s">
        <v>82</v>
      </c>
      <c r="T26" s="213">
        <f>IF(ISBLANK(R26),0,X26)</f>
      </c>
      <c r="U26" s="213">
        <f>IF(ISBLANK(S26),0,X26)</f>
      </c>
      <c r="V26" s="214">
        <f>IFERROR(Q26/K26,0)</f>
      </c>
      <c r="W26" s="58">
        <f>IFERROR(L26*V26,0)</f>
      </c>
      <c r="X26" s="213">
        <f>IFERROR(Q26+W26,0)</f>
      </c>
      <c r="Y26" s="213">
        <f>IFERROR(M26*V26,0)</f>
      </c>
      <c r="Z26" s="213">
        <f>Y26-(Y26*$B$1)</f>
      </c>
      <c r="AA26" s="67">
        <f>IFERROR(Z26/X26,"")</f>
      </c>
      <c r="AB26" s="215">
        <f>IFERROR(IF(ISBLANK(N26),Y26/O26,Y26/N26),0)</f>
      </c>
      <c r="AC26" s="215">
        <f>IFERROR(-1*(AB26*B$1),0)</f>
      </c>
      <c r="AD26" s="215">
        <f>IFERROR(SUM(AB26:AC26),0)</f>
      </c>
      <c r="AE26" s="215">
        <f>IF(ISBLANK(N26),AD26,AD26*5)</f>
      </c>
      <c r="AF26" s="399">
        <f>SUM(AG26:BE26)</f>
      </c>
      <c r="AG26" s="400"/>
      <c r="AH26" s="400"/>
      <c r="AI26" s="400"/>
      <c r="AJ26" s="400"/>
      <c r="AK26" s="400"/>
      <c r="AL26" s="400"/>
      <c r="AM26" s="400"/>
      <c r="AN26" s="400"/>
      <c r="AO26" s="400"/>
      <c r="AP26" s="338"/>
      <c r="AQ26" s="338"/>
      <c r="AR26" s="338"/>
      <c r="AS26" s="338"/>
      <c r="AT26" s="338"/>
      <c r="AU26" s="338"/>
      <c r="AV26" s="338">
        <v>290.1</v>
      </c>
      <c r="AW26" s="338">
        <v>96.7</v>
      </c>
      <c r="AX26" s="338">
        <v>96.7</v>
      </c>
      <c r="AY26" s="338">
        <v>96.7</v>
      </c>
      <c r="AZ26" s="338">
        <v>96.7</v>
      </c>
      <c r="BA26" s="338">
        <v>96.7</v>
      </c>
      <c r="BB26" s="402">
        <v>96.7</v>
      </c>
      <c r="BC26" s="403"/>
      <c r="BD26" s="403"/>
      <c r="BE26" s="403"/>
      <c r="BF26" s="215">
        <f>Y26-AF26</f>
      </c>
      <c r="BG26" s="214">
        <f>IFERROR(AF26/Y26,0)</f>
      </c>
      <c r="BH26" s="214">
        <f>IFERROR(AF26/X26,0)</f>
      </c>
      <c r="BI26" s="238">
        <f>IFERROR(X26/SUM(X$21:X$32),0)</f>
      </c>
      <c r="BJ26" s="238">
        <f>IFERROR(BF26/SUM(BF$3:BF223),0)</f>
      </c>
      <c r="BK26" s="217">
        <f>BF26/'R&amp;H Portfolio'!Q$10</f>
      </c>
      <c r="BL26" s="215">
        <f>BI26*P26</f>
      </c>
      <c r="BM26" s="73"/>
      <c r="BN26" s="220">
        <f>IF(BM26="YES", BF26, "")</f>
      </c>
      <c r="BO26" s="17"/>
      <c r="BP26" s="4"/>
      <c r="BQ26" s="4"/>
      <c r="BR26" s="4"/>
      <c r="BS26" s="4"/>
      <c r="BT26" s="4"/>
      <c r="BU26" s="4"/>
      <c r="BV26" s="4"/>
    </row>
    <row x14ac:dyDescent="0.25" r="27" customHeight="1" ht="15">
      <c r="A27" s="202">
        <v>25568.79196759259</v>
      </c>
      <c r="B27" s="203" t="s">
        <v>893</v>
      </c>
      <c r="C27" s="204" t="s">
        <v>894</v>
      </c>
      <c r="D27" s="70" t="s">
        <v>895</v>
      </c>
      <c r="E27" s="70" t="s">
        <v>896</v>
      </c>
      <c r="F27" s="70" t="s">
        <v>335</v>
      </c>
      <c r="G27" s="205">
        <v>743</v>
      </c>
      <c r="H27" s="206">
        <v>1.25</v>
      </c>
      <c r="I27" s="207">
        <v>0.15</v>
      </c>
      <c r="J27" s="398">
        <f>H27+I27</f>
      </c>
      <c r="K27" s="209">
        <v>60000</v>
      </c>
      <c r="L27" s="58">
        <f>K27*I27</f>
      </c>
      <c r="M27" s="58">
        <f>K27*J27</f>
      </c>
      <c r="N27" s="16"/>
      <c r="O27" s="210">
        <v>34</v>
      </c>
      <c r="P27" s="211">
        <f>IF(ISBLANK(N27),O27/4.3,N27/20)</f>
      </c>
      <c r="Q27" s="209">
        <v>1800</v>
      </c>
      <c r="R27" s="3"/>
      <c r="S27" s="212" t="s">
        <v>82</v>
      </c>
      <c r="T27" s="213">
        <f>IF(ISBLANK(R27),0,X27)</f>
      </c>
      <c r="U27" s="213">
        <f>IF(ISBLANK(S27),0,X27)</f>
      </c>
      <c r="V27" s="214">
        <f>IFERROR(Q27/K27,0)</f>
      </c>
      <c r="W27" s="58">
        <f>IFERROR(L27*V27,0)</f>
      </c>
      <c r="X27" s="213">
        <f>IFERROR(Q27+W27,0)</f>
      </c>
      <c r="Y27" s="213">
        <f>IFERROR(M27*V27,0)</f>
      </c>
      <c r="Z27" s="213">
        <f>Y27-(Y27*$B$1)</f>
      </c>
      <c r="AA27" s="67">
        <f>IFERROR(Z27/X27,"")</f>
      </c>
      <c r="AB27" s="215">
        <f>IFERROR(IF(ISBLANK(N27),Y27/O27,Y27/N27),0)</f>
      </c>
      <c r="AC27" s="215">
        <f>IFERROR(-1*(AB27*B$1),0)</f>
      </c>
      <c r="AD27" s="215">
        <f>IFERROR(SUM(AB27:AC27),0)</f>
      </c>
      <c r="AE27" s="215">
        <f>IF(ISBLANK(N27),AD27,AD27*5)</f>
      </c>
      <c r="AF27" s="399">
        <f>SUM(AG27:BE27)</f>
      </c>
      <c r="AG27" s="400"/>
      <c r="AH27" s="400"/>
      <c r="AI27" s="400"/>
      <c r="AJ27" s="400"/>
      <c r="AK27" s="400"/>
      <c r="AL27" s="400"/>
      <c r="AM27" s="400"/>
      <c r="AN27" s="400"/>
      <c r="AO27" s="400"/>
      <c r="AP27" s="338"/>
      <c r="AQ27" s="338"/>
      <c r="AR27" s="338"/>
      <c r="AS27" s="338"/>
      <c r="AT27" s="338"/>
      <c r="AU27" s="338"/>
      <c r="AV27" s="338">
        <v>143.82</v>
      </c>
      <c r="AW27" s="338">
        <v>71.91</v>
      </c>
      <c r="AX27" s="338">
        <v>71.91</v>
      </c>
      <c r="AY27" s="338">
        <v>71.91</v>
      </c>
      <c r="AZ27" s="338">
        <v>71.91</v>
      </c>
      <c r="BA27" s="338">
        <v>71.91</v>
      </c>
      <c r="BB27" s="402">
        <v>71.91</v>
      </c>
      <c r="BC27" s="403"/>
      <c r="BD27" s="403"/>
      <c r="BE27" s="403"/>
      <c r="BF27" s="215">
        <f>Y27-AF27</f>
      </c>
      <c r="BG27" s="214">
        <f>IFERROR(AF27/Y27,0)</f>
      </c>
      <c r="BH27" s="214">
        <f>IFERROR(AF27/X27,0)</f>
      </c>
      <c r="BI27" s="238">
        <f>IFERROR(X27/SUM(X$21:X$32),0)</f>
      </c>
      <c r="BJ27" s="238">
        <f>IFERROR(BF27/SUM(BF$3:BF224),0)</f>
      </c>
      <c r="BK27" s="217">
        <f>BF27/'R&amp;H Portfolio'!Q$10</f>
      </c>
      <c r="BL27" s="215">
        <f>BI27*P27</f>
      </c>
      <c r="BM27" s="73"/>
      <c r="BN27" s="220">
        <f>IF(BM27="YES", BF27, "")</f>
      </c>
      <c r="BO27" s="17"/>
      <c r="BP27" s="4"/>
      <c r="BQ27" s="4"/>
      <c r="BR27" s="4"/>
      <c r="BS27" s="4"/>
      <c r="BT27" s="4"/>
      <c r="BU27" s="4"/>
      <c r="BV27" s="4"/>
    </row>
    <row x14ac:dyDescent="0.25" r="28" customHeight="1" ht="15">
      <c r="A28" s="202">
        <v>25568.79196759259</v>
      </c>
      <c r="B28" s="203" t="s">
        <v>897</v>
      </c>
      <c r="C28" s="204" t="s">
        <v>898</v>
      </c>
      <c r="D28" s="70" t="s">
        <v>899</v>
      </c>
      <c r="E28" s="70" t="s">
        <v>261</v>
      </c>
      <c r="F28" s="70" t="s">
        <v>170</v>
      </c>
      <c r="G28" s="205">
        <v>636</v>
      </c>
      <c r="H28" s="206">
        <v>1.34</v>
      </c>
      <c r="I28" s="207">
        <v>0.15</v>
      </c>
      <c r="J28" s="398">
        <f>H28+I28</f>
      </c>
      <c r="K28" s="209">
        <v>50000</v>
      </c>
      <c r="L28" s="58">
        <f>K28*I28</f>
      </c>
      <c r="M28" s="58">
        <f>K28*J28</f>
      </c>
      <c r="N28" s="210">
        <v>120</v>
      </c>
      <c r="O28" s="16"/>
      <c r="P28" s="211">
        <f>IF(ISBLANK(N28),O28/4.3,N28/20)</f>
      </c>
      <c r="Q28" s="209">
        <v>1500</v>
      </c>
      <c r="R28" s="212" t="s">
        <v>133</v>
      </c>
      <c r="S28" s="3"/>
      <c r="T28" s="213">
        <f>IF(ISBLANK(R28),0,X28)</f>
      </c>
      <c r="U28" s="213">
        <f>IF(ISBLANK(S28),0,X28)</f>
      </c>
      <c r="V28" s="214">
        <f>IFERROR(Q28/K28,0)</f>
      </c>
      <c r="W28" s="58">
        <f>IFERROR(L28*V28,0)</f>
      </c>
      <c r="X28" s="213">
        <f>IFERROR(Q28+W28,0)</f>
      </c>
      <c r="Y28" s="213">
        <f>IFERROR(M28*V28,0)</f>
      </c>
      <c r="Z28" s="213">
        <f>Y28-(Y28*$B$1)</f>
      </c>
      <c r="AA28" s="67">
        <f>IFERROR(Z28/X28,"")</f>
      </c>
      <c r="AB28" s="215">
        <f>IFERROR(IF(ISBLANK(N28),Y28/O28,Y28/N28),0)</f>
      </c>
      <c r="AC28" s="215">
        <f>IFERROR(-1*(AB28*B$1),0)</f>
      </c>
      <c r="AD28" s="215">
        <f>IFERROR(SUM(AB28:AC28),0)</f>
      </c>
      <c r="AE28" s="215">
        <f>IF(ISBLANK(N28),AD28,AD28*5)</f>
      </c>
      <c r="AF28" s="399">
        <f>SUM(AG28:BE28)</f>
      </c>
      <c r="AG28" s="400"/>
      <c r="AH28" s="400"/>
      <c r="AI28" s="400"/>
      <c r="AJ28" s="400"/>
      <c r="AK28" s="400"/>
      <c r="AL28" s="400"/>
      <c r="AM28" s="400"/>
      <c r="AN28" s="400"/>
      <c r="AO28" s="400"/>
      <c r="AP28" s="338"/>
      <c r="AQ28" s="338"/>
      <c r="AR28" s="338"/>
      <c r="AS28" s="338"/>
      <c r="AT28" s="338"/>
      <c r="AU28" s="338"/>
      <c r="AV28" s="338">
        <v>180.7</v>
      </c>
      <c r="AW28" s="338">
        <v>90.35</v>
      </c>
      <c r="AX28" s="338">
        <v>90.35</v>
      </c>
      <c r="AY28" s="338">
        <v>72.28</v>
      </c>
      <c r="AZ28" s="338">
        <v>90.35</v>
      </c>
      <c r="BA28" s="338">
        <v>72.28</v>
      </c>
      <c r="BB28" s="402">
        <v>36.14</v>
      </c>
      <c r="BC28" s="403"/>
      <c r="BD28" s="403"/>
      <c r="BE28" s="403"/>
      <c r="BF28" s="215">
        <f>Y28-AF28</f>
      </c>
      <c r="BG28" s="214">
        <f>IFERROR(AF28/Y28,0)</f>
      </c>
      <c r="BH28" s="214">
        <f>IFERROR(AF28/X28,0)</f>
      </c>
      <c r="BI28" s="238">
        <f>IFERROR(X28/SUM(X$21:X$32),0)</f>
      </c>
      <c r="BJ28" s="238">
        <f>IFERROR(BF28/SUM(BF$3:BF225),0)</f>
      </c>
      <c r="BK28" s="217">
        <f>BF28/'R&amp;H Portfolio'!Q$10</f>
      </c>
      <c r="BL28" s="215">
        <f>BI28*P28</f>
      </c>
      <c r="BM28" s="73"/>
      <c r="BN28" s="220">
        <f>IF(BM28="YES", BF28, "")</f>
      </c>
      <c r="BO28" s="17"/>
      <c r="BP28" s="4"/>
      <c r="BQ28" s="4"/>
      <c r="BR28" s="4"/>
      <c r="BS28" s="4"/>
      <c r="BT28" s="4"/>
      <c r="BU28" s="4"/>
      <c r="BV28" s="4"/>
    </row>
    <row x14ac:dyDescent="0.25" r="29" customHeight="1" ht="15">
      <c r="A29" s="202">
        <v>25568.79196759259</v>
      </c>
      <c r="B29" s="203" t="s">
        <v>900</v>
      </c>
      <c r="C29" s="204" t="s">
        <v>901</v>
      </c>
      <c r="D29" s="70" t="s">
        <v>902</v>
      </c>
      <c r="E29" s="70" t="s">
        <v>164</v>
      </c>
      <c r="F29" s="70" t="s">
        <v>150</v>
      </c>
      <c r="G29" s="205">
        <v>707</v>
      </c>
      <c r="H29" s="206">
        <v>1.349</v>
      </c>
      <c r="I29" s="207">
        <v>0.15</v>
      </c>
      <c r="J29" s="398">
        <f>H29+I29</f>
      </c>
      <c r="K29" s="209">
        <v>130000</v>
      </c>
      <c r="L29" s="58">
        <f>K29*I29</f>
      </c>
      <c r="M29" s="58">
        <f>K29*J29</f>
      </c>
      <c r="N29" s="16"/>
      <c r="O29" s="210">
        <v>26</v>
      </c>
      <c r="P29" s="211">
        <f>IF(ISBLANK(N29),O29/4.3,N29/20)</f>
      </c>
      <c r="Q29" s="209">
        <v>3900</v>
      </c>
      <c r="R29" s="212" t="s">
        <v>133</v>
      </c>
      <c r="S29" s="3"/>
      <c r="T29" s="213">
        <f>IF(ISBLANK(R29),0,X29)</f>
      </c>
      <c r="U29" s="213">
        <f>IF(ISBLANK(S29),0,X29)</f>
      </c>
      <c r="V29" s="214">
        <f>IFERROR(Q29/K29,0)</f>
      </c>
      <c r="W29" s="58">
        <f>IFERROR(L29*V29,0)</f>
      </c>
      <c r="X29" s="213">
        <f>IFERROR(Q29+W29,0)</f>
      </c>
      <c r="Y29" s="213">
        <f>IFERROR(M29*V29,0)</f>
      </c>
      <c r="Z29" s="213">
        <f>Y29-(Y29*$B$1)</f>
      </c>
      <c r="AA29" s="67">
        <f>IFERROR(Z29/X29,"")</f>
      </c>
      <c r="AB29" s="215">
        <f>IFERROR(IF(ISBLANK(N29),Y29/O29,Y29/N29),0)</f>
      </c>
      <c r="AC29" s="215">
        <f>IFERROR(-1*(AB29*B$1),0)</f>
      </c>
      <c r="AD29" s="215">
        <f>IFERROR(SUM(AB29:AC29),0)</f>
      </c>
      <c r="AE29" s="215">
        <f>IF(ISBLANK(N29),AD29,AD29*5)</f>
      </c>
      <c r="AF29" s="399">
        <f>SUM(AG29:BE29)</f>
      </c>
      <c r="AG29" s="400"/>
      <c r="AH29" s="400"/>
      <c r="AI29" s="400"/>
      <c r="AJ29" s="400"/>
      <c r="AK29" s="400"/>
      <c r="AL29" s="400"/>
      <c r="AM29" s="400"/>
      <c r="AN29" s="400"/>
      <c r="AO29" s="400"/>
      <c r="AP29" s="338"/>
      <c r="AQ29" s="338"/>
      <c r="AR29" s="338"/>
      <c r="AS29" s="338"/>
      <c r="AT29" s="338"/>
      <c r="AU29" s="338"/>
      <c r="AV29" s="338">
        <v>218.1</v>
      </c>
      <c r="AW29" s="338">
        <v>218.1</v>
      </c>
      <c r="AX29" s="338">
        <v>218.1</v>
      </c>
      <c r="AY29" s="338">
        <v>218.1</v>
      </c>
      <c r="AZ29" s="338">
        <v>218.1</v>
      </c>
      <c r="BA29" s="338">
        <v>218.1</v>
      </c>
      <c r="BB29" s="402">
        <v>141.77</v>
      </c>
      <c r="BC29" s="403"/>
      <c r="BD29" s="403"/>
      <c r="BE29" s="403"/>
      <c r="BF29" s="215">
        <f>Y29-AF29</f>
      </c>
      <c r="BG29" s="214">
        <f>IFERROR(AF29/Y29,0)</f>
      </c>
      <c r="BH29" s="214">
        <f>IFERROR(AF29/X29,0)</f>
      </c>
      <c r="BI29" s="238">
        <f>IFERROR(X29/SUM(X$21:X$32),0)</f>
      </c>
      <c r="BJ29" s="238">
        <f>IFERROR(BF29/SUM(BF$3:BF226),0)</f>
      </c>
      <c r="BK29" s="217">
        <f>BF29/'R&amp;H Portfolio'!Q$10</f>
      </c>
      <c r="BL29" s="215">
        <f>BI29*P29</f>
      </c>
      <c r="BM29" s="73"/>
      <c r="BN29" s="220">
        <f>IF(BM29="YES", BF29, "")</f>
      </c>
      <c r="BO29" s="17"/>
      <c r="BP29" s="4"/>
      <c r="BQ29" s="4"/>
      <c r="BR29" s="4"/>
      <c r="BS29" s="4"/>
      <c r="BT29" s="4"/>
      <c r="BU29" s="4"/>
      <c r="BV29" s="4"/>
    </row>
    <row x14ac:dyDescent="0.25" r="30" customHeight="1" ht="15">
      <c r="A30" s="202">
        <v>25568.79196759259</v>
      </c>
      <c r="B30" s="203" t="s">
        <v>903</v>
      </c>
      <c r="C30" s="204" t="s">
        <v>904</v>
      </c>
      <c r="D30" s="70" t="s">
        <v>905</v>
      </c>
      <c r="E30" s="70" t="s">
        <v>164</v>
      </c>
      <c r="F30" s="70" t="s">
        <v>906</v>
      </c>
      <c r="G30" s="205">
        <v>669</v>
      </c>
      <c r="H30" s="206">
        <v>1.3</v>
      </c>
      <c r="I30" s="207">
        <v>0.15</v>
      </c>
      <c r="J30" s="398">
        <f>H30+I30</f>
      </c>
      <c r="K30" s="209">
        <v>40000</v>
      </c>
      <c r="L30" s="58">
        <f>K30*I30</f>
      </c>
      <c r="M30" s="58">
        <f>K30*J30</f>
      </c>
      <c r="N30" s="16"/>
      <c r="O30" s="210">
        <v>28</v>
      </c>
      <c r="P30" s="211">
        <f>IF(ISBLANK(N30),O30/4.3,N30/20)</f>
      </c>
      <c r="Q30" s="209">
        <v>1200</v>
      </c>
      <c r="R30" s="3"/>
      <c r="S30" s="212" t="s">
        <v>82</v>
      </c>
      <c r="T30" s="213">
        <f>IF(ISBLANK(R30),0,X30)</f>
      </c>
      <c r="U30" s="213">
        <f>IF(ISBLANK(S30),0,X30)</f>
      </c>
      <c r="V30" s="214">
        <f>IFERROR(Q30/K30,0)</f>
      </c>
      <c r="W30" s="58">
        <f>IFERROR(L30*V30,0)</f>
      </c>
      <c r="X30" s="213">
        <f>IFERROR(Q30+W30,0)</f>
      </c>
      <c r="Y30" s="213">
        <f>IFERROR(M30*V30,0)</f>
      </c>
      <c r="Z30" s="213">
        <f>Y30-(Y30*$B$1)</f>
      </c>
      <c r="AA30" s="67">
        <f>IFERROR(Z30/X30,"")</f>
      </c>
      <c r="AB30" s="215">
        <f>IFERROR(IF(ISBLANK(N30),Y30/O30,Y30/N30),0)</f>
      </c>
      <c r="AC30" s="215">
        <f>IFERROR(-1*(AB30*B$1),0)</f>
      </c>
      <c r="AD30" s="215">
        <f>IFERROR(SUM(AB30:AC30),0)</f>
      </c>
      <c r="AE30" s="215">
        <f>IF(ISBLANK(N30),AD30,AD30*5)</f>
      </c>
      <c r="AF30" s="399">
        <f>SUM(AG30:BE30)</f>
      </c>
      <c r="AG30" s="400"/>
      <c r="AH30" s="400"/>
      <c r="AI30" s="400"/>
      <c r="AJ30" s="400"/>
      <c r="AK30" s="400"/>
      <c r="AL30" s="400"/>
      <c r="AM30" s="400"/>
      <c r="AN30" s="400"/>
      <c r="AO30" s="400"/>
      <c r="AP30" s="338"/>
      <c r="AQ30" s="338"/>
      <c r="AR30" s="338"/>
      <c r="AS30" s="338"/>
      <c r="AT30" s="338"/>
      <c r="AU30" s="338"/>
      <c r="AV30" s="338">
        <v>60.3</v>
      </c>
      <c r="AW30" s="338">
        <v>60.3</v>
      </c>
      <c r="AX30" s="338">
        <v>60.3</v>
      </c>
      <c r="AY30" s="338">
        <v>60.3</v>
      </c>
      <c r="AZ30" s="338">
        <v>60.3</v>
      </c>
      <c r="BA30" s="338">
        <v>60.3</v>
      </c>
      <c r="BB30" s="402">
        <v>60.3</v>
      </c>
      <c r="BC30" s="403"/>
      <c r="BD30" s="403"/>
      <c r="BE30" s="403"/>
      <c r="BF30" s="215">
        <f>Y30-AF30</f>
      </c>
      <c r="BG30" s="214">
        <f>IFERROR(AF30/Y30,0)</f>
      </c>
      <c r="BH30" s="214">
        <f>IFERROR(AF30/X30,0)</f>
      </c>
      <c r="BI30" s="238">
        <f>IFERROR(X30/SUM(X$21:X$32),0)</f>
      </c>
      <c r="BJ30" s="238">
        <f>IFERROR(BF30/SUM(BF$3:BF227),0)</f>
      </c>
      <c r="BK30" s="217">
        <f>BF30/'R&amp;H Portfolio'!Q$10</f>
      </c>
      <c r="BL30" s="215">
        <f>BI30*P30</f>
      </c>
      <c r="BM30" s="73"/>
      <c r="BN30" s="220">
        <f>IF(BM30="YES", BF30, "")</f>
      </c>
      <c r="BO30" s="17"/>
      <c r="BP30" s="4"/>
      <c r="BQ30" s="4"/>
      <c r="BR30" s="4"/>
      <c r="BS30" s="4"/>
      <c r="BT30" s="4"/>
      <c r="BU30" s="4"/>
      <c r="BV30" s="4"/>
    </row>
    <row x14ac:dyDescent="0.25" r="31" customHeight="1" ht="15">
      <c r="A31" s="202">
        <v>25568.79196759259</v>
      </c>
      <c r="B31" s="203" t="s">
        <v>907</v>
      </c>
      <c r="C31" s="204" t="s">
        <v>908</v>
      </c>
      <c r="D31" s="70" t="s">
        <v>909</v>
      </c>
      <c r="E31" s="70" t="s">
        <v>266</v>
      </c>
      <c r="F31" s="70" t="s">
        <v>910</v>
      </c>
      <c r="G31" s="205">
        <v>652</v>
      </c>
      <c r="H31" s="206">
        <v>1.349</v>
      </c>
      <c r="I31" s="207">
        <v>0.15</v>
      </c>
      <c r="J31" s="398">
        <f>H31+I31</f>
      </c>
      <c r="K31" s="209">
        <v>39000</v>
      </c>
      <c r="L31" s="58">
        <f>K31*I31</f>
      </c>
      <c r="M31" s="58">
        <f>K31*J31</f>
      </c>
      <c r="N31" s="210">
        <v>120</v>
      </c>
      <c r="O31" s="16"/>
      <c r="P31" s="211">
        <f>IF(ISBLANK(N31),O31/4.3,N31/20)</f>
      </c>
      <c r="Q31" s="209">
        <v>1170</v>
      </c>
      <c r="R31" s="212" t="s">
        <v>133</v>
      </c>
      <c r="S31" s="3"/>
      <c r="T31" s="213">
        <f>IF(ISBLANK(R31),0,X31)</f>
      </c>
      <c r="U31" s="213">
        <f>IF(ISBLANK(S31),0,X31)</f>
      </c>
      <c r="V31" s="214">
        <f>IFERROR(Q31/K31,0)</f>
      </c>
      <c r="W31" s="58">
        <f>IFERROR(L31*V31,0)</f>
      </c>
      <c r="X31" s="213">
        <f>IFERROR(Q31+W31,0)</f>
      </c>
      <c r="Y31" s="213">
        <f>IFERROR(M31*V31,0)</f>
      </c>
      <c r="Z31" s="213">
        <f>Y31-(Y31*$B$1)</f>
      </c>
      <c r="AA31" s="67">
        <f>IFERROR(Z31/X31,"")</f>
      </c>
      <c r="AB31" s="215">
        <f>IFERROR(IF(ISBLANK(N31),Y31/O31,Y31/N31),0)</f>
      </c>
      <c r="AC31" s="215">
        <f>IFERROR(-1*(AB31*B$1),0)</f>
      </c>
      <c r="AD31" s="215">
        <f>IFERROR(SUM(AB31:AC31),0)</f>
      </c>
      <c r="AE31" s="215">
        <f>IF(ISBLANK(N31),AD31,AD31*5)</f>
      </c>
      <c r="AF31" s="399">
        <f>SUM(AG31:BE31)</f>
      </c>
      <c r="AG31" s="3"/>
      <c r="AH31" s="3"/>
      <c r="AI31" s="3"/>
      <c r="AJ31" s="3"/>
      <c r="AK31" s="3"/>
      <c r="AL31" s="3"/>
      <c r="AM31" s="3"/>
      <c r="AN31" s="3"/>
      <c r="AO31" s="3"/>
      <c r="AP31" s="18"/>
      <c r="AQ31" s="18"/>
      <c r="AR31" s="18"/>
      <c r="AS31" s="18"/>
      <c r="AT31" s="18"/>
      <c r="AU31" s="18"/>
      <c r="AV31" s="207">
        <v>27.9</v>
      </c>
      <c r="AW31" s="209">
        <v>71</v>
      </c>
      <c r="AX31" s="209">
        <v>71</v>
      </c>
      <c r="AY31" s="207">
        <v>56.8</v>
      </c>
      <c r="AZ31" s="209">
        <v>71</v>
      </c>
      <c r="BA31" s="207">
        <v>56.8</v>
      </c>
      <c r="BB31" s="430">
        <v>71</v>
      </c>
      <c r="BC31" s="16"/>
      <c r="BD31" s="16"/>
      <c r="BE31" s="16"/>
      <c r="BF31" s="215">
        <f>Y31-AF31</f>
      </c>
      <c r="BG31" s="214">
        <f>IFERROR(AF31/Y31,0)</f>
      </c>
      <c r="BH31" s="214">
        <f>IFERROR(AF31/X31,0)</f>
      </c>
      <c r="BI31" s="238">
        <f>IFERROR(X31/SUM(X$21:X$32),0)</f>
      </c>
      <c r="BJ31" s="238">
        <f>IFERROR(BF31/SUM(BF$3:BF228),0)</f>
      </c>
      <c r="BK31" s="217">
        <f>BF31/'R&amp;H Portfolio'!Q$10</f>
      </c>
      <c r="BL31" s="215">
        <f>BI31*P31</f>
      </c>
      <c r="BM31" s="63"/>
      <c r="BN31" s="93">
        <f>IF(BM31="YES", BF31, "")</f>
      </c>
      <c r="BO31" s="17"/>
      <c r="BP31" s="4"/>
      <c r="BQ31" s="4"/>
      <c r="BR31" s="4"/>
      <c r="BS31" s="4"/>
      <c r="BT31" s="4"/>
      <c r="BU31" s="4"/>
      <c r="BV31" s="4"/>
    </row>
    <row x14ac:dyDescent="0.25" r="32" customHeight="1" ht="15">
      <c r="A32" s="223">
        <v>25568.79196759259</v>
      </c>
      <c r="B32" s="224" t="s">
        <v>911</v>
      </c>
      <c r="C32" s="225" t="s">
        <v>912</v>
      </c>
      <c r="D32" s="226" t="s">
        <v>913</v>
      </c>
      <c r="E32" s="226" t="s">
        <v>164</v>
      </c>
      <c r="F32" s="226" t="s">
        <v>165</v>
      </c>
      <c r="G32" s="245">
        <v>635</v>
      </c>
      <c r="H32" s="228">
        <v>1.349</v>
      </c>
      <c r="I32" s="229">
        <v>0.15</v>
      </c>
      <c r="J32" s="391">
        <f>H32+I32</f>
      </c>
      <c r="K32" s="231">
        <v>50000</v>
      </c>
      <c r="L32" s="232">
        <f>K32*I32</f>
      </c>
      <c r="M32" s="232">
        <f>K32*J32</f>
      </c>
      <c r="N32" s="233">
        <v>100</v>
      </c>
      <c r="O32" s="233"/>
      <c r="P32" s="234">
        <f>IF(ISBLANK(N32),O32/4.3,N32/20)</f>
      </c>
      <c r="Q32" s="231">
        <v>3500</v>
      </c>
      <c r="R32" s="246" t="s">
        <v>133</v>
      </c>
      <c r="S32" s="231"/>
      <c r="T32" s="239">
        <f>IF(ISBLANK(R32),0,X32)</f>
      </c>
      <c r="U32" s="239">
        <f>IF(ISBLANK(S32),0,X32)</f>
      </c>
      <c r="V32" s="238">
        <f>IFERROR(Q32/K32,0)</f>
      </c>
      <c r="W32" s="232">
        <f>IFERROR(L32*V32,0)</f>
      </c>
      <c r="X32" s="239">
        <f>IFERROR(Q32+W32,0)</f>
      </c>
      <c r="Y32" s="239">
        <f>IFERROR(M32*V32,0)</f>
      </c>
      <c r="Z32" s="239">
        <f>Y32-(Y32*$B$1)</f>
      </c>
      <c r="AA32" s="240">
        <f>IFERROR(Z32/X32,"")</f>
      </c>
      <c r="AB32" s="241">
        <f>IFERROR(IF(ISBLANK(N32),Y32/O32,Y32/N32),0)</f>
      </c>
      <c r="AC32" s="241">
        <f>IFERROR(-1*(AB32*B$1),0)</f>
      </c>
      <c r="AD32" s="241">
        <f>IFERROR(SUM(AB32:AC32),0)</f>
      </c>
      <c r="AE32" s="241">
        <f>IF(ISBLANK(N32),AD32,AD32*5)</f>
      </c>
      <c r="AF32" s="392">
        <f>SUM(AG32:BE32)</f>
      </c>
      <c r="AG32" s="246"/>
      <c r="AH32" s="246"/>
      <c r="AI32" s="246"/>
      <c r="AJ32" s="246"/>
      <c r="AK32" s="246"/>
      <c r="AL32" s="246"/>
      <c r="AM32" s="246"/>
      <c r="AN32" s="246"/>
      <c r="AO32" s="246"/>
      <c r="AP32" s="229"/>
      <c r="AQ32" s="229"/>
      <c r="AR32" s="229"/>
      <c r="AS32" s="229"/>
      <c r="AT32" s="229"/>
      <c r="AU32" s="229"/>
      <c r="AV32" s="229"/>
      <c r="AW32" s="229">
        <v>203.68</v>
      </c>
      <c r="AX32" s="229">
        <v>254.6</v>
      </c>
      <c r="AY32" s="229">
        <v>203.68</v>
      </c>
      <c r="AZ32" s="229">
        <v>254.6</v>
      </c>
      <c r="BA32" s="229">
        <v>101.84</v>
      </c>
      <c r="BB32" s="431">
        <v>203.68</v>
      </c>
      <c r="BC32" s="233"/>
      <c r="BD32" s="233"/>
      <c r="BE32" s="233"/>
      <c r="BF32" s="241">
        <f>Y32-AF32</f>
      </c>
      <c r="BG32" s="238">
        <f>IFERROR(AF32/Y32,0)</f>
      </c>
      <c r="BH32" s="238">
        <f>IFERROR(AF32/X32,0)</f>
      </c>
      <c r="BI32" s="238">
        <f>IFERROR(X32/SUM(X$21:X$32),0)</f>
      </c>
      <c r="BJ32" s="238">
        <f>IFERROR(BF32/SUM(BF$3:BF229),0)</f>
      </c>
      <c r="BK32" s="217">
        <f>BF32/'R&amp;H Portfolio'!Q$10</f>
      </c>
      <c r="BL32" s="241">
        <f>BI32*P32</f>
      </c>
      <c r="BM32" s="432"/>
      <c r="BN32" s="433">
        <f>IF(BM32="YES", BF32, "")</f>
      </c>
      <c r="BO32" s="17"/>
      <c r="BP32" s="4"/>
      <c r="BQ32" s="4"/>
      <c r="BR32" s="4"/>
      <c r="BS32" s="4"/>
      <c r="BT32" s="4"/>
      <c r="BU32" s="4"/>
      <c r="BV32" s="4"/>
    </row>
    <row x14ac:dyDescent="0.25" r="33" customHeight="1" ht="15">
      <c r="A33" s="202">
        <v>25568.79196759259</v>
      </c>
      <c r="B33" s="203" t="s">
        <v>914</v>
      </c>
      <c r="C33" s="70" t="s">
        <v>915</v>
      </c>
      <c r="D33" s="70" t="s">
        <v>916</v>
      </c>
      <c r="E33" s="70" t="s">
        <v>423</v>
      </c>
      <c r="F33" s="70" t="s">
        <v>541</v>
      </c>
      <c r="G33" s="205">
        <v>619</v>
      </c>
      <c r="H33" s="206">
        <v>1.3</v>
      </c>
      <c r="I33" s="207">
        <v>0.15</v>
      </c>
      <c r="J33" s="398">
        <f>H33+I33</f>
      </c>
      <c r="K33" s="209">
        <v>200000</v>
      </c>
      <c r="L33" s="58">
        <f>K33*I33</f>
      </c>
      <c r="M33" s="58">
        <f>K33*J33</f>
      </c>
      <c r="N33" s="16"/>
      <c r="O33" s="210">
        <v>28</v>
      </c>
      <c r="P33" s="211">
        <f>IF(ISBLANK(N33),O33/4.3,N33/20)</f>
      </c>
      <c r="Q33" s="209">
        <v>5000</v>
      </c>
      <c r="R33" s="212" t="s">
        <v>133</v>
      </c>
      <c r="S33" s="3"/>
      <c r="T33" s="213">
        <f>IF(ISBLANK(R33),0,X33)</f>
      </c>
      <c r="U33" s="213">
        <f>IF(ISBLANK(S33),0,X33)</f>
      </c>
      <c r="V33" s="214">
        <f>IFERROR(Q33/K33,0)</f>
      </c>
      <c r="W33" s="58">
        <f>IFERROR(L33*V33,0)</f>
      </c>
      <c r="X33" s="213">
        <f>IFERROR(Q33+W33,0)</f>
      </c>
      <c r="Y33" s="213">
        <f>IFERROR(M33*V33,0)</f>
      </c>
      <c r="Z33" s="213">
        <f>Y33-(Y33*$B$1)</f>
      </c>
      <c r="AA33" s="67">
        <f>IFERROR(Z33/X33,"")</f>
      </c>
      <c r="AB33" s="215">
        <f>IFERROR(IF(ISBLANK(N33),Y33/O33,Y33/N33),0)</f>
      </c>
      <c r="AC33" s="215">
        <f>IFERROR(-1*(AB33*B$1),0)</f>
      </c>
      <c r="AD33" s="215">
        <f>IFERROR(SUM(AB33:AC33),0)</f>
      </c>
      <c r="AE33" s="215">
        <f>IF(ISBLANK(N33),AD33,AD33*5)</f>
      </c>
      <c r="AF33" s="399">
        <f>SUM(AG33:BE33)</f>
      </c>
      <c r="AG33" s="3"/>
      <c r="AH33" s="3"/>
      <c r="AI33" s="3"/>
      <c r="AJ33" s="3"/>
      <c r="AK33" s="3"/>
      <c r="AL33" s="3"/>
      <c r="AM33" s="3"/>
      <c r="AN33" s="3"/>
      <c r="AO33" s="3"/>
      <c r="AP33" s="18"/>
      <c r="AQ33" s="18"/>
      <c r="AR33" s="18"/>
      <c r="AS33" s="18"/>
      <c r="AT33" s="18"/>
      <c r="AU33" s="18"/>
      <c r="AV33" s="18"/>
      <c r="AW33" s="18"/>
      <c r="AX33" s="207">
        <v>251.2</v>
      </c>
      <c r="AY33" s="207">
        <v>125.6</v>
      </c>
      <c r="AZ33" s="207">
        <v>251.2</v>
      </c>
      <c r="BA33" s="207">
        <v>251.2</v>
      </c>
      <c r="BB33" s="430">
        <v>376.8</v>
      </c>
      <c r="BC33" s="16"/>
      <c r="BD33" s="16"/>
      <c r="BE33" s="16"/>
      <c r="BF33" s="215">
        <f>Y33-AF33</f>
      </c>
      <c r="BG33" s="214">
        <f>IFERROR(AF33/Y33,0)</f>
      </c>
      <c r="BH33" s="214">
        <f>IFERROR(AF33/X33,0)</f>
      </c>
      <c r="BI33" s="238">
        <f>IFERROR(X33/SUM(X$33:X$47),0)</f>
      </c>
      <c r="BJ33" s="238">
        <f>IFERROR(BF33/SUM(BF$3:BF230),0)</f>
      </c>
      <c r="BK33" s="217">
        <f>BF33/'R&amp;H Portfolio'!Q$10</f>
      </c>
      <c r="BL33" s="215">
        <f>BI33*P33</f>
      </c>
      <c r="BM33" s="63"/>
      <c r="BN33" s="93">
        <f>IF(BM33="YES", BF33, "")</f>
      </c>
      <c r="BO33" s="17"/>
      <c r="BP33" s="4"/>
      <c r="BQ33" s="4"/>
      <c r="BR33" s="4"/>
      <c r="BS33" s="4"/>
      <c r="BT33" s="4"/>
      <c r="BU33" s="4"/>
      <c r="BV33" s="4"/>
    </row>
    <row x14ac:dyDescent="0.25" r="34" customHeight="1" ht="15">
      <c r="A34" s="202">
        <v>25568.79196759259</v>
      </c>
      <c r="B34" s="203" t="s">
        <v>917</v>
      </c>
      <c r="C34" s="204" t="s">
        <v>918</v>
      </c>
      <c r="D34" s="70" t="s">
        <v>919</v>
      </c>
      <c r="E34" s="70" t="s">
        <v>920</v>
      </c>
      <c r="F34" s="70" t="s">
        <v>921</v>
      </c>
      <c r="G34" s="205">
        <v>583</v>
      </c>
      <c r="H34" s="206">
        <v>1.25</v>
      </c>
      <c r="I34" s="207">
        <v>0.15</v>
      </c>
      <c r="J34" s="398">
        <f>H34+I34</f>
      </c>
      <c r="K34" s="209">
        <v>40000</v>
      </c>
      <c r="L34" s="58">
        <f>K34*I34</f>
      </c>
      <c r="M34" s="58">
        <f>K34*J34</f>
      </c>
      <c r="N34" s="210">
        <v>120</v>
      </c>
      <c r="O34" s="16"/>
      <c r="P34" s="211">
        <f>IF(ISBLANK(N34),O34/4.3,N34/20)</f>
      </c>
      <c r="Q34" s="209">
        <v>4000</v>
      </c>
      <c r="R34" s="212" t="s">
        <v>133</v>
      </c>
      <c r="S34" s="3"/>
      <c r="T34" s="213">
        <f>IF(ISBLANK(R34),0,X34)</f>
      </c>
      <c r="U34" s="213">
        <f>IF(ISBLANK(S34),0,X34)</f>
      </c>
      <c r="V34" s="214">
        <f>IFERROR(Q34/K34,0)</f>
      </c>
      <c r="W34" s="58">
        <f>IFERROR(L34*V34,0)</f>
      </c>
      <c r="X34" s="213">
        <f>IFERROR(Q34+W34,0)</f>
      </c>
      <c r="Y34" s="213">
        <f>IFERROR(M34*V34,0)</f>
      </c>
      <c r="Z34" s="213">
        <f>Y34-(Y34*$B$1)</f>
      </c>
      <c r="AA34" s="67">
        <f>IFERROR(Z34/X34,"")</f>
      </c>
      <c r="AB34" s="215">
        <f>IFERROR(IF(ISBLANK(N34),Y34/O34,Y34/N34),0)</f>
      </c>
      <c r="AC34" s="215">
        <f>IFERROR(-1*(AB34*B$1),0)</f>
      </c>
      <c r="AD34" s="215">
        <f>IFERROR(SUM(AB34:AC34),0)</f>
      </c>
      <c r="AE34" s="215">
        <f>IF(ISBLANK(N34),AD34,AD34*5)</f>
      </c>
      <c r="AF34" s="399">
        <f>SUM(AG34:BE34)</f>
      </c>
      <c r="AG34" s="3"/>
      <c r="AH34" s="3"/>
      <c r="AI34" s="3"/>
      <c r="AJ34" s="3"/>
      <c r="AK34" s="3"/>
      <c r="AL34" s="3"/>
      <c r="AM34" s="3"/>
      <c r="AN34" s="3"/>
      <c r="AO34" s="3"/>
      <c r="AP34" s="18"/>
      <c r="AQ34" s="18"/>
      <c r="AR34" s="18"/>
      <c r="AS34" s="18"/>
      <c r="AT34" s="18"/>
      <c r="AU34" s="18"/>
      <c r="AV34" s="18"/>
      <c r="AW34" s="207">
        <v>90.6</v>
      </c>
      <c r="AX34" s="207">
        <v>226.5</v>
      </c>
      <c r="AY34" s="207">
        <v>181.2</v>
      </c>
      <c r="AZ34" s="207">
        <v>226.5</v>
      </c>
      <c r="BA34" s="207">
        <v>181.2</v>
      </c>
      <c r="BB34" s="430">
        <v>226.5</v>
      </c>
      <c r="BC34" s="16"/>
      <c r="BD34" s="16"/>
      <c r="BE34" s="16"/>
      <c r="BF34" s="215">
        <f>Y34-AF34</f>
      </c>
      <c r="BG34" s="214">
        <f>IFERROR(AF34/Y34,0)</f>
      </c>
      <c r="BH34" s="214">
        <f>IFERROR(AF34/X34,0)</f>
      </c>
      <c r="BI34" s="238">
        <f>IFERROR(X34/SUM(X$33:X$47),0)</f>
      </c>
      <c r="BJ34" s="238">
        <f>IFERROR(BF34/SUM(BF$3:BF231),0)</f>
      </c>
      <c r="BK34" s="217">
        <f>BF34/'R&amp;H Portfolio'!Q$10</f>
      </c>
      <c r="BL34" s="215">
        <f>BI34*P34</f>
      </c>
      <c r="BM34" s="63"/>
      <c r="BN34" s="93">
        <f>IF(BM34="YES", BF34, "")</f>
      </c>
      <c r="BO34" s="17"/>
      <c r="BP34" s="4"/>
      <c r="BQ34" s="4"/>
      <c r="BR34" s="4"/>
      <c r="BS34" s="4"/>
      <c r="BT34" s="4"/>
      <c r="BU34" s="4"/>
      <c r="BV34" s="4"/>
    </row>
    <row x14ac:dyDescent="0.25" r="35" customHeight="1" ht="15">
      <c r="A35" s="202">
        <v>25568.79196759259</v>
      </c>
      <c r="B35" s="203" t="s">
        <v>922</v>
      </c>
      <c r="C35" s="204" t="s">
        <v>923</v>
      </c>
      <c r="D35" s="70" t="s">
        <v>924</v>
      </c>
      <c r="E35" s="70" t="s">
        <v>925</v>
      </c>
      <c r="F35" s="70" t="s">
        <v>160</v>
      </c>
      <c r="G35" s="205">
        <v>546</v>
      </c>
      <c r="H35" s="206">
        <v>1.27</v>
      </c>
      <c r="I35" s="207">
        <v>0.15</v>
      </c>
      <c r="J35" s="398">
        <f>H35+I35</f>
      </c>
      <c r="K35" s="209">
        <v>40000</v>
      </c>
      <c r="L35" s="58">
        <f>K35*I35</f>
      </c>
      <c r="M35" s="58">
        <f>K35*J35</f>
      </c>
      <c r="N35" s="210">
        <v>85</v>
      </c>
      <c r="O35" s="16"/>
      <c r="P35" s="211">
        <f>IF(ISBLANK(N35),O35/4.3,N35/20)</f>
      </c>
      <c r="Q35" s="209">
        <v>2500</v>
      </c>
      <c r="R35" s="3"/>
      <c r="S35" s="212" t="s">
        <v>82</v>
      </c>
      <c r="T35" s="213">
        <f>IF(ISBLANK(R35),0,X35)</f>
      </c>
      <c r="U35" s="213">
        <f>IF(ISBLANK(S35),0,X35)</f>
      </c>
      <c r="V35" s="214">
        <f>IFERROR(Q35/K35,0)</f>
      </c>
      <c r="W35" s="58">
        <f>IFERROR(L35*V35,0)</f>
      </c>
      <c r="X35" s="213">
        <f>IFERROR(Q35+W35,0)</f>
      </c>
      <c r="Y35" s="213">
        <f>IFERROR(M35*V35,0)</f>
      </c>
      <c r="Z35" s="213">
        <f>Y35-(Y35*$B$1)</f>
      </c>
      <c r="AA35" s="67">
        <f>IFERROR(Z35/X35,"")</f>
      </c>
      <c r="AB35" s="215">
        <f>IFERROR(IF(ISBLANK(N35),Y35/O35,Y35/N35),0)</f>
      </c>
      <c r="AC35" s="215">
        <f>IFERROR(-1*(AB35*B$1),0)</f>
      </c>
      <c r="AD35" s="215">
        <f>IFERROR(SUM(AB35:AC35),0)</f>
      </c>
      <c r="AE35" s="215">
        <f>IF(ISBLANK(N35),AD35,AD35*5)</f>
      </c>
      <c r="AF35" s="399">
        <f>SUM(AG35:BE35)</f>
      </c>
      <c r="AG35" s="3"/>
      <c r="AH35" s="3"/>
      <c r="AI35" s="3"/>
      <c r="AJ35" s="3"/>
      <c r="AK35" s="3"/>
      <c r="AL35" s="3"/>
      <c r="AM35" s="3"/>
      <c r="AN35" s="3"/>
      <c r="AO35" s="3"/>
      <c r="AP35" s="18"/>
      <c r="AQ35" s="18"/>
      <c r="AR35" s="18"/>
      <c r="AS35" s="18"/>
      <c r="AT35" s="18"/>
      <c r="AU35" s="18"/>
      <c r="AV35" s="18"/>
      <c r="AW35" s="18"/>
      <c r="AX35" s="207">
        <v>202.8</v>
      </c>
      <c r="AY35" s="207">
        <v>162.24</v>
      </c>
      <c r="AZ35" s="207">
        <v>202.8</v>
      </c>
      <c r="BA35" s="207">
        <v>162.24</v>
      </c>
      <c r="BB35" s="430">
        <v>202.8</v>
      </c>
      <c r="BC35" s="16"/>
      <c r="BD35" s="16"/>
      <c r="BE35" s="16"/>
      <c r="BF35" s="215">
        <f>Y35-AF35</f>
      </c>
      <c r="BG35" s="214">
        <f>IFERROR(AF35/Y35,0)</f>
      </c>
      <c r="BH35" s="214">
        <f>IFERROR(AF35/X35,0)</f>
      </c>
      <c r="BI35" s="238">
        <f>IFERROR(X35/SUM(X$33:X$47),0)</f>
      </c>
      <c r="BJ35" s="238">
        <f>IFERROR(BF35/SUM(BF$3:BF232),0)</f>
      </c>
      <c r="BK35" s="217">
        <f>BF35/'R&amp;H Portfolio'!Q$10</f>
      </c>
      <c r="BL35" s="215">
        <f>BI35*P35</f>
      </c>
      <c r="BM35" s="63"/>
      <c r="BN35" s="93">
        <f>IF(BM35="YES", BF35, "")</f>
      </c>
      <c r="BO35" s="17"/>
      <c r="BP35" s="4"/>
      <c r="BQ35" s="4"/>
      <c r="BR35" s="4"/>
      <c r="BS35" s="4"/>
      <c r="BT35" s="4"/>
      <c r="BU35" s="4"/>
      <c r="BV35" s="4"/>
    </row>
    <row x14ac:dyDescent="0.25" r="36" customHeight="1" ht="15">
      <c r="A36" s="202">
        <v>25568.79196759259</v>
      </c>
      <c r="B36" s="203" t="s">
        <v>926</v>
      </c>
      <c r="C36" s="204" t="s">
        <v>927</v>
      </c>
      <c r="D36" s="70" t="s">
        <v>928</v>
      </c>
      <c r="E36" s="70" t="s">
        <v>164</v>
      </c>
      <c r="F36" s="70" t="s">
        <v>226</v>
      </c>
      <c r="G36" s="205">
        <v>713</v>
      </c>
      <c r="H36" s="206">
        <v>1.3</v>
      </c>
      <c r="I36" s="207">
        <v>0.15</v>
      </c>
      <c r="J36" s="398">
        <f>H36+I36</f>
      </c>
      <c r="K36" s="209">
        <v>50000</v>
      </c>
      <c r="L36" s="58">
        <f>K36*I36</f>
      </c>
      <c r="M36" s="58">
        <f>K36*J36</f>
      </c>
      <c r="N36" s="210">
        <v>110</v>
      </c>
      <c r="O36" s="16"/>
      <c r="P36" s="211">
        <f>IF(ISBLANK(N36),O36/4.3,N36/20)</f>
      </c>
      <c r="Q36" s="209">
        <v>4000</v>
      </c>
      <c r="R36" s="3"/>
      <c r="S36" s="212" t="s">
        <v>82</v>
      </c>
      <c r="T36" s="213">
        <f>IF(ISBLANK(R36),0,X36)</f>
      </c>
      <c r="U36" s="213">
        <f>IF(ISBLANK(S36),0,X36)</f>
      </c>
      <c r="V36" s="214">
        <f>IFERROR(Q36/K36,0)</f>
      </c>
      <c r="W36" s="58">
        <f>IFERROR(L36*V36,0)</f>
      </c>
      <c r="X36" s="213">
        <f>IFERROR(Q36+W36,0)</f>
      </c>
      <c r="Y36" s="213">
        <f>IFERROR(M36*V36,0)</f>
      </c>
      <c r="Z36" s="213">
        <f>Y36-(Y36*$B$1)</f>
      </c>
      <c r="AA36" s="67">
        <f>IFERROR(Z36/X36,"")</f>
      </c>
      <c r="AB36" s="215">
        <f>IFERROR(IF(ISBLANK(N36),Y36/O36,Y36/N36),0)</f>
      </c>
      <c r="AC36" s="215">
        <f>IFERROR(-1*(AB36*B$1),0)</f>
      </c>
      <c r="AD36" s="215">
        <f>IFERROR(SUM(AB36:AC36),0)</f>
      </c>
      <c r="AE36" s="215">
        <f>IF(ISBLANK(N36),AD36,AD36*5)</f>
      </c>
      <c r="AF36" s="399">
        <f>SUM(AG36:BE36)</f>
      </c>
      <c r="AG36" s="3"/>
      <c r="AH36" s="3"/>
      <c r="AI36" s="3"/>
      <c r="AJ36" s="3"/>
      <c r="AK36" s="3"/>
      <c r="AL36" s="3"/>
      <c r="AM36" s="3"/>
      <c r="AN36" s="3"/>
      <c r="AO36" s="3"/>
      <c r="AP36" s="18"/>
      <c r="AQ36" s="18"/>
      <c r="AR36" s="18"/>
      <c r="AS36" s="18"/>
      <c r="AT36" s="18"/>
      <c r="AU36" s="18"/>
      <c r="AV36" s="18"/>
      <c r="AW36" s="18"/>
      <c r="AX36" s="207">
        <v>204.88</v>
      </c>
      <c r="AY36" s="207">
        <v>204.88</v>
      </c>
      <c r="AZ36" s="207">
        <v>256.1</v>
      </c>
      <c r="BA36" s="207">
        <v>204.88</v>
      </c>
      <c r="BB36" s="430">
        <v>256.1</v>
      </c>
      <c r="BC36" s="16"/>
      <c r="BD36" s="16"/>
      <c r="BE36" s="16"/>
      <c r="BF36" s="215">
        <f>Y36-AF36</f>
      </c>
      <c r="BG36" s="214">
        <f>IFERROR(AF36/Y36,0)</f>
      </c>
      <c r="BH36" s="214">
        <f>IFERROR(AF36/X36,0)</f>
      </c>
      <c r="BI36" s="238">
        <f>IFERROR(X36/SUM(X$33:X$47),0)</f>
      </c>
      <c r="BJ36" s="238">
        <f>IFERROR(BF36/SUM(BF$3:BF233),0)</f>
      </c>
      <c r="BK36" s="217">
        <f>BF36/'R&amp;H Portfolio'!Q$10</f>
      </c>
      <c r="BL36" s="215">
        <f>BI36*P36</f>
      </c>
      <c r="BM36" s="63"/>
      <c r="BN36" s="93">
        <f>IF(BM36="YES", BF36, "")</f>
      </c>
      <c r="BO36" s="17"/>
      <c r="BP36" s="4"/>
      <c r="BQ36" s="4"/>
      <c r="BR36" s="4"/>
      <c r="BS36" s="4"/>
      <c r="BT36" s="4"/>
      <c r="BU36" s="4"/>
      <c r="BV36" s="4"/>
    </row>
    <row x14ac:dyDescent="0.25" r="37" customHeight="1" ht="15">
      <c r="A37" s="202">
        <v>25568.79196759259</v>
      </c>
      <c r="B37" s="203" t="s">
        <v>929</v>
      </c>
      <c r="C37" s="204" t="s">
        <v>930</v>
      </c>
      <c r="D37" s="70" t="s">
        <v>931</v>
      </c>
      <c r="E37" s="70" t="s">
        <v>406</v>
      </c>
      <c r="F37" s="70" t="s">
        <v>226</v>
      </c>
      <c r="G37" s="205">
        <v>748</v>
      </c>
      <c r="H37" s="206">
        <v>1.3</v>
      </c>
      <c r="I37" s="207">
        <v>0.15</v>
      </c>
      <c r="J37" s="398">
        <f>H37+I37</f>
      </c>
      <c r="K37" s="209">
        <v>50000</v>
      </c>
      <c r="L37" s="58">
        <f>K37*I37</f>
      </c>
      <c r="M37" s="58">
        <f>K37*J37</f>
      </c>
      <c r="N37" s="16"/>
      <c r="O37" s="210">
        <v>34</v>
      </c>
      <c r="P37" s="211">
        <f>IF(ISBLANK(N37),O37/4.3,N37/20)</f>
      </c>
      <c r="Q37" s="209">
        <v>4000</v>
      </c>
      <c r="R37" s="3"/>
      <c r="S37" s="212" t="s">
        <v>82</v>
      </c>
      <c r="T37" s="213">
        <f>IF(ISBLANK(R37),0,X37)</f>
      </c>
      <c r="U37" s="213">
        <f>IF(ISBLANK(S37),0,X37)</f>
      </c>
      <c r="V37" s="214">
        <f>IFERROR(Q37/K37,0)</f>
      </c>
      <c r="W37" s="58">
        <f>IFERROR(L37*V37,0)</f>
      </c>
      <c r="X37" s="213">
        <f>IFERROR(Q37+W37,0)</f>
      </c>
      <c r="Y37" s="213">
        <f>IFERROR(M37*V37,0)</f>
      </c>
      <c r="Z37" s="213">
        <f>Y37-(Y37*$B$1)</f>
      </c>
      <c r="AA37" s="67">
        <f>IFERROR(Z37/X37,"")</f>
      </c>
      <c r="AB37" s="215">
        <f>IFERROR(IF(ISBLANK(N37),Y37/O37,Y37/N37),0)</f>
      </c>
      <c r="AC37" s="215">
        <f>IFERROR(-1*(AB37*B$1),0)</f>
      </c>
      <c r="AD37" s="215">
        <f>IFERROR(SUM(AB37:AC37),0)</f>
      </c>
      <c r="AE37" s="215">
        <f>IF(ISBLANK(N37),AD37,AD37*5)</f>
      </c>
      <c r="AF37" s="399">
        <f>SUM(AG37:BE37)</f>
      </c>
      <c r="AG37" s="3"/>
      <c r="AH37" s="3"/>
      <c r="AI37" s="3"/>
      <c r="AJ37" s="3"/>
      <c r="AK37" s="3"/>
      <c r="AL37" s="3"/>
      <c r="AM37" s="3"/>
      <c r="AN37" s="3"/>
      <c r="AO37" s="3"/>
      <c r="AP37" s="18"/>
      <c r="AQ37" s="18"/>
      <c r="AR37" s="18"/>
      <c r="AS37" s="18"/>
      <c r="AT37" s="18"/>
      <c r="AU37" s="18"/>
      <c r="AV37" s="18"/>
      <c r="AW37" s="18"/>
      <c r="AX37" s="18"/>
      <c r="AY37" s="207">
        <v>165.52</v>
      </c>
      <c r="AZ37" s="207">
        <v>165.52</v>
      </c>
      <c r="BA37" s="207">
        <v>165.52</v>
      </c>
      <c r="BB37" s="430">
        <v>165.52</v>
      </c>
      <c r="BC37" s="16"/>
      <c r="BD37" s="16"/>
      <c r="BE37" s="16"/>
      <c r="BF37" s="215">
        <f>Y37-AF37</f>
      </c>
      <c r="BG37" s="214">
        <f>IFERROR(AF37/Y37,0)</f>
      </c>
      <c r="BH37" s="214">
        <f>IFERROR(AF37/X37,0)</f>
      </c>
      <c r="BI37" s="238">
        <f>IFERROR(X37/SUM(X$33:X$47),0)</f>
      </c>
      <c r="BJ37" s="238">
        <f>IFERROR(BF37/SUM(BF$3:BF234),0)</f>
      </c>
      <c r="BK37" s="217">
        <f>BF37/'R&amp;H Portfolio'!Q$10</f>
      </c>
      <c r="BL37" s="215">
        <f>BI37*P37</f>
      </c>
      <c r="BM37" s="63"/>
      <c r="BN37" s="93">
        <f>IF(BM37="YES", BF37, "")</f>
      </c>
      <c r="BO37" s="17"/>
      <c r="BP37" s="4"/>
      <c r="BQ37" s="4"/>
      <c r="BR37" s="4"/>
      <c r="BS37" s="4"/>
      <c r="BT37" s="4"/>
      <c r="BU37" s="4"/>
      <c r="BV37" s="4"/>
    </row>
    <row x14ac:dyDescent="0.25" r="38" customHeight="1" ht="15">
      <c r="A38" s="202">
        <v>25568.79196759259</v>
      </c>
      <c r="B38" s="203" t="s">
        <v>932</v>
      </c>
      <c r="C38" s="204" t="s">
        <v>933</v>
      </c>
      <c r="D38" s="70" t="s">
        <v>934</v>
      </c>
      <c r="E38" s="70" t="s">
        <v>935</v>
      </c>
      <c r="F38" s="70" t="s">
        <v>160</v>
      </c>
      <c r="G38" s="205">
        <v>500</v>
      </c>
      <c r="H38" s="206">
        <v>1.349</v>
      </c>
      <c r="I38" s="207">
        <v>0.15</v>
      </c>
      <c r="J38" s="398">
        <f>H38+I38</f>
      </c>
      <c r="K38" s="209">
        <v>35000</v>
      </c>
      <c r="L38" s="58">
        <f>K38*I38</f>
      </c>
      <c r="M38" s="58">
        <f>K38*J38</f>
      </c>
      <c r="N38" s="210">
        <v>135</v>
      </c>
      <c r="O38" s="16"/>
      <c r="P38" s="211">
        <f>IF(ISBLANK(N38),O38/4.3,N38/20)</f>
      </c>
      <c r="Q38" s="209">
        <v>2500</v>
      </c>
      <c r="R38" s="3"/>
      <c r="S38" s="212" t="s">
        <v>82</v>
      </c>
      <c r="T38" s="213">
        <f>IF(ISBLANK(R38),0,X38)</f>
      </c>
      <c r="U38" s="213">
        <f>IF(ISBLANK(S38),0,X38)</f>
      </c>
      <c r="V38" s="214">
        <f>IFERROR(Q38/K38,0)</f>
      </c>
      <c r="W38" s="58">
        <f>IFERROR(L38*V38,0)</f>
      </c>
      <c r="X38" s="213">
        <f>IFERROR(Q38+W38,0)</f>
      </c>
      <c r="Y38" s="213">
        <f>IFERROR(M38*V38,0)</f>
      </c>
      <c r="Z38" s="213">
        <f>Y38-(Y38*$B$1)</f>
      </c>
      <c r="AA38" s="67">
        <f>IFERROR(Z38/X38,"")</f>
      </c>
      <c r="AB38" s="215">
        <f>IFERROR(IF(ISBLANK(N38),Y38/O38,Y38/N38),0)</f>
      </c>
      <c r="AC38" s="215">
        <f>IFERROR(-1*(AB38*B$1),0)</f>
      </c>
      <c r="AD38" s="215">
        <f>IFERROR(SUM(AB38:AC38),0)</f>
      </c>
      <c r="AE38" s="215">
        <f>IF(ISBLANK(N38),AD38,AD38*5)</f>
      </c>
      <c r="AF38" s="399">
        <f>SUM(AG38:BE38)</f>
      </c>
      <c r="AG38" s="3"/>
      <c r="AH38" s="3"/>
      <c r="AI38" s="3"/>
      <c r="AJ38" s="3"/>
      <c r="AK38" s="3"/>
      <c r="AL38" s="3"/>
      <c r="AM38" s="3"/>
      <c r="AN38" s="3"/>
      <c r="AO38" s="3"/>
      <c r="AP38" s="18"/>
      <c r="AQ38" s="18"/>
      <c r="AR38" s="18"/>
      <c r="AS38" s="18"/>
      <c r="AT38" s="18"/>
      <c r="AU38" s="18"/>
      <c r="AV38" s="18"/>
      <c r="AW38" s="18"/>
      <c r="AX38" s="18"/>
      <c r="AY38" s="207">
        <v>26.96</v>
      </c>
      <c r="AZ38" s="207">
        <v>131.34</v>
      </c>
      <c r="BA38" s="207">
        <v>100.92</v>
      </c>
      <c r="BB38" s="430">
        <v>67.55</v>
      </c>
      <c r="BC38" s="16"/>
      <c r="BD38" s="16"/>
      <c r="BE38" s="16"/>
      <c r="BF38" s="215">
        <f>Y38-AF38</f>
      </c>
      <c r="BG38" s="214">
        <f>IFERROR(AF38/Y38,0)</f>
      </c>
      <c r="BH38" s="214">
        <f>IFERROR(AF38/X38,0)</f>
      </c>
      <c r="BI38" s="238">
        <f>IFERROR(X38/SUM(X$33:X$47),0)</f>
      </c>
      <c r="BJ38" s="238">
        <f>IFERROR(BF38/SUM(BF$3:BF235),0)</f>
      </c>
      <c r="BK38" s="217">
        <f>BF38/'R&amp;H Portfolio'!Q$10</f>
      </c>
      <c r="BL38" s="215">
        <f>BI38*P38</f>
      </c>
      <c r="BM38" s="63"/>
      <c r="BN38" s="93">
        <f>IF(BM38="YES", BF38, "")</f>
      </c>
      <c r="BO38" s="17"/>
      <c r="BP38" s="4"/>
      <c r="BQ38" s="4"/>
      <c r="BR38" s="4"/>
      <c r="BS38" s="4"/>
      <c r="BT38" s="4"/>
      <c r="BU38" s="4"/>
      <c r="BV38" s="4"/>
    </row>
    <row x14ac:dyDescent="0.25" r="39" customHeight="1" ht="15">
      <c r="A39" s="202">
        <v>25568.79196759259</v>
      </c>
      <c r="B39" s="203" t="s">
        <v>936</v>
      </c>
      <c r="C39" s="3"/>
      <c r="D39" s="70" t="s">
        <v>937</v>
      </c>
      <c r="E39" s="70" t="s">
        <v>261</v>
      </c>
      <c r="F39" s="70" t="s">
        <v>160</v>
      </c>
      <c r="G39" s="205">
        <v>644</v>
      </c>
      <c r="H39" s="206">
        <v>1.349</v>
      </c>
      <c r="I39" s="207">
        <v>0.15</v>
      </c>
      <c r="J39" s="398">
        <f>H39+I39</f>
      </c>
      <c r="K39" s="209">
        <v>40000</v>
      </c>
      <c r="L39" s="58">
        <f>K39*I39</f>
      </c>
      <c r="M39" s="58">
        <f>K39*J39</f>
      </c>
      <c r="N39" s="210">
        <v>120</v>
      </c>
      <c r="O39" s="16"/>
      <c r="P39" s="211">
        <f>IF(ISBLANK(N39),O39/4.3,N39/20)</f>
      </c>
      <c r="Q39" s="209">
        <v>4000</v>
      </c>
      <c r="R39" s="3"/>
      <c r="S39" s="212" t="s">
        <v>82</v>
      </c>
      <c r="T39" s="213">
        <f>IF(ISBLANK(R39),0,X39)</f>
      </c>
      <c r="U39" s="213">
        <f>IF(ISBLANK(S39),0,X39)</f>
      </c>
      <c r="V39" s="214">
        <f>IFERROR(Q39/K39,0)</f>
      </c>
      <c r="W39" s="58">
        <f>IFERROR(L39*V39,0)</f>
      </c>
      <c r="X39" s="213">
        <f>IFERROR(Q39+W39,0)</f>
      </c>
      <c r="Y39" s="213">
        <f>IFERROR(M39*V39,0)</f>
      </c>
      <c r="Z39" s="213">
        <f>Y39-(Y39*$B$1)</f>
      </c>
      <c r="AA39" s="67">
        <f>IFERROR(Z39/X39,"")</f>
      </c>
      <c r="AB39" s="215">
        <f>IFERROR(IF(ISBLANK(N39),Y39/O39,Y39/N39),0)</f>
      </c>
      <c r="AC39" s="215">
        <f>IFERROR(-1*(AB39*B$1),0)</f>
      </c>
      <c r="AD39" s="215">
        <f>IFERROR(SUM(AB39:AC39),0)</f>
      </c>
      <c r="AE39" s="215">
        <f>IF(ISBLANK(N39),AD39,AD39*5)</f>
      </c>
      <c r="AF39" s="399">
        <f>SUM(AG39:BE39)</f>
      </c>
      <c r="AG39" s="3"/>
      <c r="AH39" s="3"/>
      <c r="AI39" s="3"/>
      <c r="AJ39" s="3"/>
      <c r="AK39" s="3"/>
      <c r="AL39" s="3"/>
      <c r="AM39" s="3"/>
      <c r="AN39" s="3"/>
      <c r="AO39" s="3"/>
      <c r="AP39" s="18"/>
      <c r="AQ39" s="18"/>
      <c r="AR39" s="18"/>
      <c r="AS39" s="18"/>
      <c r="AT39" s="18"/>
      <c r="AU39" s="18"/>
      <c r="AV39" s="18"/>
      <c r="AW39" s="18"/>
      <c r="AX39" s="18"/>
      <c r="AY39" s="207">
        <v>48.5</v>
      </c>
      <c r="AZ39" s="207">
        <v>242.5</v>
      </c>
      <c r="BA39" s="209">
        <v>194</v>
      </c>
      <c r="BB39" s="430">
        <v>242.5</v>
      </c>
      <c r="BC39" s="16"/>
      <c r="BD39" s="16"/>
      <c r="BE39" s="16"/>
      <c r="BF39" s="215">
        <f>Y39-AF39</f>
      </c>
      <c r="BG39" s="214">
        <f>IFERROR(AF39/Y39,0)</f>
      </c>
      <c r="BH39" s="214">
        <f>IFERROR(AF39/X39,0)</f>
      </c>
      <c r="BI39" s="238">
        <f>IFERROR(X39/SUM(X$33:X$47),0)</f>
      </c>
      <c r="BJ39" s="238">
        <f>IFERROR(BF39/SUM(BF$3:BF236),0)</f>
      </c>
      <c r="BK39" s="217">
        <f>BF39/'R&amp;H Portfolio'!Q$10</f>
      </c>
      <c r="BL39" s="215">
        <f>BI39*P39</f>
      </c>
      <c r="BM39" s="63"/>
      <c r="BN39" s="93">
        <f>IF(BM39="YES", BF39, "")</f>
      </c>
      <c r="BO39" s="17"/>
      <c r="BP39" s="4"/>
      <c r="BQ39" s="4"/>
      <c r="BR39" s="4"/>
      <c r="BS39" s="4"/>
      <c r="BT39" s="4"/>
      <c r="BU39" s="4"/>
      <c r="BV39" s="4"/>
    </row>
    <row x14ac:dyDescent="0.25" r="40" customHeight="1" ht="15">
      <c r="A40" s="202">
        <v>25568.79196759259</v>
      </c>
      <c r="B40" s="379" t="s">
        <v>938</v>
      </c>
      <c r="C40" s="434" t="s">
        <v>939</v>
      </c>
      <c r="D40" s="70" t="s">
        <v>940</v>
      </c>
      <c r="E40" s="70" t="s">
        <v>941</v>
      </c>
      <c r="F40" s="70" t="s">
        <v>132</v>
      </c>
      <c r="G40" s="205">
        <v>561</v>
      </c>
      <c r="H40" s="206">
        <v>1.3</v>
      </c>
      <c r="I40" s="207">
        <v>0.15</v>
      </c>
      <c r="J40" s="398">
        <f>H40+I40</f>
      </c>
      <c r="K40" s="209">
        <v>30000</v>
      </c>
      <c r="L40" s="58">
        <f>K40*I40</f>
      </c>
      <c r="M40" s="58">
        <f>K40*J40</f>
      </c>
      <c r="N40" s="210">
        <v>150</v>
      </c>
      <c r="O40" s="16"/>
      <c r="P40" s="211">
        <f>IF(ISBLANK(N40),O40/4.3,N40/20)</f>
      </c>
      <c r="Q40" s="209">
        <v>3000</v>
      </c>
      <c r="R40" s="3"/>
      <c r="S40" s="212" t="s">
        <v>82</v>
      </c>
      <c r="T40" s="213">
        <f>IF(ISBLANK(R40),0,X40)</f>
      </c>
      <c r="U40" s="213">
        <f>IF(ISBLANK(S40),0,X40)</f>
      </c>
      <c r="V40" s="214">
        <f>IFERROR(Q40/K40,0)</f>
      </c>
      <c r="W40" s="58">
        <f>IFERROR(L40*V40,0)</f>
      </c>
      <c r="X40" s="213">
        <f>IFERROR(Q40+W40,0)</f>
      </c>
      <c r="Y40" s="213">
        <f>IFERROR(M40*V40,0)</f>
      </c>
      <c r="Z40" s="213">
        <f>Y40-(Y40*$B$1)</f>
      </c>
      <c r="AA40" s="67">
        <f>IFERROR(Z40/X40,"")</f>
      </c>
      <c r="AB40" s="215">
        <f>IFERROR(IF(ISBLANK(N40),Y40/O40,Y40/N40),0)</f>
      </c>
      <c r="AC40" s="215">
        <f>IFERROR(-1*(AB40*B$1),0)</f>
      </c>
      <c r="AD40" s="215">
        <f>IFERROR(SUM(AB40:AC40),0)</f>
      </c>
      <c r="AE40" s="215">
        <f>IF(ISBLANK(N40),AD40,AD40*5)</f>
      </c>
      <c r="AF40" s="399">
        <f>SUM(AG40:BE40)</f>
      </c>
      <c r="AG40" s="3"/>
      <c r="AH40" s="3"/>
      <c r="AI40" s="3"/>
      <c r="AJ40" s="3"/>
      <c r="AK40" s="3"/>
      <c r="AL40" s="3"/>
      <c r="AM40" s="3"/>
      <c r="AN40" s="3"/>
      <c r="AO40" s="3"/>
      <c r="AP40" s="18"/>
      <c r="AQ40" s="18"/>
      <c r="AR40" s="18"/>
      <c r="AS40" s="18"/>
      <c r="AT40" s="18"/>
      <c r="AU40" s="18"/>
      <c r="AV40" s="18"/>
      <c r="AW40" s="18"/>
      <c r="AX40" s="18"/>
      <c r="AY40" s="207">
        <v>28.13</v>
      </c>
      <c r="AZ40" s="207">
        <v>140.65</v>
      </c>
      <c r="BA40" s="207">
        <v>112.52</v>
      </c>
      <c r="BB40" s="430">
        <v>140.65</v>
      </c>
      <c r="BC40" s="16"/>
      <c r="BD40" s="16"/>
      <c r="BE40" s="16"/>
      <c r="BF40" s="215">
        <f>Y40-AF40</f>
      </c>
      <c r="BG40" s="214">
        <f>IFERROR(AF40/Y40,0)</f>
      </c>
      <c r="BH40" s="214">
        <f>IFERROR(AF40/X40,0)</f>
      </c>
      <c r="BI40" s="238">
        <f>IFERROR(X40/SUM(X$33:X$47),0)</f>
      </c>
      <c r="BJ40" s="238">
        <f>IFERROR(BF40/SUM(BF$3:BF237),0)</f>
      </c>
      <c r="BK40" s="217">
        <f>BF40/'R&amp;H Portfolio'!Q$10</f>
      </c>
      <c r="BL40" s="215">
        <f>BI40*P40</f>
      </c>
      <c r="BM40" s="63"/>
      <c r="BN40" s="93">
        <f>IF(BM40="YES", BF40, "")</f>
      </c>
      <c r="BO40" s="17"/>
      <c r="BP40" s="4"/>
      <c r="BQ40" s="4"/>
      <c r="BR40" s="4"/>
      <c r="BS40" s="4"/>
      <c r="BT40" s="4"/>
      <c r="BU40" s="4"/>
      <c r="BV40" s="4"/>
    </row>
    <row x14ac:dyDescent="0.25" r="41" customHeight="1" ht="15">
      <c r="A41" s="202">
        <v>25568.79196759259</v>
      </c>
      <c r="B41" s="203" t="s">
        <v>942</v>
      </c>
      <c r="C41" s="204" t="s">
        <v>943</v>
      </c>
      <c r="D41" s="70" t="s">
        <v>944</v>
      </c>
      <c r="E41" s="70" t="s">
        <v>945</v>
      </c>
      <c r="F41" s="70" t="s">
        <v>274</v>
      </c>
      <c r="G41" s="205">
        <v>635</v>
      </c>
      <c r="H41" s="206">
        <v>1.299</v>
      </c>
      <c r="I41" s="207">
        <v>0.1</v>
      </c>
      <c r="J41" s="398">
        <f>H41+I41</f>
      </c>
      <c r="K41" s="209">
        <v>100000</v>
      </c>
      <c r="L41" s="58">
        <f>K41*I41</f>
      </c>
      <c r="M41" s="58">
        <f>K41*J41</f>
      </c>
      <c r="N41" s="16"/>
      <c r="O41" s="210">
        <v>28</v>
      </c>
      <c r="P41" s="211">
        <f>IF(ISBLANK(N41),O41/4.3,N41/20)</f>
      </c>
      <c r="Q41" s="209">
        <v>10000</v>
      </c>
      <c r="R41" s="212" t="s">
        <v>133</v>
      </c>
      <c r="S41" s="3"/>
      <c r="T41" s="213">
        <f>IF(ISBLANK(R41),0,X41)</f>
      </c>
      <c r="U41" s="213">
        <f>IF(ISBLANK(S41),0,X41)</f>
      </c>
      <c r="V41" s="214">
        <f>IFERROR(Q41/K41,0)</f>
      </c>
      <c r="W41" s="58">
        <f>IFERROR(L41*V41,0)</f>
      </c>
      <c r="X41" s="213">
        <f>IFERROR(Q41+W41,0)</f>
      </c>
      <c r="Y41" s="213">
        <f>IFERROR(M41*V41,0)</f>
      </c>
      <c r="Z41" s="213">
        <f>Y41-(Y41*$B$1)</f>
      </c>
      <c r="AA41" s="67">
        <f>IFERROR(Z41/X41,"")</f>
      </c>
      <c r="AB41" s="215">
        <f>IFERROR(IF(ISBLANK(N41),Y41/O41,Y41/N41),0)</f>
      </c>
      <c r="AC41" s="215">
        <f>IFERROR(-1*(AB41*B$1),0)</f>
      </c>
      <c r="AD41" s="215">
        <f>IFERROR(SUM(AB41:AC41),0)</f>
      </c>
      <c r="AE41" s="215">
        <f>IF(ISBLANK(N41),AD41,AD41*5)</f>
      </c>
      <c r="AF41" s="399">
        <f>SUM(AG41:BE41)</f>
      </c>
      <c r="AG41" s="3"/>
      <c r="AH41" s="3"/>
      <c r="AI41" s="3"/>
      <c r="AJ41" s="3"/>
      <c r="AK41" s="3"/>
      <c r="AL41" s="3"/>
      <c r="AM41" s="3"/>
      <c r="AN41" s="3"/>
      <c r="AO41" s="3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207">
        <v>484.71</v>
      </c>
      <c r="BA41" s="207">
        <v>484.71</v>
      </c>
      <c r="BB41" s="430">
        <v>969.42</v>
      </c>
      <c r="BC41" s="16"/>
      <c r="BD41" s="16"/>
      <c r="BE41" s="16"/>
      <c r="BF41" s="215">
        <f>Y41-AF41</f>
      </c>
      <c r="BG41" s="214">
        <f>IFERROR(AF41/Y41,0)</f>
      </c>
      <c r="BH41" s="214">
        <f>IFERROR(AF41/X41,0)</f>
      </c>
      <c r="BI41" s="238">
        <f>IFERROR(X41/SUM(X$33:X$47),0)</f>
      </c>
      <c r="BJ41" s="238">
        <f>IFERROR(BF41/SUM(BF$3:BF238),0)</f>
      </c>
      <c r="BK41" s="217">
        <f>BF41/'R&amp;H Portfolio'!Q$10</f>
      </c>
      <c r="BL41" s="215">
        <f>BI41*P41</f>
      </c>
      <c r="BM41" s="63"/>
      <c r="BN41" s="93">
        <f>IF(BM41="YES", BF41, "")</f>
      </c>
      <c r="BO41" s="17"/>
      <c r="BP41" s="4"/>
      <c r="BQ41" s="4"/>
      <c r="BR41" s="4"/>
      <c r="BS41" s="4"/>
      <c r="BT41" s="4"/>
      <c r="BU41" s="4"/>
      <c r="BV41" s="4"/>
    </row>
    <row x14ac:dyDescent="0.25" r="42" customHeight="1" ht="15">
      <c r="A42" s="202">
        <v>25568.79196759259</v>
      </c>
      <c r="B42" s="379" t="s">
        <v>946</v>
      </c>
      <c r="C42" s="204" t="s">
        <v>947</v>
      </c>
      <c r="D42" s="70" t="s">
        <v>948</v>
      </c>
      <c r="E42" s="70" t="s">
        <v>164</v>
      </c>
      <c r="F42" s="70" t="s">
        <v>132</v>
      </c>
      <c r="G42" s="205">
        <v>704</v>
      </c>
      <c r="H42" s="206">
        <v>1.3</v>
      </c>
      <c r="I42" s="207">
        <v>0.15</v>
      </c>
      <c r="J42" s="398">
        <f>H42+I42</f>
      </c>
      <c r="K42" s="209">
        <v>50000</v>
      </c>
      <c r="L42" s="58">
        <f>K42*I42</f>
      </c>
      <c r="M42" s="58">
        <f>K42*J42</f>
      </c>
      <c r="N42" s="210">
        <v>150</v>
      </c>
      <c r="O42" s="16"/>
      <c r="P42" s="211">
        <f>IF(ISBLANK(N42),O42/4.3,N42/20)</f>
      </c>
      <c r="Q42" s="209">
        <v>4000</v>
      </c>
      <c r="R42" s="3"/>
      <c r="S42" s="212" t="s">
        <v>82</v>
      </c>
      <c r="T42" s="213">
        <f>IF(ISBLANK(R42),0,X42)</f>
      </c>
      <c r="U42" s="213">
        <f>IF(ISBLANK(S42),0,X42)</f>
      </c>
      <c r="V42" s="214">
        <f>IFERROR(Q42/K42,0)</f>
      </c>
      <c r="W42" s="58">
        <f>IFERROR(L42*V42,0)</f>
      </c>
      <c r="X42" s="213">
        <f>IFERROR(Q42+W42,0)</f>
      </c>
      <c r="Y42" s="213">
        <f>IFERROR(M42*V42,0)</f>
      </c>
      <c r="Z42" s="213">
        <f>Y42-(Y42*$B$1)</f>
      </c>
      <c r="AA42" s="67">
        <f>IFERROR(Z42/X42,"")</f>
      </c>
      <c r="AB42" s="215">
        <f>IFERROR(IF(ISBLANK(N42),Y42/O42,Y42/N42),0)</f>
      </c>
      <c r="AC42" s="215">
        <f>IFERROR(-1*(AB42*B$1),0)</f>
      </c>
      <c r="AD42" s="215">
        <f>IFERROR(SUM(AB42:AC42),0)</f>
      </c>
      <c r="AE42" s="215">
        <f>IF(ISBLANK(N42),AD42,AD42*5)</f>
      </c>
      <c r="AF42" s="399">
        <f>SUM(AG42:BE42)</f>
      </c>
      <c r="AG42" s="3"/>
      <c r="AH42" s="3"/>
      <c r="AI42" s="3"/>
      <c r="AJ42" s="3"/>
      <c r="AK42" s="3"/>
      <c r="AL42" s="3"/>
      <c r="AM42" s="3"/>
      <c r="AN42" s="3"/>
      <c r="AO42" s="3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07">
        <v>112.68</v>
      </c>
      <c r="BA42" s="207">
        <v>150.24</v>
      </c>
      <c r="BB42" s="430">
        <v>187.8</v>
      </c>
      <c r="BC42" s="16"/>
      <c r="BD42" s="16"/>
      <c r="BE42" s="16"/>
      <c r="BF42" s="215">
        <f>Y42-AF42</f>
      </c>
      <c r="BG42" s="214">
        <f>IFERROR(AF42/Y42,0)</f>
      </c>
      <c r="BH42" s="214">
        <f>IFERROR(AF42/X42,0)</f>
      </c>
      <c r="BI42" s="238">
        <f>IFERROR(X42/SUM(X$33:X$47),0)</f>
      </c>
      <c r="BJ42" s="238">
        <f>IFERROR(BF42/SUM(BF$3:BF239),0)</f>
      </c>
      <c r="BK42" s="217">
        <f>BF42/'R&amp;H Portfolio'!Q$10</f>
      </c>
      <c r="BL42" s="215">
        <f>BI42*P42</f>
      </c>
      <c r="BM42" s="63"/>
      <c r="BN42" s="93">
        <f>IF(BM42="YES", BF42, "")</f>
      </c>
      <c r="BO42" s="17"/>
      <c r="BP42" s="4"/>
      <c r="BQ42" s="4"/>
      <c r="BR42" s="4"/>
      <c r="BS42" s="4"/>
      <c r="BT42" s="4"/>
      <c r="BU42" s="4"/>
      <c r="BV42" s="4"/>
    </row>
    <row x14ac:dyDescent="0.25" r="43" customHeight="1" ht="15">
      <c r="A43" s="202">
        <v>25568.79196759259</v>
      </c>
      <c r="B43" s="379" t="s">
        <v>949</v>
      </c>
      <c r="C43" s="204" t="s">
        <v>950</v>
      </c>
      <c r="D43" s="70" t="s">
        <v>951</v>
      </c>
      <c r="E43" s="70" t="s">
        <v>164</v>
      </c>
      <c r="F43" s="70" t="s">
        <v>165</v>
      </c>
      <c r="G43" s="205">
        <v>732</v>
      </c>
      <c r="H43" s="206">
        <v>1.29</v>
      </c>
      <c r="I43" s="207">
        <v>0.15</v>
      </c>
      <c r="J43" s="398">
        <f>H43+I43</f>
      </c>
      <c r="K43" s="209">
        <v>40000</v>
      </c>
      <c r="L43" s="58">
        <f>K43*I43</f>
      </c>
      <c r="M43" s="58">
        <f>K43*J43</f>
      </c>
      <c r="N43" s="210">
        <v>189</v>
      </c>
      <c r="O43" s="16"/>
      <c r="P43" s="211">
        <f>IF(ISBLANK(N43),O43/4.3,N43/20)</f>
      </c>
      <c r="Q43" s="209">
        <v>3000</v>
      </c>
      <c r="R43" s="212" t="s">
        <v>816</v>
      </c>
      <c r="S43" s="3"/>
      <c r="T43" s="213">
        <f>IF(ISBLANK(R43),0,X43)</f>
      </c>
      <c r="U43" s="213">
        <f>IF(ISBLANK(S43),0,X43)</f>
      </c>
      <c r="V43" s="214">
        <f>IFERROR(Q43/K43,0)</f>
      </c>
      <c r="W43" s="58">
        <f>IFERROR(L43*V43,0)</f>
      </c>
      <c r="X43" s="213">
        <f>IFERROR(Q43+W43,0)</f>
      </c>
      <c r="Y43" s="213">
        <f>IFERROR(M43*V43,0)</f>
      </c>
      <c r="Z43" s="213">
        <f>Y43-(Y43*$B$1)</f>
      </c>
      <c r="AA43" s="67">
        <f>IFERROR(Z43/X43,"")</f>
      </c>
      <c r="AB43" s="215">
        <f>IFERROR(IF(ISBLANK(N43),Y43/O43,Y43/N43),0)</f>
      </c>
      <c r="AC43" s="215">
        <f>IFERROR(-1*(AB43*B$1),0)</f>
      </c>
      <c r="AD43" s="215">
        <f>IFERROR(SUM(AB43:AC43),0)</f>
      </c>
      <c r="AE43" s="215">
        <f>IF(ISBLANK(N43),AD43,AD43*5)</f>
      </c>
      <c r="AF43" s="399">
        <f>SUM(AG43:BE43)</f>
      </c>
      <c r="AG43" s="3"/>
      <c r="AH43" s="3"/>
      <c r="AI43" s="3"/>
      <c r="AJ43" s="3"/>
      <c r="AK43" s="3"/>
      <c r="AL43" s="3"/>
      <c r="AM43" s="3"/>
      <c r="AN43" s="3"/>
      <c r="AO43" s="3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07">
        <v>88.76</v>
      </c>
      <c r="BA43" s="207">
        <v>88.76</v>
      </c>
      <c r="BB43" s="430">
        <v>110.95</v>
      </c>
      <c r="BC43" s="16"/>
      <c r="BD43" s="16"/>
      <c r="BE43" s="16"/>
      <c r="BF43" s="215">
        <f>Y43-AF43</f>
      </c>
      <c r="BG43" s="214">
        <f>IFERROR(AF43/Y43,0)</f>
      </c>
      <c r="BH43" s="214">
        <f>IFERROR(AF43/X43,0)</f>
      </c>
      <c r="BI43" s="238">
        <f>IFERROR(X43/SUM(X$33:X$47),0)</f>
      </c>
      <c r="BJ43" s="238">
        <f>IFERROR(BF43/SUM(BF$3:BF240),0)</f>
      </c>
      <c r="BK43" s="217">
        <f>BF43/'R&amp;H Portfolio'!Q$10</f>
      </c>
      <c r="BL43" s="215">
        <f>BI43*P43</f>
      </c>
      <c r="BM43" s="63"/>
      <c r="BN43" s="93">
        <f>IF(BM43="YES", BF43, "")</f>
      </c>
      <c r="BO43" s="17"/>
      <c r="BP43" s="4"/>
      <c r="BQ43" s="4"/>
      <c r="BR43" s="4"/>
      <c r="BS43" s="4"/>
      <c r="BT43" s="4"/>
      <c r="BU43" s="4"/>
      <c r="BV43" s="4"/>
    </row>
    <row x14ac:dyDescent="0.25" r="44" customHeight="1" ht="15">
      <c r="A44" s="202">
        <v>25568.79196759259</v>
      </c>
      <c r="B44" s="379" t="s">
        <v>952</v>
      </c>
      <c r="C44" s="204" t="s">
        <v>953</v>
      </c>
      <c r="D44" s="70" t="s">
        <v>954</v>
      </c>
      <c r="E44" s="70" t="s">
        <v>261</v>
      </c>
      <c r="F44" s="70" t="s">
        <v>160</v>
      </c>
      <c r="G44" s="205">
        <v>548</v>
      </c>
      <c r="H44" s="206">
        <v>1.33</v>
      </c>
      <c r="I44" s="207">
        <v>0.15</v>
      </c>
      <c r="J44" s="398">
        <f>H44+I44</f>
      </c>
      <c r="K44" s="209">
        <v>90000</v>
      </c>
      <c r="L44" s="58">
        <f>K44*I44</f>
      </c>
      <c r="M44" s="58">
        <f>K44*J44</f>
      </c>
      <c r="N44" s="210">
        <v>160</v>
      </c>
      <c r="O44" s="16"/>
      <c r="P44" s="211">
        <f>IF(ISBLANK(N44),O44/4.3,N44/20)</f>
      </c>
      <c r="Q44" s="209">
        <v>6000</v>
      </c>
      <c r="R44" s="3"/>
      <c r="S44" s="212" t="s">
        <v>82</v>
      </c>
      <c r="T44" s="213">
        <f>IF(ISBLANK(R44),0,X44)</f>
      </c>
      <c r="U44" s="213">
        <f>IF(ISBLANK(S44),0,X44)</f>
      </c>
      <c r="V44" s="214">
        <f>IFERROR(Q44/K44,0)</f>
      </c>
      <c r="W44" s="58">
        <f>IFERROR(L44*V44,0)</f>
      </c>
      <c r="X44" s="213">
        <f>IFERROR(Q44+W44,0)</f>
      </c>
      <c r="Y44" s="213">
        <f>IFERROR(M44*V44,0)</f>
      </c>
      <c r="Z44" s="213">
        <f>Y44-(Y44*$B$1)</f>
      </c>
      <c r="AA44" s="67">
        <f>IFERROR(Z44/X44,"")</f>
      </c>
      <c r="AB44" s="215">
        <f>IFERROR(IF(ISBLANK(N44),Y44/O44,Y44/N44),0)</f>
      </c>
      <c r="AC44" s="215">
        <f>IFERROR(-1*(AB44*B$1),0)</f>
      </c>
      <c r="AD44" s="215">
        <f>IFERROR(SUM(AB44:AC44),0)</f>
      </c>
      <c r="AE44" s="215">
        <f>IF(ISBLANK(N44),AD44,AD44*5)</f>
      </c>
      <c r="AF44" s="399">
        <f>SUM(AG44:BE44)</f>
      </c>
      <c r="AG44" s="3"/>
      <c r="AH44" s="3"/>
      <c r="AI44" s="3"/>
      <c r="AJ44" s="3"/>
      <c r="AK44" s="3"/>
      <c r="AL44" s="3"/>
      <c r="AM44" s="3"/>
      <c r="AN44" s="3"/>
      <c r="AO44" s="3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207">
        <v>161.58</v>
      </c>
      <c r="BA44" s="207">
        <v>215.44</v>
      </c>
      <c r="BB44" s="430">
        <v>215.44</v>
      </c>
      <c r="BC44" s="16"/>
      <c r="BD44" s="16"/>
      <c r="BE44" s="16"/>
      <c r="BF44" s="215">
        <f>Y44-AF44</f>
      </c>
      <c r="BG44" s="214">
        <f>IFERROR(AF44/Y44,0)</f>
      </c>
      <c r="BH44" s="214">
        <f>IFERROR(AF44/X44,0)</f>
      </c>
      <c r="BI44" s="238">
        <f>IFERROR(X44/SUM(X$33:X$47),0)</f>
      </c>
      <c r="BJ44" s="238">
        <f>IFERROR(BF44/SUM(BF$3:BF241),0)</f>
      </c>
      <c r="BK44" s="217">
        <f>BF44/'R&amp;H Portfolio'!Q$10</f>
      </c>
      <c r="BL44" s="215">
        <f>BI44*P44</f>
      </c>
      <c r="BM44" s="63"/>
      <c r="BN44" s="93">
        <f>IF(BM44="YES", BF44, "")</f>
      </c>
      <c r="BO44" s="17"/>
      <c r="BP44" s="4"/>
      <c r="BQ44" s="4"/>
      <c r="BR44" s="4"/>
      <c r="BS44" s="4"/>
      <c r="BT44" s="4"/>
      <c r="BU44" s="4"/>
      <c r="BV44" s="4"/>
    </row>
    <row x14ac:dyDescent="0.25" r="45" customHeight="1" ht="15">
      <c r="A45" s="202">
        <v>25568.79196759259</v>
      </c>
      <c r="B45" s="379" t="s">
        <v>955</v>
      </c>
      <c r="C45" s="204" t="s">
        <v>956</v>
      </c>
      <c r="D45" s="70" t="s">
        <v>957</v>
      </c>
      <c r="E45" s="70" t="s">
        <v>464</v>
      </c>
      <c r="F45" s="70" t="s">
        <v>165</v>
      </c>
      <c r="G45" s="205">
        <v>650</v>
      </c>
      <c r="H45" s="206">
        <v>1.3</v>
      </c>
      <c r="I45" s="207">
        <v>0.15</v>
      </c>
      <c r="J45" s="398">
        <f>H45+I45</f>
      </c>
      <c r="K45" s="209">
        <v>75000</v>
      </c>
      <c r="L45" s="58">
        <f>K45*I45</f>
      </c>
      <c r="M45" s="58">
        <f>K45*J45</f>
      </c>
      <c r="N45" s="210">
        <v>147</v>
      </c>
      <c r="O45" s="16"/>
      <c r="P45" s="211">
        <f>IF(ISBLANK(N45),O45/4.3,N45/20)</f>
      </c>
      <c r="Q45" s="209">
        <v>7000</v>
      </c>
      <c r="R45" s="212" t="s">
        <v>816</v>
      </c>
      <c r="S45" s="3"/>
      <c r="T45" s="213">
        <f>IF(ISBLANK(R45),0,X45)</f>
      </c>
      <c r="U45" s="213">
        <f>IF(ISBLANK(S45),0,X45)</f>
      </c>
      <c r="V45" s="214">
        <f>IFERROR(Q45/K45,0)</f>
      </c>
      <c r="W45" s="58">
        <f>IFERROR(L45*V45,0)</f>
      </c>
      <c r="X45" s="213">
        <f>IFERROR(Q45+W45,0)</f>
      </c>
      <c r="Y45" s="213">
        <f>IFERROR(M45*V45,0)</f>
      </c>
      <c r="Z45" s="213">
        <f>Y45-(Y45*$B$1)</f>
      </c>
      <c r="AA45" s="67">
        <f>IFERROR(Z45/X45,"")</f>
      </c>
      <c r="AB45" s="215">
        <f>IFERROR(IF(ISBLANK(N45),Y45/O45,Y45/N45),0)</f>
      </c>
      <c r="AC45" s="215">
        <f>IFERROR(-1*(AB45*B$1),0)</f>
      </c>
      <c r="AD45" s="215">
        <f>IFERROR(SUM(AB45:AC45),0)</f>
      </c>
      <c r="AE45" s="215">
        <f>IF(ISBLANK(N45),AD45,AD45*5)</f>
      </c>
      <c r="AF45" s="399">
        <f>SUM(AG45:BE45)</f>
      </c>
      <c r="AG45" s="3"/>
      <c r="AH45" s="3"/>
      <c r="AI45" s="3"/>
      <c r="AJ45" s="3"/>
      <c r="AK45" s="3"/>
      <c r="AL45" s="3"/>
      <c r="AM45" s="3"/>
      <c r="AN45" s="3"/>
      <c r="AO45" s="3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209">
        <v>201</v>
      </c>
      <c r="BA45" s="209">
        <v>268</v>
      </c>
      <c r="BB45" s="430">
        <v>335</v>
      </c>
      <c r="BC45" s="16"/>
      <c r="BD45" s="16"/>
      <c r="BE45" s="16"/>
      <c r="BF45" s="215">
        <f>Y45-AF45</f>
      </c>
      <c r="BG45" s="214">
        <f>IFERROR(AF45/Y45,0)</f>
      </c>
      <c r="BH45" s="214">
        <f>IFERROR(AF45/X45,0)</f>
      </c>
      <c r="BI45" s="238">
        <f>IFERROR(X45/SUM(X$33:X$47),0)</f>
      </c>
      <c r="BJ45" s="238">
        <f>IFERROR(BF45/SUM(BF$3:BF242),0)</f>
      </c>
      <c r="BK45" s="217">
        <f>BF45/'R&amp;H Portfolio'!Q$10</f>
      </c>
      <c r="BL45" s="215">
        <f>BI45*P45</f>
      </c>
      <c r="BM45" s="63"/>
      <c r="BN45" s="93">
        <f>IF(BM45="YES", BF45, "")</f>
      </c>
      <c r="BO45" s="17"/>
      <c r="BP45" s="4"/>
      <c r="BQ45" s="4"/>
      <c r="BR45" s="4"/>
      <c r="BS45" s="4"/>
      <c r="BT45" s="4"/>
      <c r="BU45" s="4"/>
      <c r="BV45" s="4"/>
    </row>
    <row x14ac:dyDescent="0.25" r="46" customHeight="1" ht="15">
      <c r="A46" s="202">
        <v>25568.79196759259</v>
      </c>
      <c r="B46" s="379" t="s">
        <v>958</v>
      </c>
      <c r="C46" s="204" t="s">
        <v>959</v>
      </c>
      <c r="D46" s="70" t="s">
        <v>960</v>
      </c>
      <c r="E46" s="70" t="s">
        <v>961</v>
      </c>
      <c r="F46" s="70" t="s">
        <v>235</v>
      </c>
      <c r="G46" s="205">
        <v>639</v>
      </c>
      <c r="H46" s="206">
        <v>1.25</v>
      </c>
      <c r="I46" s="207">
        <v>0.15</v>
      </c>
      <c r="J46" s="398">
        <f>H46+I46</f>
      </c>
      <c r="K46" s="209">
        <v>35000</v>
      </c>
      <c r="L46" s="58">
        <f>K46*I46</f>
      </c>
      <c r="M46" s="58">
        <f>K46*J46</f>
      </c>
      <c r="N46" s="16"/>
      <c r="O46" s="210">
        <v>24</v>
      </c>
      <c r="P46" s="211">
        <f>IF(ISBLANK(N46),O46/4.3,N46/20)</f>
      </c>
      <c r="Q46" s="209">
        <v>4000</v>
      </c>
      <c r="R46" s="3"/>
      <c r="S46" s="212" t="s">
        <v>82</v>
      </c>
      <c r="T46" s="213">
        <f>IF(ISBLANK(R46),0,X46)</f>
      </c>
      <c r="U46" s="213">
        <f>IF(ISBLANK(S46),0,X46)</f>
      </c>
      <c r="V46" s="214">
        <f>IFERROR(Q46/K46,0)</f>
      </c>
      <c r="W46" s="58">
        <f>IFERROR(L46*V46,0)</f>
      </c>
      <c r="X46" s="213">
        <f>IFERROR(Q46+W46,0)</f>
      </c>
      <c r="Y46" s="213">
        <f>IFERROR(M46*V46,0)</f>
      </c>
      <c r="Z46" s="213">
        <f>Y46-(Y46*$B$1)</f>
      </c>
      <c r="AA46" s="67">
        <f>IFERROR(Z46/X46,"")</f>
      </c>
      <c r="AB46" s="215">
        <f>IFERROR(IF(ISBLANK(N46),Y46/O46,Y46/N46),0)</f>
      </c>
      <c r="AC46" s="215">
        <f>IFERROR(-1*(AB46*B$1),0)</f>
      </c>
      <c r="AD46" s="215">
        <f>IFERROR(SUM(AB46:AC46),0)</f>
      </c>
      <c r="AE46" s="215">
        <f>IF(ISBLANK(N46),AD46,AD46*5)</f>
      </c>
      <c r="AF46" s="399">
        <f>SUM(AG46:BE46)</f>
      </c>
      <c r="AG46" s="3"/>
      <c r="AH46" s="3"/>
      <c r="AI46" s="3"/>
      <c r="AJ46" s="3"/>
      <c r="AK46" s="3"/>
      <c r="AL46" s="3"/>
      <c r="AM46" s="3"/>
      <c r="AN46" s="3"/>
      <c r="AO46" s="3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207">
        <v>226.15</v>
      </c>
      <c r="BA46" s="207">
        <v>226.15</v>
      </c>
      <c r="BB46" s="430">
        <v>226.15</v>
      </c>
      <c r="BC46" s="16"/>
      <c r="BD46" s="16"/>
      <c r="BE46" s="16"/>
      <c r="BF46" s="215">
        <f>Y46-AF46</f>
      </c>
      <c r="BG46" s="214">
        <f>IFERROR(AF46/Y46,0)</f>
      </c>
      <c r="BH46" s="214">
        <f>IFERROR(AF46/X46,0)</f>
      </c>
      <c r="BI46" s="238">
        <f>IFERROR(X46/SUM(X$33:X$47),0)</f>
      </c>
      <c r="BJ46" s="238">
        <f>IFERROR(BF46/SUM(BF$3:BF243),0)</f>
      </c>
      <c r="BK46" s="217">
        <f>BF46/'R&amp;H Portfolio'!Q$10</f>
      </c>
      <c r="BL46" s="215">
        <f>BI46*P46</f>
      </c>
      <c r="BM46" s="63"/>
      <c r="BN46" s="93">
        <f>IF(BM46="YES", BF46, "")</f>
      </c>
      <c r="BO46" s="17"/>
      <c r="BP46" s="4"/>
      <c r="BQ46" s="4"/>
      <c r="BR46" s="4"/>
      <c r="BS46" s="4"/>
      <c r="BT46" s="4"/>
      <c r="BU46" s="4"/>
      <c r="BV46" s="4"/>
    </row>
    <row x14ac:dyDescent="0.25" r="47" customHeight="1" ht="15">
      <c r="A47" s="223">
        <v>25568.79196759259</v>
      </c>
      <c r="B47" s="435" t="s">
        <v>962</v>
      </c>
      <c r="C47" s="225" t="s">
        <v>963</v>
      </c>
      <c r="D47" s="226" t="s">
        <v>964</v>
      </c>
      <c r="E47" s="226" t="s">
        <v>164</v>
      </c>
      <c r="F47" s="226" t="s">
        <v>206</v>
      </c>
      <c r="G47" s="245">
        <v>652</v>
      </c>
      <c r="H47" s="228">
        <v>1.25</v>
      </c>
      <c r="I47" s="229">
        <v>0.15</v>
      </c>
      <c r="J47" s="391">
        <f>H47+I47</f>
      </c>
      <c r="K47" s="231">
        <v>40000</v>
      </c>
      <c r="L47" s="232">
        <f>K47*I47</f>
      </c>
      <c r="M47" s="232">
        <f>K47*J47</f>
      </c>
      <c r="N47" s="233"/>
      <c r="O47" s="233">
        <v>28</v>
      </c>
      <c r="P47" s="234">
        <f>IF(ISBLANK(N47),O47/4.3,N47/20)</f>
      </c>
      <c r="Q47" s="231">
        <v>3000</v>
      </c>
      <c r="R47" s="246" t="s">
        <v>816</v>
      </c>
      <c r="S47" s="231"/>
      <c r="T47" s="239">
        <f>IF(ISBLANK(R47),0,X47)</f>
      </c>
      <c r="U47" s="239">
        <f>IF(ISBLANK(S47),0,X47)</f>
      </c>
      <c r="V47" s="238">
        <f>IFERROR(Q47/K47,0)</f>
      </c>
      <c r="W47" s="232">
        <f>IFERROR(L47*V47,0)</f>
      </c>
      <c r="X47" s="239">
        <f>IFERROR(Q47+W47,0)</f>
      </c>
      <c r="Y47" s="239">
        <f>IFERROR(M47*V47,0)</f>
      </c>
      <c r="Z47" s="239">
        <f>Y47-(Y47*$B$1)</f>
      </c>
      <c r="AA47" s="240">
        <f>IFERROR(Z47/X47,"")</f>
      </c>
      <c r="AB47" s="241">
        <f>IFERROR(IF(ISBLANK(N47),Y47/O47,Y47/N47),0)</f>
      </c>
      <c r="AC47" s="241">
        <f>IFERROR(-1*(AB47*B$1),0)</f>
      </c>
      <c r="AD47" s="241">
        <f>IFERROR(SUM(AB47:AC47),0)</f>
      </c>
      <c r="AE47" s="241">
        <f>IF(ISBLANK(N47),AD47,AD47*5)</f>
      </c>
      <c r="AF47" s="392">
        <f>SUM(AG47:BE47)</f>
      </c>
      <c r="AG47" s="246"/>
      <c r="AH47" s="246"/>
      <c r="AI47" s="246"/>
      <c r="AJ47" s="246"/>
      <c r="AK47" s="246"/>
      <c r="AL47" s="246"/>
      <c r="AM47" s="246"/>
      <c r="AN47" s="246"/>
      <c r="AO47" s="246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>
        <v>145.43</v>
      </c>
      <c r="BB47" s="431">
        <v>145.43</v>
      </c>
      <c r="BC47" s="233"/>
      <c r="BD47" s="233"/>
      <c r="BE47" s="233"/>
      <c r="BF47" s="241">
        <f>Y47-AF47</f>
      </c>
      <c r="BG47" s="238">
        <f>IFERROR(AF47/Y47,0)</f>
      </c>
      <c r="BH47" s="238">
        <f>IFERROR(AF47/X47,0)</f>
      </c>
      <c r="BI47" s="238">
        <f>IFERROR(X47/SUM(X$33:X$47),0)</f>
      </c>
      <c r="BJ47" s="238">
        <f>IFERROR(BF47/SUM(BF$3:BF244),0)</f>
      </c>
      <c r="BK47" s="217">
        <f>BF47/'R&amp;H Portfolio'!Q$10</f>
      </c>
      <c r="BL47" s="241">
        <f>BI47*P47</f>
      </c>
      <c r="BM47" s="432"/>
      <c r="BN47" s="433">
        <f>IF(BM47="YES", BF47, "")</f>
      </c>
      <c r="BO47" s="17"/>
      <c r="BP47" s="4"/>
      <c r="BQ47" s="4"/>
      <c r="BR47" s="4"/>
      <c r="BS47" s="4"/>
      <c r="BT47" s="4"/>
      <c r="BU47" s="4"/>
      <c r="BV47" s="4"/>
    </row>
    <row x14ac:dyDescent="0.25" r="48" customHeight="1" ht="15">
      <c r="A48" s="202">
        <v>25568.79196759259</v>
      </c>
      <c r="B48" s="379" t="s">
        <v>965</v>
      </c>
      <c r="C48" s="204" t="s">
        <v>966</v>
      </c>
      <c r="D48" s="70" t="s">
        <v>967</v>
      </c>
      <c r="E48" s="70" t="s">
        <v>935</v>
      </c>
      <c r="F48" s="70" t="s">
        <v>226</v>
      </c>
      <c r="G48" s="205">
        <v>558</v>
      </c>
      <c r="H48" s="206">
        <v>1.3</v>
      </c>
      <c r="I48" s="207">
        <v>0.15</v>
      </c>
      <c r="J48" s="398">
        <f>H48+I48</f>
      </c>
      <c r="K48" s="209">
        <v>85000</v>
      </c>
      <c r="L48" s="58">
        <f>K48*I48</f>
      </c>
      <c r="M48" s="58">
        <f>K48*J48</f>
      </c>
      <c r="N48" s="16"/>
      <c r="O48" s="210">
        <v>28</v>
      </c>
      <c r="P48" s="211">
        <f>IF(ISBLANK(N48),O48/4.3,N48/20)</f>
      </c>
      <c r="Q48" s="209">
        <v>3000</v>
      </c>
      <c r="R48" s="3"/>
      <c r="S48" s="212" t="s">
        <v>82</v>
      </c>
      <c r="T48" s="213">
        <f>IF(ISBLANK(R48),0,X48)</f>
      </c>
      <c r="U48" s="213">
        <f>IF(ISBLANK(S48),0,X48)</f>
      </c>
      <c r="V48" s="214">
        <f>IFERROR(Q48/K48,0)</f>
      </c>
      <c r="W48" s="58">
        <f>IFERROR(L48*V48,0)</f>
      </c>
      <c r="X48" s="213">
        <f>IFERROR(Q48+W48,0)</f>
      </c>
      <c r="Y48" s="213">
        <f>IFERROR(M48*V48,0)</f>
      </c>
      <c r="Z48" s="213">
        <f>Y48-(Y48*$B$1)</f>
      </c>
      <c r="AA48" s="67">
        <f>IFERROR(Z48/X48,"")</f>
      </c>
      <c r="AB48" s="215">
        <f>IFERROR(IF(ISBLANK(N48),Y48/O48,Y48/N48),0)</f>
      </c>
      <c r="AC48" s="215">
        <f>IFERROR(-1*(AB48*B$1),0)</f>
      </c>
      <c r="AD48" s="215">
        <f>IFERROR(SUM(AB48:AC48),0)</f>
      </c>
      <c r="AE48" s="215">
        <f>IF(ISBLANK(N48),AD48,AD48*5)</f>
      </c>
      <c r="AF48" s="399">
        <f>SUM(AG48:BE48)</f>
      </c>
      <c r="AG48" s="3"/>
      <c r="AH48" s="3"/>
      <c r="AI48" s="3"/>
      <c r="AJ48" s="3"/>
      <c r="AK48" s="3"/>
      <c r="AL48" s="3"/>
      <c r="AM48" s="3"/>
      <c r="AN48" s="3"/>
      <c r="AO48" s="3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430">
        <v>219.17</v>
      </c>
      <c r="BC48" s="16"/>
      <c r="BD48" s="16"/>
      <c r="BE48" s="16"/>
      <c r="BF48" s="215">
        <f>Y48-AF48</f>
      </c>
      <c r="BG48" s="214">
        <f>IFERROR(AF48/Y48,0)</f>
      </c>
      <c r="BH48" s="214">
        <f>IFERROR(AF48/X48,0)</f>
      </c>
      <c r="BI48" s="238">
        <f>IFERROR(X48/SUM(X$48:X$70),0)</f>
      </c>
      <c r="BJ48" s="238">
        <f>IFERROR(BF48/SUM(BF$3:BF245),0)</f>
      </c>
      <c r="BK48" s="217">
        <f>BF48/'R&amp;H Portfolio'!Q$10</f>
      </c>
      <c r="BL48" s="215">
        <f>BI48*P48</f>
      </c>
      <c r="BM48" s="63"/>
      <c r="BN48" s="93">
        <f>IF(BM48="YES", BF48, "")</f>
      </c>
      <c r="BO48" s="17"/>
      <c r="BP48" s="4"/>
      <c r="BQ48" s="4"/>
      <c r="BR48" s="4"/>
      <c r="BS48" s="4"/>
      <c r="BT48" s="4"/>
      <c r="BU48" s="4"/>
      <c r="BV48" s="4"/>
    </row>
    <row x14ac:dyDescent="0.25" r="49" customHeight="1" ht="15">
      <c r="A49" s="202">
        <v>25568.79196759259</v>
      </c>
      <c r="B49" s="379" t="s">
        <v>968</v>
      </c>
      <c r="C49" s="204" t="s">
        <v>969</v>
      </c>
      <c r="D49" s="70" t="s">
        <v>970</v>
      </c>
      <c r="E49" s="70" t="s">
        <v>971</v>
      </c>
      <c r="F49" s="70" t="s">
        <v>160</v>
      </c>
      <c r="G49" s="205">
        <v>643</v>
      </c>
      <c r="H49" s="206">
        <v>1.31</v>
      </c>
      <c r="I49" s="207">
        <v>0.1</v>
      </c>
      <c r="J49" s="398">
        <f>H49+I49</f>
      </c>
      <c r="K49" s="209">
        <v>100000</v>
      </c>
      <c r="L49" s="58">
        <f>K49*I49</f>
      </c>
      <c r="M49" s="58">
        <f>K49*J49</f>
      </c>
      <c r="N49" s="210">
        <v>100</v>
      </c>
      <c r="O49" s="16"/>
      <c r="P49" s="211">
        <f>IF(ISBLANK(N49),O49/4.3,N49/20)</f>
      </c>
      <c r="Q49" s="209">
        <v>4000</v>
      </c>
      <c r="R49" s="3"/>
      <c r="S49" s="212" t="s">
        <v>82</v>
      </c>
      <c r="T49" s="213">
        <f>IF(ISBLANK(R49),0,X49)</f>
      </c>
      <c r="U49" s="213">
        <f>IF(ISBLANK(S49),0,X49)</f>
      </c>
      <c r="V49" s="214">
        <f>IFERROR(Q49/K49,0)</f>
      </c>
      <c r="W49" s="58">
        <f>IFERROR(L49*V49,0)</f>
      </c>
      <c r="X49" s="213">
        <f>IFERROR(Q49+W49,0)</f>
      </c>
      <c r="Y49" s="213">
        <f>IFERROR(M49*V49,0)</f>
      </c>
      <c r="Z49" s="213">
        <f>Y49-(Y49*$B$1)</f>
      </c>
      <c r="AA49" s="67">
        <f>IFERROR(Z49/X49,"")</f>
      </c>
      <c r="AB49" s="215">
        <f>IFERROR(IF(ISBLANK(N49),Y49/O49,Y49/N49),0)</f>
      </c>
      <c r="AC49" s="215">
        <f>IFERROR(-1*(AB49*B$1),0)</f>
      </c>
      <c r="AD49" s="215">
        <f>IFERROR(SUM(AB49:AC49),0)</f>
      </c>
      <c r="AE49" s="215">
        <f>IF(ISBLANK(N49),AD49,AD49*5)</f>
      </c>
      <c r="AF49" s="399">
        <f>SUM(AG49:BE49)</f>
      </c>
      <c r="AG49" s="3"/>
      <c r="AH49" s="3"/>
      <c r="AI49" s="3"/>
      <c r="AJ49" s="3"/>
      <c r="AK49" s="3"/>
      <c r="AL49" s="3"/>
      <c r="AM49" s="3"/>
      <c r="AN49" s="3"/>
      <c r="AO49" s="3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430">
        <v>545.16</v>
      </c>
      <c r="BC49" s="16"/>
      <c r="BD49" s="16"/>
      <c r="BE49" s="16"/>
      <c r="BF49" s="215">
        <f>Y49-AF49</f>
      </c>
      <c r="BG49" s="214">
        <f>IFERROR(AF49/Y49,0)</f>
      </c>
      <c r="BH49" s="214">
        <f>IFERROR(AF49/X49,0)</f>
      </c>
      <c r="BI49" s="238">
        <f>IFERROR(X49/SUM(X$48:X$70),0)</f>
      </c>
      <c r="BJ49" s="238">
        <f>IFERROR(BF49/SUM(BF$3:BF246),0)</f>
      </c>
      <c r="BK49" s="217">
        <f>BF49/'R&amp;H Portfolio'!Q$10</f>
      </c>
      <c r="BL49" s="215">
        <f>BI49*P49</f>
      </c>
      <c r="BM49" s="63"/>
      <c r="BN49" s="93">
        <f>IF(BM49="YES", BF49, "")</f>
      </c>
      <c r="BO49" s="17"/>
      <c r="BP49" s="4"/>
      <c r="BQ49" s="4"/>
      <c r="BR49" s="4"/>
      <c r="BS49" s="4"/>
      <c r="BT49" s="4"/>
      <c r="BU49" s="4"/>
      <c r="BV49" s="4"/>
    </row>
    <row x14ac:dyDescent="0.25" r="50" customHeight="1" ht="15">
      <c r="A50" s="202">
        <v>25568.79196759259</v>
      </c>
      <c r="B50" s="379" t="s">
        <v>972</v>
      </c>
      <c r="C50" s="204" t="s">
        <v>973</v>
      </c>
      <c r="D50" s="70" t="s">
        <v>974</v>
      </c>
      <c r="E50" s="70" t="s">
        <v>164</v>
      </c>
      <c r="F50" s="70" t="s">
        <v>306</v>
      </c>
      <c r="G50" s="205">
        <v>639</v>
      </c>
      <c r="H50" s="206">
        <v>1.349</v>
      </c>
      <c r="I50" s="207">
        <v>0.15</v>
      </c>
      <c r="J50" s="398">
        <f>H50+I50</f>
      </c>
      <c r="K50" s="209">
        <v>75000</v>
      </c>
      <c r="L50" s="58">
        <f>K50*I50</f>
      </c>
      <c r="M50" s="58">
        <f>K50*J50</f>
      </c>
      <c r="N50" s="16"/>
      <c r="O50" s="210">
        <v>28</v>
      </c>
      <c r="P50" s="211">
        <f>IF(ISBLANK(N50),O50/4.3,N50/20)</f>
      </c>
      <c r="Q50" s="209">
        <v>4000</v>
      </c>
      <c r="R50" s="3"/>
      <c r="S50" s="212" t="s">
        <v>82</v>
      </c>
      <c r="T50" s="213">
        <f>IF(ISBLANK(R50),0,X50)</f>
      </c>
      <c r="U50" s="213">
        <f>IF(ISBLANK(S50),0,X50)</f>
      </c>
      <c r="V50" s="214">
        <f>IFERROR(Q50/K50,0)</f>
      </c>
      <c r="W50" s="58">
        <f>IFERROR(L50*V50,0)</f>
      </c>
      <c r="X50" s="213">
        <f>IFERROR(Q50+W50,0)</f>
      </c>
      <c r="Y50" s="213">
        <f>IFERROR(M50*V50,0)</f>
      </c>
      <c r="Z50" s="213">
        <f>Y50-(Y50*$B$1)</f>
      </c>
      <c r="AA50" s="67">
        <f>IFERROR(Z50/X50,"")</f>
      </c>
      <c r="AB50" s="215">
        <f>IFERROR(IF(ISBLANK(N50),Y50/O50,Y50/N50),0)</f>
      </c>
      <c r="AC50" s="215">
        <f>IFERROR(-1*(AB50*B$1),0)</f>
      </c>
      <c r="AD50" s="215">
        <f>IFERROR(SUM(AB50:AC50),0)</f>
      </c>
      <c r="AE50" s="215">
        <f>IF(ISBLANK(N50),AD50,AD50*5)</f>
      </c>
      <c r="AF50" s="216">
        <f>SUM(AG50:BE50)</f>
      </c>
      <c r="AG50" s="3"/>
      <c r="AH50" s="3"/>
      <c r="AI50" s="3"/>
      <c r="AJ50" s="3"/>
      <c r="AK50" s="3"/>
      <c r="AL50" s="3"/>
      <c r="AM50" s="3"/>
      <c r="AN50" s="3"/>
      <c r="AO50" s="3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430">
        <v>200.94</v>
      </c>
      <c r="BC50" s="16"/>
      <c r="BD50" s="16"/>
      <c r="BE50" s="16"/>
      <c r="BF50" s="215">
        <f>Y50-AF50</f>
      </c>
      <c r="BG50" s="214">
        <f>IFERROR(AF50/Y50,0)</f>
      </c>
      <c r="BH50" s="214">
        <f>IFERROR(AF50/X50,0)</f>
      </c>
      <c r="BI50" s="238">
        <f>IFERROR(X50/SUM(X$48:X$70),0)</f>
      </c>
      <c r="BJ50" s="238">
        <f>IFERROR(BF50/SUM(BF$3:BF247),0)</f>
      </c>
      <c r="BK50" s="217">
        <f>BF50/'R&amp;H Portfolio'!Q$10</f>
      </c>
      <c r="BL50" s="215">
        <f>BI50*P50</f>
      </c>
      <c r="BM50" s="3"/>
      <c r="BN50" s="3"/>
      <c r="BO50" s="17"/>
      <c r="BP50" s="4"/>
      <c r="BQ50" s="4"/>
      <c r="BR50" s="4"/>
      <c r="BS50" s="4"/>
      <c r="BT50" s="4"/>
      <c r="BU50" s="4"/>
      <c r="BV50" s="4"/>
    </row>
    <row x14ac:dyDescent="0.25" r="51" customHeight="1" ht="15">
      <c r="A51" s="202">
        <v>25568.79196759259</v>
      </c>
      <c r="B51" s="379" t="s">
        <v>975</v>
      </c>
      <c r="C51" s="204" t="s">
        <v>976</v>
      </c>
      <c r="D51" s="70" t="s">
        <v>977</v>
      </c>
      <c r="E51" s="70" t="s">
        <v>266</v>
      </c>
      <c r="F51" s="70" t="s">
        <v>132</v>
      </c>
      <c r="G51" s="205">
        <v>585</v>
      </c>
      <c r="H51" s="206">
        <v>1.339</v>
      </c>
      <c r="I51" s="207">
        <v>0.15</v>
      </c>
      <c r="J51" s="398">
        <f>H51+I51</f>
      </c>
      <c r="K51" s="209">
        <v>55000</v>
      </c>
      <c r="L51" s="58">
        <f>K51*I51</f>
      </c>
      <c r="M51" s="58">
        <f>K51*J51</f>
      </c>
      <c r="N51" s="16"/>
      <c r="O51" s="210">
        <v>24</v>
      </c>
      <c r="P51" s="211">
        <f>IF(ISBLANK(N51),O51/4.3,N51/20)</f>
      </c>
      <c r="Q51" s="209">
        <v>3000</v>
      </c>
      <c r="R51" s="3"/>
      <c r="S51" s="212" t="s">
        <v>82</v>
      </c>
      <c r="T51" s="213">
        <f>IF(ISBLANK(R51),0,X51)</f>
      </c>
      <c r="U51" s="213">
        <f>IF(ISBLANK(S51),0,X51)</f>
      </c>
      <c r="V51" s="214">
        <f>IFERROR(Q51/K51,0)</f>
      </c>
      <c r="W51" s="58">
        <f>IFERROR(L51*V51,0)</f>
      </c>
      <c r="X51" s="213">
        <f>IFERROR(Q51+W51,0)</f>
      </c>
      <c r="Y51" s="213">
        <f>IFERROR(M51*V51,0)</f>
      </c>
      <c r="Z51" s="213">
        <f>Y51-(Y51*$B$1)</f>
      </c>
      <c r="AA51" s="67">
        <f>IFERROR(Z51/X51,"")</f>
      </c>
      <c r="AB51" s="215">
        <f>IFERROR(IF(ISBLANK(N51),Y51/O51,Y51/N51),0)</f>
      </c>
      <c r="AC51" s="215">
        <f>IFERROR(-1*(AB51*B$1),0)</f>
      </c>
      <c r="AD51" s="215">
        <f>IFERROR(SUM(AB51:AC51),0)</f>
      </c>
      <c r="AE51" s="215">
        <f>IF(ISBLANK(N51),AD51,AD51*5)</f>
      </c>
      <c r="AF51" s="216">
        <f>SUM(AG51:BE51)</f>
      </c>
      <c r="AG51" s="3"/>
      <c r="AH51" s="3"/>
      <c r="AI51" s="3"/>
      <c r="AJ51" s="3"/>
      <c r="AK51" s="3"/>
      <c r="AL51" s="3"/>
      <c r="AM51" s="3"/>
      <c r="AN51" s="3"/>
      <c r="AO51" s="3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430">
        <v>181.8</v>
      </c>
      <c r="BC51" s="16"/>
      <c r="BD51" s="16"/>
      <c r="BE51" s="16"/>
      <c r="BF51" s="215">
        <f>Y51-AF51</f>
      </c>
      <c r="BG51" s="214">
        <f>IFERROR(AF51/Y51,0)</f>
      </c>
      <c r="BH51" s="214">
        <f>IFERROR(AF51/X51,0)</f>
      </c>
      <c r="BI51" s="238">
        <f>IFERROR(X51/SUM(X$48:X$70),0)</f>
      </c>
      <c r="BJ51" s="238">
        <f>IFERROR(BF51/SUM(BF$3:BF248),0)</f>
      </c>
      <c r="BK51" s="217">
        <f>BF51/'R&amp;H Portfolio'!Q$10</f>
      </c>
      <c r="BL51" s="215">
        <f>BI51*P51</f>
      </c>
      <c r="BM51" s="3"/>
      <c r="BN51" s="3"/>
      <c r="BO51" s="17"/>
      <c r="BP51" s="4"/>
      <c r="BQ51" s="4"/>
      <c r="BR51" s="4"/>
      <c r="BS51" s="4"/>
      <c r="BT51" s="4"/>
      <c r="BU51" s="4"/>
      <c r="BV51" s="4"/>
    </row>
    <row x14ac:dyDescent="0.25" r="52" customHeight="1" ht="15">
      <c r="A52" s="202">
        <v>25568.79196759259</v>
      </c>
      <c r="B52" s="379" t="s">
        <v>978</v>
      </c>
      <c r="C52" s="204" t="s">
        <v>979</v>
      </c>
      <c r="D52" s="70" t="s">
        <v>980</v>
      </c>
      <c r="E52" s="70" t="s">
        <v>266</v>
      </c>
      <c r="F52" s="70" t="s">
        <v>306</v>
      </c>
      <c r="G52" s="205">
        <v>609</v>
      </c>
      <c r="H52" s="206">
        <v>1.3</v>
      </c>
      <c r="I52" s="207">
        <v>0.08</v>
      </c>
      <c r="J52" s="398">
        <f>H52+I52</f>
      </c>
      <c r="K52" s="209">
        <v>40000</v>
      </c>
      <c r="L52" s="58">
        <f>K52*I52</f>
      </c>
      <c r="M52" s="58">
        <f>K52*J52</f>
      </c>
      <c r="N52" s="16"/>
      <c r="O52" s="210">
        <v>20</v>
      </c>
      <c r="P52" s="211">
        <f>IF(ISBLANK(N52),O52/4.3,N52/20)</f>
      </c>
      <c r="Q52" s="209">
        <v>3000</v>
      </c>
      <c r="R52" s="3"/>
      <c r="S52" s="212" t="s">
        <v>82</v>
      </c>
      <c r="T52" s="213">
        <f>IF(ISBLANK(R52),0,X52)</f>
      </c>
      <c r="U52" s="213">
        <f>IF(ISBLANK(S52),0,X52)</f>
      </c>
      <c r="V52" s="214">
        <f>IFERROR(Q52/K52,0)</f>
      </c>
      <c r="W52" s="58">
        <f>IFERROR(L52*V52,0)</f>
      </c>
      <c r="X52" s="213">
        <f>IFERROR(Q52+W52,0)</f>
      </c>
      <c r="Y52" s="213">
        <f>IFERROR(M52*V52,0)</f>
      </c>
      <c r="Z52" s="213">
        <f>Y52-(Y52*$B$1)</f>
      </c>
      <c r="AA52" s="67">
        <f>IFERROR(Z52/X52,"")</f>
      </c>
      <c r="AB52" s="215">
        <f>IFERROR(IF(ISBLANK(N52),Y52/O52,Y52/N52),0)</f>
      </c>
      <c r="AC52" s="215">
        <f>IFERROR(-1*(AB52*B$1),0)</f>
      </c>
      <c r="AD52" s="215">
        <f>IFERROR(SUM(AB52:AC52),0)</f>
      </c>
      <c r="AE52" s="215">
        <f>IF(ISBLANK(N52),AD52,AD52*5)</f>
      </c>
      <c r="AF52" s="216">
        <f>SUM(AG52:BE52)</f>
      </c>
      <c r="AG52" s="3"/>
      <c r="AH52" s="3"/>
      <c r="AI52" s="3"/>
      <c r="AJ52" s="3"/>
      <c r="AK52" s="3"/>
      <c r="AL52" s="3"/>
      <c r="AM52" s="3"/>
      <c r="AN52" s="3"/>
      <c r="AO52" s="3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430">
        <v>401.58</v>
      </c>
      <c r="BC52" s="16"/>
      <c r="BD52" s="16"/>
      <c r="BE52" s="16"/>
      <c r="BF52" s="215">
        <f>Y52-AF52</f>
      </c>
      <c r="BG52" s="214">
        <f>IFERROR(AF52/Y52,0)</f>
      </c>
      <c r="BH52" s="214">
        <f>IFERROR(AF52/X52,0)</f>
      </c>
      <c r="BI52" s="238">
        <f>IFERROR(X52/SUM(X$48:X$70),0)</f>
      </c>
      <c r="BJ52" s="238">
        <f>IFERROR(BF52/SUM(BF$3:BF249),0)</f>
      </c>
      <c r="BK52" s="217">
        <f>BF52/'R&amp;H Portfolio'!Q$10</f>
      </c>
      <c r="BL52" s="215">
        <f>BI52*P52</f>
      </c>
      <c r="BM52" s="3"/>
      <c r="BN52" s="3"/>
      <c r="BO52" s="17"/>
      <c r="BP52" s="4"/>
      <c r="BQ52" s="4"/>
      <c r="BR52" s="4"/>
      <c r="BS52" s="4"/>
      <c r="BT52" s="4"/>
      <c r="BU52" s="4"/>
      <c r="BV52" s="4"/>
    </row>
    <row x14ac:dyDescent="0.25" r="53" customHeight="1" ht="15">
      <c r="A53" s="202">
        <v>25568.79196759259</v>
      </c>
      <c r="B53" s="379" t="s">
        <v>847</v>
      </c>
      <c r="C53" s="204" t="s">
        <v>848</v>
      </c>
      <c r="D53" s="70" t="s">
        <v>981</v>
      </c>
      <c r="E53" s="70" t="s">
        <v>850</v>
      </c>
      <c r="F53" s="70" t="s">
        <v>851</v>
      </c>
      <c r="G53" s="205">
        <v>747</v>
      </c>
      <c r="H53" s="206">
        <v>1.349</v>
      </c>
      <c r="I53" s="207">
        <v>0.15</v>
      </c>
      <c r="J53" s="398">
        <f>H53+I53</f>
      </c>
      <c r="K53" s="209">
        <v>40000</v>
      </c>
      <c r="L53" s="58">
        <f>K53*I53</f>
      </c>
      <c r="M53" s="58">
        <f>K53*J53</f>
      </c>
      <c r="N53" s="210">
        <v>120</v>
      </c>
      <c r="O53" s="16"/>
      <c r="P53" s="211">
        <f>IF(ISBLANK(N53),O53/4.3,N53/20)</f>
      </c>
      <c r="Q53" s="209">
        <v>3000</v>
      </c>
      <c r="R53" s="3"/>
      <c r="S53" s="212" t="s">
        <v>82</v>
      </c>
      <c r="T53" s="213">
        <f>IF(ISBLANK(R53),0,X53)</f>
      </c>
      <c r="U53" s="213">
        <f>IF(ISBLANK(S53),0,X53)</f>
      </c>
      <c r="V53" s="214">
        <f>IFERROR(Q53/K53,0)</f>
      </c>
      <c r="W53" s="58">
        <f>IFERROR(L53*V53,0)</f>
      </c>
      <c r="X53" s="213">
        <f>IFERROR(Q53+W53,0)</f>
      </c>
      <c r="Y53" s="213">
        <f>IFERROR(M53*V53,0)</f>
      </c>
      <c r="Z53" s="213">
        <f>Y53-(Y53*$B$1)</f>
      </c>
      <c r="AA53" s="67">
        <f>IFERROR(Z53/X53,"")</f>
      </c>
      <c r="AB53" s="215">
        <f>IFERROR(IF(ISBLANK(N53),Y53/O53,Y53/N53),0)</f>
      </c>
      <c r="AC53" s="215">
        <f>IFERROR(-1*(AB53*B$1),0)</f>
      </c>
      <c r="AD53" s="215">
        <f>IFERROR(SUM(AB53:AC53),0)</f>
      </c>
      <c r="AE53" s="215">
        <f>IF(ISBLANK(N53),AD53,AD53*5)</f>
      </c>
      <c r="AF53" s="216">
        <f>SUM(AG53:BE53)</f>
      </c>
      <c r="AG53" s="3"/>
      <c r="AH53" s="3"/>
      <c r="AI53" s="3"/>
      <c r="AJ53" s="3"/>
      <c r="AK53" s="3"/>
      <c r="AL53" s="3"/>
      <c r="AM53" s="3"/>
      <c r="AN53" s="3"/>
      <c r="AO53" s="3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430">
        <v>145.48</v>
      </c>
      <c r="BC53" s="16"/>
      <c r="BD53" s="16"/>
      <c r="BE53" s="16"/>
      <c r="BF53" s="215">
        <f>Y53-AF53</f>
      </c>
      <c r="BG53" s="214">
        <f>IFERROR(AF53/Y53,0)</f>
      </c>
      <c r="BH53" s="214">
        <f>IFERROR(AF53/X53,0)</f>
      </c>
      <c r="BI53" s="238">
        <f>IFERROR(X53/SUM(X$48:X$70),0)</f>
      </c>
      <c r="BJ53" s="238">
        <f>IFERROR(BF53/SUM(BF$3:BF250),0)</f>
      </c>
      <c r="BK53" s="217">
        <f>BF53/'R&amp;H Portfolio'!Q$10</f>
      </c>
      <c r="BL53" s="215">
        <f>BI53*P53</f>
      </c>
      <c r="BM53" s="3"/>
      <c r="BN53" s="3"/>
      <c r="BO53" s="17"/>
      <c r="BP53" s="4"/>
      <c r="BQ53" s="4"/>
      <c r="BR53" s="4"/>
      <c r="BS53" s="4"/>
      <c r="BT53" s="4"/>
      <c r="BU53" s="4"/>
      <c r="BV53" s="4"/>
    </row>
    <row x14ac:dyDescent="0.25" r="54" customHeight="1" ht="15">
      <c r="A54" s="202">
        <v>25568.79196759259</v>
      </c>
      <c r="B54" s="379" t="s">
        <v>982</v>
      </c>
      <c r="C54" s="204" t="s">
        <v>983</v>
      </c>
      <c r="D54" s="70" t="s">
        <v>984</v>
      </c>
      <c r="E54" s="70" t="s">
        <v>164</v>
      </c>
      <c r="F54" s="70" t="s">
        <v>165</v>
      </c>
      <c r="G54" s="205">
        <v>629</v>
      </c>
      <c r="H54" s="206">
        <v>1.349</v>
      </c>
      <c r="I54" s="207">
        <v>0.15</v>
      </c>
      <c r="J54" s="398">
        <f>H54+I54</f>
      </c>
      <c r="K54" s="209">
        <v>30000</v>
      </c>
      <c r="L54" s="58">
        <f>K54*I54</f>
      </c>
      <c r="M54" s="58">
        <f>K54*J54</f>
      </c>
      <c r="N54" s="210">
        <v>90</v>
      </c>
      <c r="O54" s="16"/>
      <c r="P54" s="211">
        <f>IF(ISBLANK(N54),O54/4.3,N54/20)</f>
      </c>
      <c r="Q54" s="209">
        <v>3000</v>
      </c>
      <c r="R54" s="3"/>
      <c r="S54" s="212" t="s">
        <v>82</v>
      </c>
      <c r="T54" s="213">
        <f>IF(ISBLANK(R54),0,X54)</f>
      </c>
      <c r="U54" s="213">
        <f>IF(ISBLANK(S54),0,X54)</f>
      </c>
      <c r="V54" s="214">
        <f>IFERROR(Q54/K54,0)</f>
      </c>
      <c r="W54" s="58">
        <f>IFERROR(L54*V54,0)</f>
      </c>
      <c r="X54" s="213">
        <f>IFERROR(Q54+W54,0)</f>
      </c>
      <c r="Y54" s="213">
        <f>IFERROR(M54*V54,0)</f>
      </c>
      <c r="Z54" s="213">
        <f>Y54-(Y54*$B$1)</f>
      </c>
      <c r="AA54" s="67">
        <f>IFERROR(Z54/X54,"")</f>
      </c>
      <c r="AB54" s="215">
        <f>IFERROR(IF(ISBLANK(N54),Y54/O54,Y54/N54),0)</f>
      </c>
      <c r="AC54" s="215">
        <f>IFERROR(-1*(AB54*B$1),0)</f>
      </c>
      <c r="AD54" s="215">
        <f>IFERROR(SUM(AB54:AC54),0)</f>
      </c>
      <c r="AE54" s="215">
        <f>IF(ISBLANK(N54),AD54,AD54*5)</f>
      </c>
      <c r="AF54" s="216">
        <f>SUM(AG54:BE54)</f>
      </c>
      <c r="AG54" s="3"/>
      <c r="AH54" s="3"/>
      <c r="AI54" s="3"/>
      <c r="AJ54" s="3"/>
      <c r="AK54" s="3"/>
      <c r="AL54" s="3"/>
      <c r="AM54" s="3"/>
      <c r="AN54" s="3"/>
      <c r="AO54" s="3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430">
        <v>48.5</v>
      </c>
      <c r="BC54" s="16"/>
      <c r="BD54" s="16"/>
      <c r="BE54" s="16"/>
      <c r="BF54" s="215">
        <f>Y54-AF54</f>
      </c>
      <c r="BG54" s="214">
        <f>IFERROR(AF54/Y54,0)</f>
      </c>
      <c r="BH54" s="214">
        <f>IFERROR(AF54/X54,0)</f>
      </c>
      <c r="BI54" s="238">
        <f>IFERROR(X54/SUM(X$48:X$70),0)</f>
      </c>
      <c r="BJ54" s="238">
        <f>IFERROR(BF54/SUM(BF$3:BF251),0)</f>
      </c>
      <c r="BK54" s="217">
        <f>BF54/'R&amp;H Portfolio'!Q$10</f>
      </c>
      <c r="BL54" s="215">
        <f>BI54*P54</f>
      </c>
      <c r="BM54" s="3"/>
      <c r="BN54" s="3"/>
      <c r="BO54" s="17"/>
      <c r="BP54" s="4"/>
      <c r="BQ54" s="4"/>
      <c r="BR54" s="4"/>
      <c r="BS54" s="4"/>
      <c r="BT54" s="4"/>
      <c r="BU54" s="4"/>
      <c r="BV54" s="4"/>
    </row>
    <row x14ac:dyDescent="0.25" r="55" customHeight="1" ht="15">
      <c r="A55" s="202">
        <v>25568.79196759259</v>
      </c>
      <c r="B55" s="379" t="s">
        <v>985</v>
      </c>
      <c r="C55" s="204" t="s">
        <v>986</v>
      </c>
      <c r="D55" s="70" t="s">
        <v>987</v>
      </c>
      <c r="E55" s="70" t="s">
        <v>144</v>
      </c>
      <c r="F55" s="70" t="s">
        <v>160</v>
      </c>
      <c r="G55" s="205">
        <v>614</v>
      </c>
      <c r="H55" s="206">
        <v>1.349</v>
      </c>
      <c r="I55" s="207">
        <v>0.15</v>
      </c>
      <c r="J55" s="398">
        <f>H55+I55</f>
      </c>
      <c r="K55" s="209">
        <v>25000</v>
      </c>
      <c r="L55" s="58">
        <f>K55*I55</f>
      </c>
      <c r="M55" s="58">
        <f>K55*J55</f>
      </c>
      <c r="N55" s="16"/>
      <c r="O55" s="210">
        <v>27</v>
      </c>
      <c r="P55" s="211">
        <f>IF(ISBLANK(N55),O55/4.3,N55/20)</f>
      </c>
      <c r="Q55" s="209">
        <v>3000</v>
      </c>
      <c r="R55" s="3"/>
      <c r="S55" s="212" t="s">
        <v>82</v>
      </c>
      <c r="T55" s="213">
        <f>IF(ISBLANK(R55),0,X55)</f>
      </c>
      <c r="U55" s="213">
        <f>IF(ISBLANK(S55),0,X55)</f>
      </c>
      <c r="V55" s="214">
        <f>IFERROR(Q55/K55,0)</f>
      </c>
      <c r="W55" s="58">
        <f>IFERROR(L55*V55,0)</f>
      </c>
      <c r="X55" s="213">
        <f>IFERROR(Q55+W55,0)</f>
      </c>
      <c r="Y55" s="213">
        <f>IFERROR(M55*V55,0)</f>
      </c>
      <c r="Z55" s="213">
        <f>Y55-(Y55*$B$1)</f>
      </c>
      <c r="AA55" s="67">
        <f>IFERROR(Z55/X55,"")</f>
      </c>
      <c r="AB55" s="215">
        <f>IFERROR(IF(ISBLANK(N55),Y55/O55,Y55/N55),0)</f>
      </c>
      <c r="AC55" s="215">
        <f>IFERROR(-1*(AB55*B$1),0)</f>
      </c>
      <c r="AD55" s="215">
        <f>IFERROR(SUM(AB55:AC55),0)</f>
      </c>
      <c r="AE55" s="215">
        <f>IF(ISBLANK(N55),AD55,AD55*5)</f>
      </c>
      <c r="AF55" s="216">
        <f>SUM(AG55:BE55)</f>
      </c>
      <c r="AG55" s="3"/>
      <c r="AH55" s="3"/>
      <c r="AI55" s="3"/>
      <c r="AJ55" s="3"/>
      <c r="AK55" s="3"/>
      <c r="AL55" s="3"/>
      <c r="AM55" s="3"/>
      <c r="AN55" s="3"/>
      <c r="AO55" s="3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436"/>
      <c r="BC55" s="16"/>
      <c r="BD55" s="16"/>
      <c r="BE55" s="16"/>
      <c r="BF55" s="215">
        <f>Y55-AF55</f>
      </c>
      <c r="BG55" s="214">
        <f>IFERROR(AF55/Y55,0)</f>
      </c>
      <c r="BH55" s="214">
        <f>IFERROR(AF55/X55,0)</f>
      </c>
      <c r="BI55" s="238">
        <f>IFERROR(X55/SUM(X$48:X$70),0)</f>
      </c>
      <c r="BJ55" s="238">
        <f>IFERROR(BF55/SUM(BF$3:BF252),0)</f>
      </c>
      <c r="BK55" s="217">
        <f>BF55/'R&amp;H Portfolio'!Q$10</f>
      </c>
      <c r="BL55" s="215">
        <f>BI55*P55</f>
      </c>
      <c r="BM55" s="3"/>
      <c r="BN55" s="3"/>
      <c r="BO55" s="17"/>
      <c r="BP55" s="4"/>
      <c r="BQ55" s="4"/>
      <c r="BR55" s="4"/>
      <c r="BS55" s="4"/>
      <c r="BT55" s="4"/>
      <c r="BU55" s="4"/>
      <c r="BV55" s="4"/>
    </row>
    <row x14ac:dyDescent="0.25" r="56" customHeight="1" ht="15">
      <c r="A56" s="202">
        <v>25568.79196759259</v>
      </c>
      <c r="B56" s="379" t="s">
        <v>988</v>
      </c>
      <c r="C56" s="204" t="s">
        <v>989</v>
      </c>
      <c r="D56" s="70" t="s">
        <v>990</v>
      </c>
      <c r="E56" s="70" t="s">
        <v>991</v>
      </c>
      <c r="F56" s="70" t="s">
        <v>306</v>
      </c>
      <c r="G56" s="205">
        <v>581</v>
      </c>
      <c r="H56" s="206">
        <v>1.35</v>
      </c>
      <c r="I56" s="207">
        <v>0.15</v>
      </c>
      <c r="J56" s="398">
        <f>H56+I56</f>
      </c>
      <c r="K56" s="209">
        <v>30000</v>
      </c>
      <c r="L56" s="58">
        <f>K56*I56</f>
      </c>
      <c r="M56" s="58">
        <f>K56*J56</f>
      </c>
      <c r="N56" s="16"/>
      <c r="O56" s="210">
        <v>18</v>
      </c>
      <c r="P56" s="211">
        <f>IF(ISBLANK(N56),O56/4.3,N56/20)</f>
      </c>
      <c r="Q56" s="209">
        <v>3000</v>
      </c>
      <c r="R56" s="212" t="s">
        <v>816</v>
      </c>
      <c r="S56" s="3"/>
      <c r="T56" s="213">
        <f>IF(ISBLANK(R56),0,X56)</f>
      </c>
      <c r="U56" s="213">
        <f>IF(ISBLANK(S56),0,X56)</f>
      </c>
      <c r="V56" s="214">
        <f>IFERROR(Q56/K56,0)</f>
      </c>
      <c r="W56" s="58">
        <f>IFERROR(L56*V56,0)</f>
      </c>
      <c r="X56" s="213">
        <f>IFERROR(Q56+W56,0)</f>
      </c>
      <c r="Y56" s="213">
        <f>IFERROR(M56*V56,0)</f>
      </c>
      <c r="Z56" s="213">
        <f>Y56-(Y56*$B$1)</f>
      </c>
      <c r="AA56" s="67">
        <f>IFERROR(Z56/X56,"")</f>
      </c>
      <c r="AB56" s="215">
        <f>IFERROR(IF(ISBLANK(N56),Y56/O56,Y56/N56),0)</f>
      </c>
      <c r="AC56" s="215">
        <f>IFERROR(-1*(AB56*B$1),0)</f>
      </c>
      <c r="AD56" s="215">
        <f>IFERROR(SUM(AB56:AC56),0)</f>
      </c>
      <c r="AE56" s="215">
        <f>IF(ISBLANK(N56),AD56,AD56*5)</f>
      </c>
      <c r="AF56" s="216">
        <f>SUM(AG56:BE56)</f>
      </c>
      <c r="AG56" s="3"/>
      <c r="AH56" s="3"/>
      <c r="AI56" s="3"/>
      <c r="AJ56" s="3"/>
      <c r="AK56" s="3"/>
      <c r="AL56" s="3"/>
      <c r="AM56" s="3"/>
      <c r="AN56" s="3"/>
      <c r="AO56" s="3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436"/>
      <c r="BC56" s="16"/>
      <c r="BD56" s="16"/>
      <c r="BE56" s="16"/>
      <c r="BF56" s="215">
        <f>Y56-AF56</f>
      </c>
      <c r="BG56" s="214">
        <f>IFERROR(AF56/Y56,0)</f>
      </c>
      <c r="BH56" s="214">
        <f>IFERROR(AF56/X56,0)</f>
      </c>
      <c r="BI56" s="238">
        <f>IFERROR(X56/SUM(X$48:X$70),0)</f>
      </c>
      <c r="BJ56" s="238">
        <f>IFERROR(BF56/SUM(BF$3:BF253),0)</f>
      </c>
      <c r="BK56" s="217">
        <f>BF56/'R&amp;H Portfolio'!Q$10</f>
      </c>
      <c r="BL56" s="215">
        <f>BI56*P56</f>
      </c>
      <c r="BM56" s="3"/>
      <c r="BN56" s="3"/>
      <c r="BO56" s="17"/>
      <c r="BP56" s="4"/>
      <c r="BQ56" s="4"/>
      <c r="BR56" s="4"/>
      <c r="BS56" s="4"/>
      <c r="BT56" s="4"/>
      <c r="BU56" s="4"/>
      <c r="BV56" s="4"/>
    </row>
    <row x14ac:dyDescent="0.25" r="57" customHeight="1" ht="15">
      <c r="A57" s="202">
        <v>25568.79196759259</v>
      </c>
      <c r="B57" s="379" t="s">
        <v>992</v>
      </c>
      <c r="C57" s="204" t="s">
        <v>993</v>
      </c>
      <c r="D57" s="70" t="s">
        <v>994</v>
      </c>
      <c r="E57" s="70" t="s">
        <v>380</v>
      </c>
      <c r="F57" s="70" t="s">
        <v>197</v>
      </c>
      <c r="G57" s="205">
        <v>518</v>
      </c>
      <c r="H57" s="206">
        <v>1.35</v>
      </c>
      <c r="I57" s="207">
        <v>0.15</v>
      </c>
      <c r="J57" s="398">
        <f>H57+I57</f>
      </c>
      <c r="K57" s="209">
        <v>30000</v>
      </c>
      <c r="L57" s="58">
        <f>K57*I57</f>
      </c>
      <c r="M57" s="58">
        <f>K57*J57</f>
      </c>
      <c r="N57" s="210">
        <v>100</v>
      </c>
      <c r="O57" s="16"/>
      <c r="P57" s="211">
        <f>IF(ISBLANK(N57),O57/4.3,N57/20)</f>
      </c>
      <c r="Q57" s="209">
        <v>3000</v>
      </c>
      <c r="R57" s="212" t="s">
        <v>816</v>
      </c>
      <c r="S57" s="3"/>
      <c r="T57" s="213">
        <f>IF(ISBLANK(R57),0,X57)</f>
      </c>
      <c r="U57" s="213">
        <f>IF(ISBLANK(S57),0,X57)</f>
      </c>
      <c r="V57" s="214">
        <f>IFERROR(Q57/K57,0)</f>
      </c>
      <c r="W57" s="58">
        <f>IFERROR(L57*V57,0)</f>
      </c>
      <c r="X57" s="213">
        <f>IFERROR(Q57+W57,0)</f>
      </c>
      <c r="Y57" s="213">
        <f>IFERROR(M57*V57,0)</f>
      </c>
      <c r="Z57" s="213">
        <f>Y57-(Y57*$B$1)</f>
      </c>
      <c r="AA57" s="67">
        <f>IFERROR(Z57/X57,"")</f>
      </c>
      <c r="AB57" s="215">
        <f>IFERROR(IF(ISBLANK(N57),Y57/O57,Y57/N57),0)</f>
      </c>
      <c r="AC57" s="215">
        <f>IFERROR(-1*(AB57*B$1),0)</f>
      </c>
      <c r="AD57" s="215">
        <f>IFERROR(SUM(AB57:AC57),0)</f>
      </c>
      <c r="AE57" s="215">
        <f>IF(ISBLANK(N57),AD57,AD57*5)</f>
      </c>
      <c r="AF57" s="216">
        <f>SUM(AG57:BE57)</f>
      </c>
      <c r="AG57" s="3"/>
      <c r="AH57" s="3"/>
      <c r="AI57" s="3"/>
      <c r="AJ57" s="3"/>
      <c r="AK57" s="3"/>
      <c r="AL57" s="3"/>
      <c r="AM57" s="3"/>
      <c r="AN57" s="3"/>
      <c r="AO57" s="3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436"/>
      <c r="BC57" s="16"/>
      <c r="BD57" s="16"/>
      <c r="BE57" s="16"/>
      <c r="BF57" s="215">
        <f>Y57-AF57</f>
      </c>
      <c r="BG57" s="214">
        <f>IFERROR(AF57/Y57,0)</f>
      </c>
      <c r="BH57" s="214">
        <f>IFERROR(AF57/X57,0)</f>
      </c>
      <c r="BI57" s="238">
        <f>IFERROR(X57/SUM(X$48:X$70),0)</f>
      </c>
      <c r="BJ57" s="238">
        <f>IFERROR(BF57/SUM(BF$3:BF254),0)</f>
      </c>
      <c r="BK57" s="217">
        <f>BF57/'R&amp;H Portfolio'!Q$10</f>
      </c>
      <c r="BL57" s="215">
        <f>BI57*P57</f>
      </c>
      <c r="BM57" s="3"/>
      <c r="BN57" s="3"/>
      <c r="BO57" s="17"/>
      <c r="BP57" s="4"/>
      <c r="BQ57" s="4"/>
      <c r="BR57" s="4"/>
      <c r="BS57" s="4"/>
      <c r="BT57" s="4"/>
      <c r="BU57" s="4"/>
      <c r="BV57" s="4"/>
    </row>
    <row x14ac:dyDescent="0.25" r="58" customHeight="1" ht="15">
      <c r="A58" s="17"/>
      <c r="B58" s="14"/>
      <c r="C58" s="3"/>
      <c r="D58" s="3"/>
      <c r="E58" s="3"/>
      <c r="F58" s="3"/>
      <c r="G58" s="205"/>
      <c r="H58" s="18"/>
      <c r="I58" s="18"/>
      <c r="J58" s="398">
        <f>H58+I58</f>
      </c>
      <c r="K58" s="209"/>
      <c r="L58" s="58">
        <f>K58*I58</f>
      </c>
      <c r="M58" s="58">
        <f>K58*J58</f>
      </c>
      <c r="N58" s="16"/>
      <c r="O58" s="16"/>
      <c r="P58" s="211">
        <f>IF(ISBLANK(N58),O58/4.3,N58/20)</f>
      </c>
      <c r="Q58" s="209"/>
      <c r="R58" s="3"/>
      <c r="S58" s="3"/>
      <c r="T58" s="213">
        <f>IF(ISBLANK(R58),0,X58)</f>
      </c>
      <c r="U58" s="213">
        <f>IF(ISBLANK(S58),0,X58)</f>
      </c>
      <c r="V58" s="214">
        <f>IFERROR(Q58/K58,0)</f>
      </c>
      <c r="W58" s="58">
        <f>IFERROR(L58*V58,0)</f>
      </c>
      <c r="X58" s="213">
        <f>IFERROR(Q58+W58,0)</f>
      </c>
      <c r="Y58" s="213">
        <f>IFERROR(M58*V58,0)</f>
      </c>
      <c r="Z58" s="213">
        <f>Y58-(Y58*$B$1)</f>
      </c>
      <c r="AA58" s="67">
        <f>IFERROR(Z58/X58,"")</f>
      </c>
      <c r="AB58" s="215">
        <f>IFERROR(IF(ISBLANK(N58),Y58/O58,Y58/N58),0)</f>
      </c>
      <c r="AC58" s="215">
        <f>IFERROR(-1*(AB58*B$1),0)</f>
      </c>
      <c r="AD58" s="215">
        <f>IFERROR(SUM(AB58:AC58),0)</f>
      </c>
      <c r="AE58" s="215">
        <f>IF(ISBLANK(N58),AD58,AD58*5)</f>
      </c>
      <c r="AF58" s="216">
        <f>SUM(AG58:BE58)</f>
      </c>
      <c r="AG58" s="3"/>
      <c r="AH58" s="3"/>
      <c r="AI58" s="3"/>
      <c r="AJ58" s="3"/>
      <c r="AK58" s="3"/>
      <c r="AL58" s="3"/>
      <c r="AM58" s="3"/>
      <c r="AN58" s="3"/>
      <c r="AO58" s="3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436"/>
      <c r="BC58" s="16"/>
      <c r="BD58" s="16"/>
      <c r="BE58" s="16"/>
      <c r="BF58" s="215">
        <f>Y58-AF58</f>
      </c>
      <c r="BG58" s="214">
        <f>IFERROR(AF58/Y58,0)</f>
      </c>
      <c r="BH58" s="214">
        <f>IFERROR(AF58/X58,0)</f>
      </c>
      <c r="BI58" s="238">
        <f>IFERROR(X58/SUM(X$48:X$70),0)</f>
      </c>
      <c r="BJ58" s="238">
        <f>IFERROR(BF58/SUM(BF$3:BF255),0)</f>
      </c>
      <c r="BK58" s="217">
        <f>BF58/'R&amp;H Portfolio'!Q$10</f>
      </c>
      <c r="BL58" s="215">
        <f>BI58*P58</f>
      </c>
      <c r="BM58" s="3"/>
      <c r="BN58" s="3"/>
      <c r="BO58" s="17"/>
      <c r="BP58" s="4"/>
      <c r="BQ58" s="4"/>
      <c r="BR58" s="4"/>
      <c r="BS58" s="4"/>
      <c r="BT58" s="4"/>
      <c r="BU58" s="4"/>
      <c r="BV58" s="4"/>
    </row>
    <row x14ac:dyDescent="0.25" r="59" customHeight="1" ht="15">
      <c r="A59" s="17"/>
      <c r="B59" s="14"/>
      <c r="C59" s="3"/>
      <c r="D59" s="3"/>
      <c r="E59" s="3"/>
      <c r="F59" s="3"/>
      <c r="G59" s="16"/>
      <c r="H59" s="18"/>
      <c r="I59" s="18"/>
      <c r="J59" s="398">
        <f>H59+I59</f>
      </c>
      <c r="K59" s="209"/>
      <c r="L59" s="58">
        <f>K59*I59</f>
      </c>
      <c r="M59" s="58">
        <f>K59*J59</f>
      </c>
      <c r="N59" s="16"/>
      <c r="O59" s="16"/>
      <c r="P59" s="211">
        <f>IF(ISBLANK(N59),O59/4.3,N59/20)</f>
      </c>
      <c r="Q59" s="209"/>
      <c r="R59" s="3"/>
      <c r="S59" s="3"/>
      <c r="T59" s="213">
        <f>IF(ISBLANK(R59),0,X59)</f>
      </c>
      <c r="U59" s="213">
        <f>IF(ISBLANK(S59),0,X59)</f>
      </c>
      <c r="V59" s="214">
        <f>IFERROR(Q59/K59,0)</f>
      </c>
      <c r="W59" s="58">
        <f>IFERROR(L59*V59,0)</f>
      </c>
      <c r="X59" s="213">
        <f>IFERROR(Q59+W59,0)</f>
      </c>
      <c r="Y59" s="213">
        <f>IFERROR(M59*V59,0)</f>
      </c>
      <c r="Z59" s="213">
        <f>Y59-(Y59*$B$1)</f>
      </c>
      <c r="AA59" s="67">
        <f>IFERROR(Z59/X59,"")</f>
      </c>
      <c r="AB59" s="215">
        <f>IFERROR(IF(ISBLANK(N59),Y59/O59,Y59/N59),0)</f>
      </c>
      <c r="AC59" s="215">
        <f>IFERROR(-1*(AB59*B$1),0)</f>
      </c>
      <c r="AD59" s="215">
        <f>IFERROR(SUM(AB59:AC59),0)</f>
      </c>
      <c r="AE59" s="215">
        <f>IF(ISBLANK(N59),AD59,AD59*5)</f>
      </c>
      <c r="AF59" s="216">
        <f>SUM(AG59:BE59)</f>
      </c>
      <c r="AG59" s="3"/>
      <c r="AH59" s="3"/>
      <c r="AI59" s="3"/>
      <c r="AJ59" s="3"/>
      <c r="AK59" s="3"/>
      <c r="AL59" s="3"/>
      <c r="AM59" s="3"/>
      <c r="AN59" s="3"/>
      <c r="AO59" s="3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436"/>
      <c r="BC59" s="16"/>
      <c r="BD59" s="16"/>
      <c r="BE59" s="16"/>
      <c r="BF59" s="215">
        <f>Y59-AF59</f>
      </c>
      <c r="BG59" s="214">
        <f>IFERROR(AF59/Y59,0)</f>
      </c>
      <c r="BH59" s="214">
        <f>IFERROR(AF59/X59,0)</f>
      </c>
      <c r="BI59" s="238">
        <f>IFERROR(X59/SUM(X$48:X$70),0)</f>
      </c>
      <c r="BJ59" s="238">
        <f>IFERROR(BF59/SUM(BF$3:BF256),0)</f>
      </c>
      <c r="BK59" s="217">
        <f>BF59/'R&amp;H Portfolio'!Q$10</f>
      </c>
      <c r="BL59" s="215">
        <f>BI59*P59</f>
      </c>
      <c r="BM59" s="3"/>
      <c r="BN59" s="3"/>
      <c r="BO59" s="17"/>
      <c r="BP59" s="4"/>
      <c r="BQ59" s="4"/>
      <c r="BR59" s="4"/>
      <c r="BS59" s="4"/>
      <c r="BT59" s="4"/>
      <c r="BU59" s="4"/>
      <c r="BV59" s="4"/>
    </row>
    <row x14ac:dyDescent="0.25" r="60" customHeight="1" ht="15">
      <c r="A60" s="17"/>
      <c r="B60" s="14"/>
      <c r="C60" s="3"/>
      <c r="D60" s="3"/>
      <c r="E60" s="3"/>
      <c r="F60" s="3"/>
      <c r="G60" s="16"/>
      <c r="H60" s="18"/>
      <c r="I60" s="18"/>
      <c r="J60" s="398"/>
      <c r="K60" s="209"/>
      <c r="L60" s="58"/>
      <c r="M60" s="58"/>
      <c r="N60" s="16"/>
      <c r="O60" s="16"/>
      <c r="P60" s="3"/>
      <c r="Q60" s="209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16">
        <f>SUM(AG60:BE60)</f>
      </c>
      <c r="AG60" s="3"/>
      <c r="AH60" s="3"/>
      <c r="AI60" s="3"/>
      <c r="AJ60" s="3"/>
      <c r="AK60" s="3"/>
      <c r="AL60" s="3"/>
      <c r="AM60" s="3"/>
      <c r="AN60" s="3"/>
      <c r="AO60" s="3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436"/>
      <c r="BC60" s="16"/>
      <c r="BD60" s="16"/>
      <c r="BE60" s="16"/>
      <c r="BF60" s="3"/>
      <c r="BG60" s="3"/>
      <c r="BH60" s="3"/>
      <c r="BI60" s="3"/>
      <c r="BJ60" s="3"/>
      <c r="BK60" s="16"/>
      <c r="BL60" s="3"/>
      <c r="BM60" s="3"/>
      <c r="BN60" s="3"/>
      <c r="BO60" s="17"/>
      <c r="BP60" s="4"/>
      <c r="BQ60" s="4"/>
      <c r="BR60" s="4"/>
      <c r="BS60" s="4"/>
      <c r="BT60" s="4"/>
      <c r="BU60" s="4"/>
      <c r="BV60" s="4"/>
    </row>
    <row x14ac:dyDescent="0.25" r="61" customHeight="1" ht="15">
      <c r="A61" s="17"/>
      <c r="B61" s="14"/>
      <c r="C61" s="3"/>
      <c r="D61" s="3"/>
      <c r="E61" s="3"/>
      <c r="F61" s="3"/>
      <c r="G61" s="16"/>
      <c r="H61" s="18"/>
      <c r="I61" s="18"/>
      <c r="J61" s="398"/>
      <c r="K61" s="209"/>
      <c r="L61" s="58"/>
      <c r="M61" s="58"/>
      <c r="N61" s="16"/>
      <c r="O61" s="16"/>
      <c r="P61" s="3"/>
      <c r="Q61" s="209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216">
        <f>SUM(AG61:BE61)</f>
      </c>
      <c r="AG61" s="3"/>
      <c r="AH61" s="3"/>
      <c r="AI61" s="3"/>
      <c r="AJ61" s="3"/>
      <c r="AK61" s="3"/>
      <c r="AL61" s="3"/>
      <c r="AM61" s="3"/>
      <c r="AN61" s="3"/>
      <c r="AO61" s="3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436"/>
      <c r="BC61" s="16"/>
      <c r="BD61" s="16"/>
      <c r="BE61" s="16"/>
      <c r="BF61" s="3"/>
      <c r="BG61" s="3"/>
      <c r="BH61" s="3"/>
      <c r="BI61" s="3"/>
      <c r="BJ61" s="3"/>
      <c r="BK61" s="16"/>
      <c r="BL61" s="3"/>
      <c r="BM61" s="3"/>
      <c r="BN61" s="3"/>
      <c r="BO61" s="17"/>
      <c r="BP61" s="4"/>
      <c r="BQ61" s="4"/>
      <c r="BR61" s="4"/>
      <c r="BS61" s="4"/>
      <c r="BT61" s="4"/>
      <c r="BU61" s="4"/>
      <c r="BV61" s="4"/>
    </row>
    <row x14ac:dyDescent="0.25" r="62" customHeight="1" ht="15">
      <c r="A62" s="17"/>
      <c r="B62" s="14"/>
      <c r="C62" s="3"/>
      <c r="D62" s="3"/>
      <c r="E62" s="3"/>
      <c r="F62" s="3"/>
      <c r="G62" s="16"/>
      <c r="H62" s="18"/>
      <c r="I62" s="18"/>
      <c r="J62" s="398"/>
      <c r="K62" s="209"/>
      <c r="L62" s="58"/>
      <c r="M62" s="58"/>
      <c r="N62" s="16"/>
      <c r="O62" s="16"/>
      <c r="P62" s="3"/>
      <c r="Q62" s="209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16">
        <f>SUM(AG62:BE62)</f>
      </c>
      <c r="AG62" s="3"/>
      <c r="AH62" s="3"/>
      <c r="AI62" s="3"/>
      <c r="AJ62" s="3"/>
      <c r="AK62" s="3"/>
      <c r="AL62" s="3"/>
      <c r="AM62" s="3"/>
      <c r="AN62" s="3"/>
      <c r="AO62" s="3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436"/>
      <c r="BC62" s="16"/>
      <c r="BD62" s="16"/>
      <c r="BE62" s="16"/>
      <c r="BF62" s="3"/>
      <c r="BG62" s="3"/>
      <c r="BH62" s="3"/>
      <c r="BI62" s="3"/>
      <c r="BJ62" s="3"/>
      <c r="BK62" s="16"/>
      <c r="BL62" s="3"/>
      <c r="BM62" s="3"/>
      <c r="BN62" s="3"/>
      <c r="BO62" s="17"/>
      <c r="BP62" s="4"/>
      <c r="BQ62" s="4"/>
      <c r="BR62" s="4"/>
      <c r="BS62" s="4"/>
      <c r="BT62" s="4"/>
      <c r="BU62" s="4"/>
      <c r="BV62" s="4"/>
    </row>
    <row x14ac:dyDescent="0.25" r="63" customHeight="1" ht="15">
      <c r="A63" s="17"/>
      <c r="B63" s="14"/>
      <c r="C63" s="3"/>
      <c r="D63" s="3"/>
      <c r="E63" s="3"/>
      <c r="F63" s="3"/>
      <c r="G63" s="16"/>
      <c r="H63" s="18"/>
      <c r="I63" s="18"/>
      <c r="J63" s="3"/>
      <c r="K63" s="1"/>
      <c r="L63" s="3"/>
      <c r="M63" s="3"/>
      <c r="N63" s="16"/>
      <c r="O63" s="16"/>
      <c r="P63" s="3"/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16">
        <f>SUM(AG63:BE63)</f>
      </c>
      <c r="AG63" s="3"/>
      <c r="AH63" s="3"/>
      <c r="AI63" s="3"/>
      <c r="AJ63" s="3"/>
      <c r="AK63" s="3"/>
      <c r="AL63" s="3"/>
      <c r="AM63" s="3"/>
      <c r="AN63" s="3"/>
      <c r="AO63" s="3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436"/>
      <c r="BC63" s="16"/>
      <c r="BD63" s="16"/>
      <c r="BE63" s="16"/>
      <c r="BF63" s="3"/>
      <c r="BG63" s="3"/>
      <c r="BH63" s="3"/>
      <c r="BI63" s="3"/>
      <c r="BJ63" s="3"/>
      <c r="BK63" s="16"/>
      <c r="BL63" s="3"/>
      <c r="BM63" s="3"/>
      <c r="BN63" s="3"/>
      <c r="BO63" s="17"/>
      <c r="BP63" s="4"/>
      <c r="BQ63" s="4"/>
      <c r="BR63" s="4"/>
      <c r="BS63" s="4"/>
      <c r="BT63" s="4"/>
      <c r="BU63" s="4"/>
      <c r="BV63" s="4"/>
    </row>
    <row x14ac:dyDescent="0.25" r="64" customHeight="1" ht="15">
      <c r="A64" s="17"/>
      <c r="B64" s="14"/>
      <c r="C64" s="3"/>
      <c r="D64" s="3"/>
      <c r="E64" s="3"/>
      <c r="F64" s="3"/>
      <c r="G64" s="16"/>
      <c r="H64" s="18"/>
      <c r="I64" s="18"/>
      <c r="J64" s="3"/>
      <c r="K64" s="1"/>
      <c r="L64" s="3"/>
      <c r="M64" s="3"/>
      <c r="N64" s="16"/>
      <c r="O64" s="16"/>
      <c r="P64" s="3"/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216">
        <f>SUM(AG64:BE64)</f>
      </c>
      <c r="AG64" s="3"/>
      <c r="AH64" s="3"/>
      <c r="AI64" s="3"/>
      <c r="AJ64" s="3"/>
      <c r="AK64" s="3"/>
      <c r="AL64" s="3"/>
      <c r="AM64" s="3"/>
      <c r="AN64" s="3"/>
      <c r="AO64" s="3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436"/>
      <c r="BC64" s="16"/>
      <c r="BD64" s="16"/>
      <c r="BE64" s="16"/>
      <c r="BF64" s="3"/>
      <c r="BG64" s="3"/>
      <c r="BH64" s="3"/>
      <c r="BI64" s="3"/>
      <c r="BJ64" s="3"/>
      <c r="BK64" s="16"/>
      <c r="BL64" s="3"/>
      <c r="BM64" s="3"/>
      <c r="BN64" s="3"/>
      <c r="BO64" s="17"/>
      <c r="BP64" s="4"/>
      <c r="BQ64" s="4"/>
      <c r="BR64" s="4"/>
      <c r="BS64" s="4"/>
      <c r="BT64" s="4"/>
      <c r="BU64" s="4"/>
      <c r="BV64" s="4"/>
    </row>
    <row x14ac:dyDescent="0.25" r="65" customHeight="1" ht="15">
      <c r="A65" s="17"/>
      <c r="B65" s="14"/>
      <c r="C65" s="3"/>
      <c r="D65" s="3"/>
      <c r="E65" s="3"/>
      <c r="F65" s="3"/>
      <c r="G65" s="16"/>
      <c r="H65" s="18"/>
      <c r="I65" s="18"/>
      <c r="J65" s="3"/>
      <c r="K65" s="1"/>
      <c r="L65" s="3"/>
      <c r="M65" s="3"/>
      <c r="N65" s="16"/>
      <c r="O65" s="16"/>
      <c r="P65" s="3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216">
        <f>SUM(AG65:BE65)</f>
      </c>
      <c r="AG65" s="3"/>
      <c r="AH65" s="3"/>
      <c r="AI65" s="3"/>
      <c r="AJ65" s="3"/>
      <c r="AK65" s="3"/>
      <c r="AL65" s="3"/>
      <c r="AM65" s="3"/>
      <c r="AN65" s="3"/>
      <c r="AO65" s="3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436"/>
      <c r="BC65" s="16"/>
      <c r="BD65" s="16"/>
      <c r="BE65" s="16"/>
      <c r="BF65" s="3"/>
      <c r="BG65" s="3"/>
      <c r="BH65" s="3"/>
      <c r="BI65" s="3"/>
      <c r="BJ65" s="3"/>
      <c r="BK65" s="16"/>
      <c r="BL65" s="3"/>
      <c r="BM65" s="3"/>
      <c r="BN65" s="3"/>
      <c r="BO65" s="17"/>
      <c r="BP65" s="4"/>
      <c r="BQ65" s="4"/>
      <c r="BR65" s="4"/>
      <c r="BS65" s="4"/>
      <c r="BT65" s="4"/>
      <c r="BU65" s="4"/>
      <c r="BV65" s="4"/>
    </row>
    <row x14ac:dyDescent="0.25" r="66" customHeight="1" ht="15">
      <c r="A66" s="17"/>
      <c r="B66" s="14"/>
      <c r="C66" s="3"/>
      <c r="D66" s="3"/>
      <c r="E66" s="3"/>
      <c r="F66" s="3"/>
      <c r="G66" s="16"/>
      <c r="H66" s="18"/>
      <c r="I66" s="18"/>
      <c r="J66" s="3"/>
      <c r="K66" s="1"/>
      <c r="L66" s="3"/>
      <c r="M66" s="3"/>
      <c r="N66" s="16"/>
      <c r="O66" s="16"/>
      <c r="P66" s="3"/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216">
        <f>SUM(AG66:BE66)</f>
      </c>
      <c r="AG66" s="3"/>
      <c r="AH66" s="3"/>
      <c r="AI66" s="3"/>
      <c r="AJ66" s="3"/>
      <c r="AK66" s="3"/>
      <c r="AL66" s="3"/>
      <c r="AM66" s="3"/>
      <c r="AN66" s="3"/>
      <c r="AO66" s="3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436"/>
      <c r="BC66" s="16"/>
      <c r="BD66" s="16"/>
      <c r="BE66" s="16"/>
      <c r="BF66" s="3"/>
      <c r="BG66" s="3"/>
      <c r="BH66" s="3"/>
      <c r="BI66" s="3"/>
      <c r="BJ66" s="3"/>
      <c r="BK66" s="16"/>
      <c r="BL66" s="3"/>
      <c r="BM66" s="3"/>
      <c r="BN66" s="3"/>
      <c r="BO66" s="17"/>
      <c r="BP66" s="4"/>
      <c r="BQ66" s="4"/>
      <c r="BR66" s="4"/>
      <c r="BS66" s="4"/>
      <c r="BT66" s="4"/>
      <c r="BU66" s="4"/>
      <c r="BV66" s="4"/>
    </row>
    <row x14ac:dyDescent="0.25" r="67" customHeight="1" ht="15">
      <c r="A67" s="17"/>
      <c r="B67" s="14"/>
      <c r="C67" s="3"/>
      <c r="D67" s="3"/>
      <c r="E67" s="3"/>
      <c r="F67" s="3"/>
      <c r="G67" s="16"/>
      <c r="H67" s="18"/>
      <c r="I67" s="18"/>
      <c r="J67" s="3"/>
      <c r="K67" s="1"/>
      <c r="L67" s="3"/>
      <c r="M67" s="3"/>
      <c r="N67" s="16"/>
      <c r="O67" s="16"/>
      <c r="P67" s="3"/>
      <c r="Q67" s="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16">
        <f>SUM(AG67:BE67)</f>
      </c>
      <c r="AG67" s="3"/>
      <c r="AH67" s="3"/>
      <c r="AI67" s="3"/>
      <c r="AJ67" s="3"/>
      <c r="AK67" s="3"/>
      <c r="AL67" s="3"/>
      <c r="AM67" s="3"/>
      <c r="AN67" s="3"/>
      <c r="AO67" s="3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436"/>
      <c r="BC67" s="16"/>
      <c r="BD67" s="16"/>
      <c r="BE67" s="16"/>
      <c r="BF67" s="3"/>
      <c r="BG67" s="3"/>
      <c r="BH67" s="3"/>
      <c r="BI67" s="3"/>
      <c r="BJ67" s="3"/>
      <c r="BK67" s="16"/>
      <c r="BL67" s="3"/>
      <c r="BM67" s="3"/>
      <c r="BN67" s="3"/>
      <c r="BO67" s="17"/>
      <c r="BP67" s="4"/>
      <c r="BQ67" s="4"/>
      <c r="BR67" s="4"/>
      <c r="BS67" s="4"/>
      <c r="BT67" s="4"/>
      <c r="BU67" s="4"/>
      <c r="BV67" s="4"/>
    </row>
    <row x14ac:dyDescent="0.25" r="68" customHeight="1" ht="15">
      <c r="A68" s="17"/>
      <c r="B68" s="14"/>
      <c r="C68" s="3"/>
      <c r="D68" s="3"/>
      <c r="E68" s="3"/>
      <c r="F68" s="3"/>
      <c r="G68" s="16"/>
      <c r="H68" s="18"/>
      <c r="I68" s="18"/>
      <c r="J68" s="3"/>
      <c r="K68" s="1"/>
      <c r="L68" s="3"/>
      <c r="M68" s="3"/>
      <c r="N68" s="16"/>
      <c r="O68" s="16"/>
      <c r="P68" s="3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216">
        <f>SUM(AG68:BE68)</f>
      </c>
      <c r="AG68" s="3"/>
      <c r="AH68" s="3"/>
      <c r="AI68" s="3"/>
      <c r="AJ68" s="3"/>
      <c r="AK68" s="3"/>
      <c r="AL68" s="3"/>
      <c r="AM68" s="3"/>
      <c r="AN68" s="3"/>
      <c r="AO68" s="3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436"/>
      <c r="BC68" s="16"/>
      <c r="BD68" s="16"/>
      <c r="BE68" s="16"/>
      <c r="BF68" s="3"/>
      <c r="BG68" s="3"/>
      <c r="BH68" s="3"/>
      <c r="BI68" s="3"/>
      <c r="BJ68" s="3"/>
      <c r="BK68" s="16"/>
      <c r="BL68" s="3"/>
      <c r="BM68" s="3"/>
      <c r="BN68" s="3"/>
      <c r="BO68" s="17"/>
      <c r="BP68" s="4"/>
      <c r="BQ68" s="4"/>
      <c r="BR68" s="4"/>
      <c r="BS68" s="4"/>
      <c r="BT68" s="4"/>
      <c r="BU68" s="4"/>
      <c r="BV68" s="4"/>
    </row>
    <row x14ac:dyDescent="0.25" r="69" customHeight="1" ht="15">
      <c r="A69" s="17"/>
      <c r="B69" s="14"/>
      <c r="C69" s="3"/>
      <c r="D69" s="3"/>
      <c r="E69" s="3"/>
      <c r="F69" s="3"/>
      <c r="G69" s="16"/>
      <c r="H69" s="18"/>
      <c r="I69" s="18"/>
      <c r="J69" s="3"/>
      <c r="K69" s="1"/>
      <c r="L69" s="3"/>
      <c r="M69" s="3"/>
      <c r="N69" s="16"/>
      <c r="O69" s="16"/>
      <c r="P69" s="3"/>
      <c r="Q69" s="1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216">
        <f>SUM(AG69:BE69)</f>
      </c>
      <c r="AG69" s="3"/>
      <c r="AH69" s="3"/>
      <c r="AI69" s="3"/>
      <c r="AJ69" s="3"/>
      <c r="AK69" s="3"/>
      <c r="AL69" s="3"/>
      <c r="AM69" s="3"/>
      <c r="AN69" s="3"/>
      <c r="AO69" s="3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436"/>
      <c r="BC69" s="16"/>
      <c r="BD69" s="16"/>
      <c r="BE69" s="16"/>
      <c r="BF69" s="3"/>
      <c r="BG69" s="3"/>
      <c r="BH69" s="3"/>
      <c r="BI69" s="3"/>
      <c r="BJ69" s="3"/>
      <c r="BK69" s="16"/>
      <c r="BL69" s="3"/>
      <c r="BM69" s="3"/>
      <c r="BN69" s="3"/>
      <c r="BO69" s="17"/>
      <c r="BP69" s="4"/>
      <c r="BQ69" s="4"/>
      <c r="BR69" s="4"/>
      <c r="BS69" s="4"/>
      <c r="BT69" s="4"/>
      <c r="BU69" s="4"/>
      <c r="BV69" s="4"/>
    </row>
    <row x14ac:dyDescent="0.25" r="70" customHeight="1" ht="15">
      <c r="A70" s="17"/>
      <c r="B70" s="14"/>
      <c r="C70" s="3"/>
      <c r="D70" s="3"/>
      <c r="E70" s="3"/>
      <c r="F70" s="3"/>
      <c r="G70" s="16"/>
      <c r="H70" s="18"/>
      <c r="I70" s="18"/>
      <c r="J70" s="3"/>
      <c r="K70" s="1"/>
      <c r="L70" s="3"/>
      <c r="M70" s="3"/>
      <c r="N70" s="16"/>
      <c r="O70" s="16"/>
      <c r="P70" s="3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216">
        <f>SUM(AG70:BE70)</f>
      </c>
      <c r="AG70" s="3"/>
      <c r="AH70" s="3"/>
      <c r="AI70" s="3"/>
      <c r="AJ70" s="3"/>
      <c r="AK70" s="3"/>
      <c r="AL70" s="3"/>
      <c r="AM70" s="3"/>
      <c r="AN70" s="3"/>
      <c r="AO70" s="3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436"/>
      <c r="BC70" s="16"/>
      <c r="BD70" s="16"/>
      <c r="BE70" s="16"/>
      <c r="BF70" s="3"/>
      <c r="BG70" s="3"/>
      <c r="BH70" s="3"/>
      <c r="BI70" s="3"/>
      <c r="BJ70" s="3"/>
      <c r="BK70" s="16"/>
      <c r="BL70" s="3"/>
      <c r="BM70" s="3"/>
      <c r="BN70" s="3"/>
      <c r="BO70" s="17"/>
      <c r="BP70" s="4"/>
      <c r="BQ70" s="4"/>
      <c r="BR70" s="4"/>
      <c r="BS70" s="4"/>
      <c r="BT70" s="4"/>
      <c r="BU70" s="4"/>
      <c r="BV7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9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48" width="10.719285714285713" customWidth="1" bestFit="1"/>
    <col min="2" max="2" style="89" width="33.57642857142857" customWidth="1" bestFit="1"/>
    <col min="3" max="3" style="21" width="11.862142857142858" customWidth="1" bestFit="1"/>
    <col min="4" max="4" style="21" width="8.147857142857141" customWidth="1" bestFit="1"/>
    <col min="5" max="5" style="21" width="27.576428571428572" customWidth="1" bestFit="1"/>
    <col min="6" max="6" style="21" width="5.576428571428571" customWidth="1" bestFit="1"/>
    <col min="7" max="7" style="380" width="7.576428571428571" customWidth="1" bestFit="1"/>
    <col min="8" max="8" style="249" width="7.576428571428571" customWidth="1" bestFit="1"/>
    <col min="9" max="9" style="249" width="7.719285714285714" customWidth="1" bestFit="1"/>
    <col min="10" max="10" style="21" width="7.719285714285714" customWidth="1" bestFit="1"/>
    <col min="11" max="11" style="28" width="13.719285714285713" customWidth="1" bestFit="1"/>
    <col min="12" max="12" style="21" width="8.576428571428572" customWidth="1" bestFit="1"/>
    <col min="13" max="13" style="21" width="10.576428571428572" customWidth="1" bestFit="1"/>
    <col min="14" max="14" style="171" width="8.862142857142858" customWidth="1" bestFit="1"/>
    <col min="15" max="15" style="171" width="9.290714285714287" customWidth="1" bestFit="1"/>
    <col min="16" max="16" style="21" width="7.862142857142857" customWidth="1" bestFit="1"/>
    <col min="17" max="17" style="28" width="11.576428571428572" customWidth="1" bestFit="1"/>
    <col min="18" max="18" style="21" width="9.290714285714287" customWidth="1" bestFit="1"/>
    <col min="19" max="19" style="21" width="7.576428571428571" customWidth="1" bestFit="1"/>
    <col min="20" max="20" style="21" width="9.576428571428572" customWidth="1" bestFit="1"/>
    <col min="21" max="21" style="21" width="7.576428571428571" customWidth="1" bestFit="1"/>
    <col min="22" max="22" style="21" width="8.719285714285713" customWidth="1" bestFit="1"/>
    <col min="23" max="23" style="21" width="11.576428571428572" customWidth="1" bestFit="1"/>
    <col min="24" max="24" style="21" width="8.719285714285713" customWidth="1" bestFit="1"/>
    <col min="25" max="25" style="21" width="8.862142857142858" customWidth="1" bestFit="1"/>
    <col min="26" max="26" style="21" width="8.576428571428572" customWidth="1" bestFit="1"/>
    <col min="27" max="27" style="21" width="10.147857142857141" customWidth="1" bestFit="1"/>
    <col min="28" max="28" style="21" width="13.576428571428572" customWidth="1" bestFit="1"/>
    <col min="29" max="29" style="21" width="9.862142857142858" customWidth="1" bestFit="1"/>
    <col min="30" max="30" style="21" width="8.576428571428572" customWidth="1" bestFit="1"/>
    <col min="31" max="31" style="21" width="9.005" customWidth="1" bestFit="1"/>
    <col min="32" max="32" style="21" width="9.290714285714287" customWidth="1" bestFit="1"/>
    <col min="33" max="33" style="249" width="12.43357142857143" customWidth="1" bestFit="1" hidden="1"/>
    <col min="34" max="34" style="249" width="12.43357142857143" customWidth="1" bestFit="1" hidden="1"/>
    <col min="35" max="35" style="249" width="12.43357142857143" customWidth="1" bestFit="1" hidden="1"/>
    <col min="36" max="36" style="249" width="12.43357142857143" customWidth="1" bestFit="1" hidden="1"/>
    <col min="37" max="37" style="249" width="12.43357142857143" customWidth="1" bestFit="1" hidden="1"/>
    <col min="38" max="38" style="249" width="12.43357142857143" customWidth="1" bestFit="1" hidden="1"/>
    <col min="39" max="39" style="249" width="12.43357142857143" customWidth="1" bestFit="1" hidden="1"/>
    <col min="40" max="40" style="249" width="12.43357142857143" customWidth="1" bestFit="1" hidden="1"/>
    <col min="41" max="41" style="249" width="12.43357142857143" customWidth="1" bestFit="1" hidden="1"/>
    <col min="42" max="42" style="249" width="12.43357142857143" customWidth="1" bestFit="1" hidden="1"/>
    <col min="43" max="43" style="249" width="12.43357142857143" customWidth="1" bestFit="1" hidden="1"/>
    <col min="44" max="44" style="249" width="12.43357142857143" customWidth="1" bestFit="1" hidden="1"/>
    <col min="45" max="45" style="249" width="12.43357142857143" customWidth="1" bestFit="1" hidden="1"/>
    <col min="46" max="46" style="249" width="12.43357142857143" customWidth="1" bestFit="1" hidden="1"/>
    <col min="47" max="47" style="249" width="12.43357142857143" customWidth="1" bestFit="1" hidden="1"/>
    <col min="48" max="48" style="249" width="12.43357142857143" customWidth="1" bestFit="1" hidden="1"/>
    <col min="49" max="49" style="249" width="9.147857142857141" customWidth="1" bestFit="1"/>
    <col min="50" max="50" style="249" width="8.147857142857141" customWidth="1" bestFit="1"/>
    <col min="51" max="51" style="249" width="8.862142857142858" customWidth="1" bestFit="1"/>
    <col min="52" max="52" style="249" width="8.147857142857141" customWidth="1" bestFit="1"/>
    <col min="53" max="53" style="249" width="8.147857142857141" customWidth="1" bestFit="1"/>
    <col min="54" max="54" style="249" width="8.147857142857141" customWidth="1" bestFit="1"/>
    <col min="55" max="55" style="171" width="8.147857142857141" customWidth="1" bestFit="1"/>
    <col min="56" max="56" style="171" width="8.147857142857141" customWidth="1" bestFit="1"/>
    <col min="57" max="57" style="171" width="8.147857142857141" customWidth="1" bestFit="1"/>
    <col min="58" max="58" style="21" width="10.576428571428572" customWidth="1" bestFit="1"/>
    <col min="59" max="59" style="21" width="9.147857142857141" customWidth="1" bestFit="1"/>
    <col min="60" max="60" style="21" width="7.2907142857142855" customWidth="1" bestFit="1"/>
    <col min="61" max="61" style="21" width="11.147857142857141" customWidth="1" bestFit="1"/>
    <col min="62" max="62" style="21" width="11.147857142857141" customWidth="1" bestFit="1"/>
    <col min="63" max="63" style="171" width="9.005" customWidth="1" bestFit="1"/>
    <col min="64" max="64" style="21" width="12.005" customWidth="1" bestFit="1"/>
    <col min="65" max="65" style="21" width="9.862142857142858" customWidth="1" bestFit="1"/>
    <col min="66" max="66" style="21" width="11.576428571428572" customWidth="1" bestFit="1"/>
    <col min="67" max="67" style="248" width="12.43357142857143" customWidth="1" bestFit="1"/>
  </cols>
  <sheetData>
    <row x14ac:dyDescent="0.25" r="1" customHeight="1" ht="16">
      <c r="A1" s="356" t="s">
        <v>60</v>
      </c>
      <c r="B1" s="357">
        <v>0.03</v>
      </c>
      <c r="C1" s="358" t="s">
        <v>60</v>
      </c>
      <c r="D1" s="358" t="s">
        <v>60</v>
      </c>
      <c r="E1" s="358" t="s">
        <v>60</v>
      </c>
      <c r="F1" s="358" t="s">
        <v>60</v>
      </c>
      <c r="G1" s="359"/>
      <c r="H1" s="360" t="s">
        <v>60</v>
      </c>
      <c r="I1" s="360" t="s">
        <v>60</v>
      </c>
      <c r="J1" s="358" t="s">
        <v>60</v>
      </c>
      <c r="K1" s="361" t="s">
        <v>60</v>
      </c>
      <c r="L1" s="358" t="s">
        <v>60</v>
      </c>
      <c r="M1" s="358" t="s">
        <v>60</v>
      </c>
      <c r="N1" s="359" t="s">
        <v>60</v>
      </c>
      <c r="O1" s="359" t="s">
        <v>60</v>
      </c>
      <c r="P1" s="358" t="s">
        <v>60</v>
      </c>
      <c r="Q1" s="361" t="s">
        <v>60</v>
      </c>
      <c r="R1" s="358" t="s">
        <v>60</v>
      </c>
      <c r="S1" s="358" t="s">
        <v>60</v>
      </c>
      <c r="T1" s="358" t="s">
        <v>60</v>
      </c>
      <c r="U1" s="358" t="s">
        <v>60</v>
      </c>
      <c r="V1" s="358" t="s">
        <v>60</v>
      </c>
      <c r="W1" s="358" t="s">
        <v>60</v>
      </c>
      <c r="X1" s="358" t="s">
        <v>60</v>
      </c>
      <c r="Y1" s="358" t="s">
        <v>60</v>
      </c>
      <c r="Z1" s="358" t="s">
        <v>60</v>
      </c>
      <c r="AA1" s="358" t="s">
        <v>60</v>
      </c>
      <c r="AB1" s="358" t="s">
        <v>60</v>
      </c>
      <c r="AC1" s="358" t="s">
        <v>60</v>
      </c>
      <c r="AD1" s="358" t="s">
        <v>60</v>
      </c>
      <c r="AE1" s="358" t="s">
        <v>60</v>
      </c>
      <c r="AF1" s="358" t="s">
        <v>60</v>
      </c>
      <c r="AG1" s="360" t="s">
        <v>60</v>
      </c>
      <c r="AH1" s="360" t="s">
        <v>60</v>
      </c>
      <c r="AI1" s="360" t="s">
        <v>60</v>
      </c>
      <c r="AJ1" s="360" t="s">
        <v>60</v>
      </c>
      <c r="AK1" s="360" t="s">
        <v>60</v>
      </c>
      <c r="AL1" s="360" t="s">
        <v>60</v>
      </c>
      <c r="AM1" s="360" t="s">
        <v>60</v>
      </c>
      <c r="AN1" s="360" t="s">
        <v>60</v>
      </c>
      <c r="AO1" s="360" t="s">
        <v>60</v>
      </c>
      <c r="AP1" s="360" t="s">
        <v>60</v>
      </c>
      <c r="AQ1" s="360" t="s">
        <v>60</v>
      </c>
      <c r="AR1" s="360" t="s">
        <v>60</v>
      </c>
      <c r="AS1" s="360" t="s">
        <v>60</v>
      </c>
      <c r="AT1" s="360" t="s">
        <v>60</v>
      </c>
      <c r="AU1" s="360" t="s">
        <v>60</v>
      </c>
      <c r="AV1" s="360" t="s">
        <v>60</v>
      </c>
      <c r="AW1" s="360" t="s">
        <v>60</v>
      </c>
      <c r="AX1" s="360" t="s">
        <v>60</v>
      </c>
      <c r="AY1" s="360" t="s">
        <v>60</v>
      </c>
      <c r="AZ1" s="360" t="s">
        <v>60</v>
      </c>
      <c r="BA1" s="359"/>
      <c r="BB1" s="359"/>
      <c r="BC1" s="359"/>
      <c r="BD1" s="359"/>
      <c r="BE1" s="359"/>
      <c r="BF1" s="358" t="s">
        <v>60</v>
      </c>
      <c r="BG1" s="358" t="s">
        <v>60</v>
      </c>
      <c r="BH1" s="358" t="s">
        <v>60</v>
      </c>
      <c r="BI1" s="358" t="s">
        <v>60</v>
      </c>
      <c r="BJ1" s="358" t="s">
        <v>60</v>
      </c>
      <c r="BK1" s="359"/>
      <c r="BL1" s="358" t="s">
        <v>60</v>
      </c>
      <c r="BM1" s="358" t="s">
        <v>60</v>
      </c>
      <c r="BN1" s="358" t="s">
        <v>60</v>
      </c>
      <c r="BO1" s="356" t="s">
        <v>60</v>
      </c>
    </row>
    <row x14ac:dyDescent="0.25" r="2" customHeight="1" ht="89.5" customFormat="1" s="6">
      <c r="A2" s="189" t="s">
        <v>65</v>
      </c>
      <c r="B2" s="190" t="s">
        <v>66</v>
      </c>
      <c r="C2" s="191" t="s">
        <v>67</v>
      </c>
      <c r="D2" s="191" t="s">
        <v>369</v>
      </c>
      <c r="E2" s="191" t="s">
        <v>69</v>
      </c>
      <c r="F2" s="191" t="s">
        <v>70</v>
      </c>
      <c r="G2" s="192" t="s">
        <v>71</v>
      </c>
      <c r="H2" s="193" t="s">
        <v>72</v>
      </c>
      <c r="I2" s="193" t="s">
        <v>73</v>
      </c>
      <c r="J2" s="194" t="s">
        <v>74</v>
      </c>
      <c r="K2" s="195" t="s">
        <v>75</v>
      </c>
      <c r="L2" s="194" t="s">
        <v>73</v>
      </c>
      <c r="M2" s="194" t="s">
        <v>76</v>
      </c>
      <c r="N2" s="192" t="s">
        <v>77</v>
      </c>
      <c r="O2" s="192" t="s">
        <v>78</v>
      </c>
      <c r="P2" s="196" t="s">
        <v>79</v>
      </c>
      <c r="Q2" s="195" t="s">
        <v>80</v>
      </c>
      <c r="R2" s="197" t="s">
        <v>81</v>
      </c>
      <c r="S2" s="197" t="s">
        <v>82</v>
      </c>
      <c r="T2" s="198" t="s">
        <v>83</v>
      </c>
      <c r="U2" s="198" t="s">
        <v>84</v>
      </c>
      <c r="V2" s="199" t="s">
        <v>85</v>
      </c>
      <c r="W2" s="199" t="s">
        <v>86</v>
      </c>
      <c r="X2" s="198" t="s">
        <v>87</v>
      </c>
      <c r="Y2" s="198" t="s">
        <v>88</v>
      </c>
      <c r="Z2" s="198" t="s">
        <v>89</v>
      </c>
      <c r="AA2" s="198" t="s">
        <v>90</v>
      </c>
      <c r="AB2" s="199" t="s">
        <v>91</v>
      </c>
      <c r="AC2" s="199" t="s">
        <v>92</v>
      </c>
      <c r="AD2" s="199" t="s">
        <v>93</v>
      </c>
      <c r="AE2" s="199" t="s">
        <v>94</v>
      </c>
      <c r="AF2" s="197" t="s">
        <v>95</v>
      </c>
      <c r="AG2" s="362" t="s">
        <v>96</v>
      </c>
      <c r="AH2" s="200" t="s">
        <v>97</v>
      </c>
      <c r="AI2" s="200" t="s">
        <v>98</v>
      </c>
      <c r="AJ2" s="200" t="s">
        <v>99</v>
      </c>
      <c r="AK2" s="200" t="s">
        <v>100</v>
      </c>
      <c r="AL2" s="200" t="s">
        <v>101</v>
      </c>
      <c r="AM2" s="200" t="s">
        <v>102</v>
      </c>
      <c r="AN2" s="200" t="s">
        <v>103</v>
      </c>
      <c r="AO2" s="200" t="s">
        <v>104</v>
      </c>
      <c r="AP2" s="200" t="s">
        <v>105</v>
      </c>
      <c r="AQ2" s="200" t="s">
        <v>106</v>
      </c>
      <c r="AR2" s="200" t="s">
        <v>107</v>
      </c>
      <c r="AS2" s="200" t="s">
        <v>108</v>
      </c>
      <c r="AT2" s="200" t="s">
        <v>109</v>
      </c>
      <c r="AU2" s="200" t="s">
        <v>110</v>
      </c>
      <c r="AV2" s="200" t="s">
        <v>111</v>
      </c>
      <c r="AW2" s="200" t="s">
        <v>112</v>
      </c>
      <c r="AX2" s="200" t="s">
        <v>113</v>
      </c>
      <c r="AY2" s="200" t="s">
        <v>114</v>
      </c>
      <c r="AZ2" s="200" t="s">
        <v>115</v>
      </c>
      <c r="BA2" s="200" t="s">
        <v>116</v>
      </c>
      <c r="BB2" s="200" t="s">
        <v>117</v>
      </c>
      <c r="BC2" s="270" t="s">
        <v>355</v>
      </c>
      <c r="BD2" s="270" t="s">
        <v>356</v>
      </c>
      <c r="BE2" s="270" t="s">
        <v>357</v>
      </c>
      <c r="BF2" s="199" t="s">
        <v>119</v>
      </c>
      <c r="BG2" s="199" t="s">
        <v>630</v>
      </c>
      <c r="BH2" s="199" t="s">
        <v>121</v>
      </c>
      <c r="BI2" s="199" t="s">
        <v>122</v>
      </c>
      <c r="BJ2" s="199" t="s">
        <v>123</v>
      </c>
      <c r="BK2" s="363" t="s">
        <v>124</v>
      </c>
      <c r="BL2" s="199" t="s">
        <v>631</v>
      </c>
      <c r="BM2" s="364" t="s">
        <v>126</v>
      </c>
      <c r="BN2" s="364" t="s">
        <v>127</v>
      </c>
      <c r="BO2" s="332" t="s">
        <v>370</v>
      </c>
    </row>
    <row x14ac:dyDescent="0.25" r="3" customHeight="1" ht="16">
      <c r="A3" s="202">
        <v>25568.79196759259</v>
      </c>
      <c r="B3" s="203" t="s">
        <v>632</v>
      </c>
      <c r="C3" s="204" t="s">
        <v>173</v>
      </c>
      <c r="D3" s="70" t="s">
        <v>633</v>
      </c>
      <c r="E3" s="70" t="s">
        <v>169</v>
      </c>
      <c r="F3" s="70" t="s">
        <v>197</v>
      </c>
      <c r="G3" s="205">
        <v>600</v>
      </c>
      <c r="H3" s="206">
        <v>1.3</v>
      </c>
      <c r="I3" s="207">
        <v>0.03</v>
      </c>
      <c r="J3" s="208">
        <f>H3+I3</f>
      </c>
      <c r="K3" s="209">
        <v>30000</v>
      </c>
      <c r="L3" s="58">
        <f>K3*I3</f>
      </c>
      <c r="M3" s="58">
        <f>K3*J3</f>
      </c>
      <c r="N3" s="210">
        <v>140</v>
      </c>
      <c r="O3" s="16"/>
      <c r="P3" s="211">
        <f>IF(ISBLANK(N3),O3/4.3,N3/20)</f>
      </c>
      <c r="Q3" s="209">
        <v>3000</v>
      </c>
      <c r="R3" s="212" t="s">
        <v>133</v>
      </c>
      <c r="S3" s="3"/>
      <c r="T3" s="213">
        <f>IF(ISBLANK(R3),0,X3)</f>
      </c>
      <c r="U3" s="213">
        <f>IF(ISBLANK(S3),0,X3)</f>
      </c>
      <c r="V3" s="214">
        <f>IFERROR(Q3/K3,0)</f>
      </c>
      <c r="W3" s="58">
        <f>IFERROR(L3*V3,0)</f>
      </c>
      <c r="X3" s="213">
        <f>IFERROR(Q3+W3,0)</f>
      </c>
      <c r="Y3" s="213">
        <f>IFERROR(M3*V3,0)</f>
      </c>
      <c r="Z3" s="213">
        <f>Y3-(Y3*$B$1)</f>
      </c>
      <c r="AA3" s="67">
        <f>Z3/X3</f>
      </c>
      <c r="AB3" s="215">
        <f>IF(ISBLANK(N3),Y3/O3,Y3/N3)</f>
      </c>
      <c r="AC3" s="215">
        <f>IFERROR(-1*(AB3*B$1),0)</f>
      </c>
      <c r="AD3" s="215">
        <f>IFERROR(SUM(AB3:AC3),0)</f>
      </c>
      <c r="AE3" s="215">
        <f>IF(ISBLANK(N3),AD3,AD3*5)</f>
      </c>
      <c r="AF3" s="216">
        <f>SUM(AG3:BE3)</f>
      </c>
      <c r="AG3" s="207">
        <v>70.8</v>
      </c>
      <c r="AH3" s="207">
        <v>138.2</v>
      </c>
      <c r="AI3" s="207">
        <v>138.2</v>
      </c>
      <c r="AJ3" s="207">
        <v>138.2</v>
      </c>
      <c r="AK3" s="207">
        <v>110.56</v>
      </c>
      <c r="AL3" s="207">
        <v>138.2</v>
      </c>
      <c r="AM3" s="207">
        <v>138.2</v>
      </c>
      <c r="AN3" s="207">
        <v>138.2</v>
      </c>
      <c r="AO3" s="207">
        <v>138.2</v>
      </c>
      <c r="AP3" s="207">
        <v>110.56</v>
      </c>
      <c r="AQ3" s="207">
        <v>138.2</v>
      </c>
      <c r="AR3" s="207">
        <v>138.2</v>
      </c>
      <c r="AS3" s="207">
        <v>2334.28</v>
      </c>
      <c r="AT3" s="336"/>
      <c r="AU3" s="336"/>
      <c r="AV3" s="336"/>
      <c r="AW3" s="336"/>
      <c r="AX3" s="336"/>
      <c r="AY3" s="336"/>
      <c r="AZ3" s="336"/>
      <c r="BA3" s="336"/>
      <c r="BB3" s="336"/>
      <c r="BC3" s="365"/>
      <c r="BD3" s="365"/>
      <c r="BE3" s="365"/>
      <c r="BF3" s="215">
        <f>Z3-AF3</f>
      </c>
      <c r="BG3" s="214">
        <f>IFERROR(AF3/Z3,0)</f>
      </c>
      <c r="BH3" s="214">
        <f>IFERROR(AF3/X3,0)</f>
      </c>
      <c r="BI3" s="214">
        <f>X3/SUM(X$3:X$10)</f>
      </c>
      <c r="BJ3" s="214">
        <f>BF3/SUM(BF$3:BF200)</f>
      </c>
      <c r="BK3" s="217">
        <f>BF3/'R&amp;H Portfolio'!Q$10</f>
      </c>
      <c r="BL3" s="215">
        <f>BI3*P3</f>
      </c>
      <c r="BM3" s="73"/>
      <c r="BN3" s="220">
        <f>IF(BM3="YES", BF3, "")</f>
      </c>
      <c r="BO3" s="17"/>
    </row>
    <row x14ac:dyDescent="0.25" r="4" customHeight="1" ht="16">
      <c r="A4" s="202">
        <v>25568.79196759259</v>
      </c>
      <c r="B4" s="203" t="s">
        <v>634</v>
      </c>
      <c r="C4" s="204" t="s">
        <v>635</v>
      </c>
      <c r="D4" s="70" t="s">
        <v>636</v>
      </c>
      <c r="E4" s="70" t="s">
        <v>637</v>
      </c>
      <c r="F4" s="70" t="s">
        <v>160</v>
      </c>
      <c r="G4" s="205">
        <v>575</v>
      </c>
      <c r="H4" s="206">
        <v>1.32</v>
      </c>
      <c r="I4" s="207">
        <v>0.11</v>
      </c>
      <c r="J4" s="208">
        <f>H4+I4</f>
      </c>
      <c r="K4" s="209">
        <v>35000</v>
      </c>
      <c r="L4" s="58">
        <f>K4*I4</f>
      </c>
      <c r="M4" s="58">
        <f>K4*J4</f>
      </c>
      <c r="N4" s="210">
        <v>180</v>
      </c>
      <c r="O4" s="16"/>
      <c r="P4" s="211">
        <f>IF(ISBLANK(N4),O4/4.3,N4/20)</f>
      </c>
      <c r="Q4" s="209">
        <v>3500</v>
      </c>
      <c r="R4" s="212" t="s">
        <v>133</v>
      </c>
      <c r="S4" s="3"/>
      <c r="T4" s="213">
        <f>IF(ISBLANK(R4),0,X4)</f>
      </c>
      <c r="U4" s="213">
        <f>IF(ISBLANK(S4),0,X4)</f>
      </c>
      <c r="V4" s="214">
        <f>IFERROR(Q4/K4,0)</f>
      </c>
      <c r="W4" s="58">
        <f>IFERROR(L4*V4,0)</f>
      </c>
      <c r="X4" s="213">
        <f>IFERROR(Q4+W4,0)</f>
      </c>
      <c r="Y4" s="213">
        <f>IFERROR(M4*V4,0)</f>
      </c>
      <c r="Z4" s="213">
        <f>Y4-(Y4*$B$1)</f>
      </c>
      <c r="AA4" s="67">
        <f>Z4/X4</f>
      </c>
      <c r="AB4" s="215">
        <f>IF(ISBLANK(N4),Y4/O4,Y4/N4)</f>
      </c>
      <c r="AC4" s="215">
        <f>IFERROR(-1*(AB4*B$1),0)</f>
      </c>
      <c r="AD4" s="215">
        <f>IFERROR(SUM(AB4:AC4),0)</f>
      </c>
      <c r="AE4" s="215">
        <f>IF(ISBLANK(N4),AD4,AD4*5)</f>
      </c>
      <c r="AF4" s="216">
        <f>SUM(AG4:BE4)</f>
      </c>
      <c r="AG4" s="207">
        <v>87.64</v>
      </c>
      <c r="AH4" s="207">
        <v>104.48</v>
      </c>
      <c r="AI4" s="207">
        <v>50.54</v>
      </c>
      <c r="AJ4" s="207">
        <v>36.96</v>
      </c>
      <c r="AK4" s="207">
        <v>77.52</v>
      </c>
      <c r="AL4" s="207">
        <v>104.48</v>
      </c>
      <c r="AM4" s="207">
        <v>77.50999999999999</v>
      </c>
      <c r="AN4" s="207">
        <v>131.46</v>
      </c>
      <c r="AO4" s="207">
        <v>104.48</v>
      </c>
      <c r="AP4" s="207">
        <v>107.88</v>
      </c>
      <c r="AQ4" s="207">
        <v>74.11</v>
      </c>
      <c r="AR4" s="207">
        <v>74.11</v>
      </c>
      <c r="AS4" s="207">
        <v>104.48</v>
      </c>
      <c r="AT4" s="207">
        <v>77.50999999999999</v>
      </c>
      <c r="AU4" s="207">
        <v>101.09</v>
      </c>
      <c r="AV4" s="207">
        <v>77.50999999999999</v>
      </c>
      <c r="AW4" s="207">
        <v>104.48</v>
      </c>
      <c r="AX4" s="207">
        <v>134.85</v>
      </c>
      <c r="AY4" s="207">
        <v>104.48</v>
      </c>
      <c r="AZ4" s="207">
        <v>104.48</v>
      </c>
      <c r="BA4" s="207">
        <v>107.88</v>
      </c>
      <c r="BB4" s="207">
        <v>77.50999999999999</v>
      </c>
      <c r="BC4" s="210"/>
      <c r="BD4" s="210"/>
      <c r="BE4" s="210"/>
      <c r="BF4" s="215">
        <f>Z4-AF4</f>
      </c>
      <c r="BG4" s="214">
        <f>IFERROR(AF4/Z4,0)</f>
      </c>
      <c r="BH4" s="214">
        <f>IFERROR(AF4/X4,0)</f>
      </c>
      <c r="BI4" s="214">
        <f>X4/SUM(X$3:X$10)</f>
      </c>
      <c r="BJ4" s="214">
        <f>BF4/SUM(BF$3:BF201)</f>
      </c>
      <c r="BK4" s="217">
        <f>BF4/'R&amp;H Portfolio'!Q$10</f>
      </c>
      <c r="BL4" s="215">
        <f>BI4*P4</f>
      </c>
      <c r="BM4" s="73"/>
      <c r="BN4" s="220">
        <f>IF(BM4="YES", BF4, "")</f>
      </c>
      <c r="BO4" s="17"/>
    </row>
    <row x14ac:dyDescent="0.25" r="5" customHeight="1" ht="16">
      <c r="A5" s="202">
        <v>25568.79196759259</v>
      </c>
      <c r="B5" s="203" t="s">
        <v>638</v>
      </c>
      <c r="C5" s="204" t="s">
        <v>639</v>
      </c>
      <c r="D5" s="70" t="s">
        <v>640</v>
      </c>
      <c r="E5" s="70" t="s">
        <v>164</v>
      </c>
      <c r="F5" s="70" t="s">
        <v>641</v>
      </c>
      <c r="G5" s="205">
        <v>613</v>
      </c>
      <c r="H5" s="206">
        <v>1.32</v>
      </c>
      <c r="I5" s="207">
        <v>0.15</v>
      </c>
      <c r="J5" s="208">
        <f>H5+I5</f>
      </c>
      <c r="K5" s="209">
        <v>15000</v>
      </c>
      <c r="L5" s="58">
        <f>K5*I5</f>
      </c>
      <c r="M5" s="58">
        <f>K5*J5</f>
      </c>
      <c r="N5" s="210">
        <v>180</v>
      </c>
      <c r="O5" s="16"/>
      <c r="P5" s="211">
        <f>IF(ISBLANK(N5),O5/4.3,N5/20)</f>
      </c>
      <c r="Q5" s="209">
        <v>2000</v>
      </c>
      <c r="R5" s="212" t="s">
        <v>133</v>
      </c>
      <c r="S5" s="209"/>
      <c r="T5" s="213">
        <f>IF(ISBLANK(R5),0,X5)</f>
      </c>
      <c r="U5" s="213">
        <f>IF(ISBLANK(S5),0,X5)</f>
      </c>
      <c r="V5" s="214">
        <f>IFERROR(Q5/K5,0)</f>
      </c>
      <c r="W5" s="58">
        <f>IFERROR(L5*V5,0)</f>
      </c>
      <c r="X5" s="213">
        <f>IFERROR(Q5+W5,0)</f>
      </c>
      <c r="Y5" s="213">
        <f>IFERROR(M5*V5,0)</f>
      </c>
      <c r="Z5" s="213">
        <f>Y5-(Y5*$B$1)</f>
      </c>
      <c r="AA5" s="67">
        <f>Z5/X5</f>
      </c>
      <c r="AB5" s="215">
        <f>IF(ISBLANK(N5),Y5/O5,Y5/N5)</f>
      </c>
      <c r="AC5" s="215">
        <f>IFERROR(-1*(AB5*B$1),0)</f>
      </c>
      <c r="AD5" s="215">
        <f>IFERROR(SUM(AB5:AC5),0)</f>
      </c>
      <c r="AE5" s="215">
        <f>IF(ISBLANK(N5),AD5,AD5*5)</f>
      </c>
      <c r="AF5" s="216">
        <f>SUM(AG5:BE5)</f>
      </c>
      <c r="AG5" s="207"/>
      <c r="AH5" s="207">
        <v>78.92</v>
      </c>
      <c r="AI5" s="207">
        <v>79.25</v>
      </c>
      <c r="AJ5" s="207">
        <v>79.25</v>
      </c>
      <c r="AK5" s="207">
        <v>63.4</v>
      </c>
      <c r="AL5" s="207">
        <v>79.25</v>
      </c>
      <c r="AM5" s="207">
        <v>79.25</v>
      </c>
      <c r="AN5" s="207">
        <v>79.25</v>
      </c>
      <c r="AO5" s="207">
        <v>79.25</v>
      </c>
      <c r="AP5" s="207">
        <v>63.4</v>
      </c>
      <c r="AQ5" s="207">
        <v>79.25</v>
      </c>
      <c r="AR5" s="207">
        <v>79.25</v>
      </c>
      <c r="AS5" s="207">
        <v>79.25</v>
      </c>
      <c r="AT5" s="207">
        <v>79.25</v>
      </c>
      <c r="AU5" s="207">
        <v>79.25</v>
      </c>
      <c r="AV5" s="207">
        <v>63.4</v>
      </c>
      <c r="AW5" s="207">
        <v>79.25</v>
      </c>
      <c r="AX5" s="207">
        <v>79.25</v>
      </c>
      <c r="AY5" s="207">
        <v>79.25</v>
      </c>
      <c r="AZ5" s="207">
        <v>79.25</v>
      </c>
      <c r="BA5" s="207">
        <v>63.4</v>
      </c>
      <c r="BB5" s="207">
        <v>63.4</v>
      </c>
      <c r="BC5" s="210"/>
      <c r="BD5" s="210"/>
      <c r="BE5" s="210"/>
      <c r="BF5" s="215">
        <f>Z5-AF5</f>
      </c>
      <c r="BG5" s="214">
        <f>IFERROR(AF5/Z5,0)</f>
      </c>
      <c r="BH5" s="214">
        <f>IFERROR(AF5/X5,0)</f>
      </c>
      <c r="BI5" s="214">
        <f>X5/SUM(X$3:X$10)</f>
      </c>
      <c r="BJ5" s="214">
        <f>BF5/SUM(BF$3:BF202)</f>
      </c>
      <c r="BK5" s="217">
        <f>BF5/'R&amp;H Portfolio'!Q$10</f>
      </c>
      <c r="BL5" s="215">
        <f>BI5*P5</f>
      </c>
      <c r="BM5" s="73"/>
      <c r="BN5" s="220">
        <f>IF(BM5="YES", BF5, "")</f>
      </c>
      <c r="BO5" s="17"/>
    </row>
    <row x14ac:dyDescent="0.25" r="6" customHeight="1" ht="16">
      <c r="A6" s="202">
        <v>25568.79196759259</v>
      </c>
      <c r="B6" s="203" t="s">
        <v>642</v>
      </c>
      <c r="C6" s="204" t="s">
        <v>643</v>
      </c>
      <c r="D6" s="70" t="s">
        <v>644</v>
      </c>
      <c r="E6" s="70" t="s">
        <v>645</v>
      </c>
      <c r="F6" s="70" t="s">
        <v>160</v>
      </c>
      <c r="G6" s="205">
        <v>550</v>
      </c>
      <c r="H6" s="206">
        <v>1.32</v>
      </c>
      <c r="I6" s="207">
        <v>0.15</v>
      </c>
      <c r="J6" s="208">
        <f>H6+I6</f>
      </c>
      <c r="K6" s="209">
        <v>30000</v>
      </c>
      <c r="L6" s="58">
        <f>K6*I6</f>
      </c>
      <c r="M6" s="58">
        <f>K6*J6</f>
      </c>
      <c r="N6" s="210">
        <v>160</v>
      </c>
      <c r="O6" s="16"/>
      <c r="P6" s="211">
        <f>IF(ISBLANK(N6),O6/4.3,N6/20)</f>
      </c>
      <c r="Q6" s="209">
        <v>3000</v>
      </c>
      <c r="R6" s="212" t="s">
        <v>133</v>
      </c>
      <c r="S6" s="3"/>
      <c r="T6" s="213">
        <f>IF(ISBLANK(R6),0,X6)</f>
      </c>
      <c r="U6" s="213">
        <f>IF(ISBLANK(S6),0,X6)</f>
      </c>
      <c r="V6" s="214">
        <f>IFERROR(Q6/K6,0)</f>
      </c>
      <c r="W6" s="58">
        <f>IFERROR(L6*V6,0)</f>
      </c>
      <c r="X6" s="213">
        <f>IFERROR(Q6+W6,0)</f>
      </c>
      <c r="Y6" s="213">
        <f>IFERROR(M6*V6,0)</f>
      </c>
      <c r="Z6" s="213">
        <f>Y6-(Y6*$B$1)</f>
      </c>
      <c r="AA6" s="67">
        <f>Z6/X6</f>
      </c>
      <c r="AB6" s="215">
        <f>IF(ISBLANK(N6),Y6/O6,Y6/N6)</f>
      </c>
      <c r="AC6" s="215">
        <f>IFERROR(-1*(AB6*B$1),0)</f>
      </c>
      <c r="AD6" s="215">
        <f>IFERROR(SUM(AB6:AC6),0)</f>
      </c>
      <c r="AE6" s="215">
        <f>IF(ISBLANK(N6),AD6,AD6*5)</f>
      </c>
      <c r="AF6" s="216">
        <f>SUM(AG6:BE6)</f>
      </c>
      <c r="AG6" s="207"/>
      <c r="AH6" s="207"/>
      <c r="AI6" s="207">
        <v>94.83</v>
      </c>
      <c r="AJ6" s="207">
        <v>133.7</v>
      </c>
      <c r="AK6" s="207">
        <v>106.96</v>
      </c>
      <c r="AL6" s="207">
        <v>133.7</v>
      </c>
      <c r="AM6" s="207">
        <v>133.7</v>
      </c>
      <c r="AN6" s="207">
        <v>133.7</v>
      </c>
      <c r="AO6" s="207">
        <v>133.7</v>
      </c>
      <c r="AP6" s="207">
        <v>106.96</v>
      </c>
      <c r="AQ6" s="207">
        <v>133.7</v>
      </c>
      <c r="AR6" s="207">
        <v>133.7</v>
      </c>
      <c r="AS6" s="207">
        <v>133.7</v>
      </c>
      <c r="AT6" s="207">
        <v>133.7</v>
      </c>
      <c r="AU6" s="207">
        <v>133.7</v>
      </c>
      <c r="AV6" s="207">
        <v>106.96</v>
      </c>
      <c r="AW6" s="207">
        <v>133.7</v>
      </c>
      <c r="AX6" s="207">
        <v>133.7</v>
      </c>
      <c r="AY6" s="207">
        <v>2257.349999999999</v>
      </c>
      <c r="AZ6" s="336"/>
      <c r="BA6" s="336"/>
      <c r="BB6" s="336"/>
      <c r="BC6" s="365"/>
      <c r="BD6" s="365"/>
      <c r="BE6" s="365"/>
      <c r="BF6" s="215">
        <f>Z6-AF6</f>
      </c>
      <c r="BG6" s="214">
        <f>IFERROR(AF6/Z6,0)</f>
      </c>
      <c r="BH6" s="214">
        <f>IFERROR(AF6/X6,0)</f>
      </c>
      <c r="BI6" s="214">
        <f>X6/SUM(X$3:X$10)</f>
      </c>
      <c r="BJ6" s="214">
        <f>BF6/SUM(BF$3:BF203)</f>
      </c>
      <c r="BK6" s="217">
        <f>BF6/'R&amp;H Portfolio'!Q$10</f>
      </c>
      <c r="BL6" s="215">
        <f>BI6*P6</f>
      </c>
      <c r="BM6" s="73"/>
      <c r="BN6" s="220">
        <f>IF(BM6="YES", BF6, "")</f>
      </c>
      <c r="BO6" s="17"/>
    </row>
    <row x14ac:dyDescent="0.25" r="7" customHeight="1" ht="16">
      <c r="A7" s="202">
        <v>25568.79196759259</v>
      </c>
      <c r="B7" s="203" t="s">
        <v>646</v>
      </c>
      <c r="C7" s="204" t="s">
        <v>647</v>
      </c>
      <c r="D7" s="70" t="s">
        <v>648</v>
      </c>
      <c r="E7" s="70" t="s">
        <v>144</v>
      </c>
      <c r="F7" s="70" t="s">
        <v>343</v>
      </c>
      <c r="G7" s="205">
        <v>710</v>
      </c>
      <c r="H7" s="206">
        <v>1.3</v>
      </c>
      <c r="I7" s="207">
        <v>0.15</v>
      </c>
      <c r="J7" s="208">
        <f>H7+I7</f>
      </c>
      <c r="K7" s="209">
        <v>37500</v>
      </c>
      <c r="L7" s="58">
        <f>K7*I7</f>
      </c>
      <c r="M7" s="58">
        <f>K7*J7</f>
      </c>
      <c r="N7" s="210">
        <v>180</v>
      </c>
      <c r="O7" s="16"/>
      <c r="P7" s="211">
        <f>IF(ISBLANK(N7),O7/4.3,N7/20)</f>
      </c>
      <c r="Q7" s="209">
        <v>3750</v>
      </c>
      <c r="R7" s="212" t="s">
        <v>133</v>
      </c>
      <c r="S7" s="3"/>
      <c r="T7" s="213">
        <f>IF(ISBLANK(R7),0,X7)</f>
      </c>
      <c r="U7" s="213">
        <f>IF(ISBLANK(S7),0,X7)</f>
      </c>
      <c r="V7" s="214">
        <f>IFERROR(Q7/K7,0)</f>
      </c>
      <c r="W7" s="58">
        <f>IFERROR(L7*V7,0)</f>
      </c>
      <c r="X7" s="213">
        <f>IFERROR(Q7+W7,0)</f>
      </c>
      <c r="Y7" s="213">
        <f>IFERROR(M7*V7,0)</f>
      </c>
      <c r="Z7" s="213">
        <f>Y7-(Y7*$B$1)</f>
      </c>
      <c r="AA7" s="67">
        <f>Z7/X7</f>
      </c>
      <c r="AB7" s="215">
        <f>IF(ISBLANK(N7),Y7/O7,Y7/N7)</f>
      </c>
      <c r="AC7" s="215">
        <f>IFERROR(-1*(AB7*B$1),0)</f>
      </c>
      <c r="AD7" s="215">
        <f>IFERROR(SUM(AB7:AC7),0)</f>
      </c>
      <c r="AE7" s="215">
        <f>IF(ISBLANK(N7),AD7,AD7*5)</f>
      </c>
      <c r="AF7" s="216">
        <f>SUM(AG7:BE7)</f>
      </c>
      <c r="AG7" s="207"/>
      <c r="AH7" s="207"/>
      <c r="AI7" s="207">
        <v>105.07</v>
      </c>
      <c r="AJ7" s="207">
        <v>146.5</v>
      </c>
      <c r="AK7" s="207">
        <v>117.2</v>
      </c>
      <c r="AL7" s="207">
        <v>146.5</v>
      </c>
      <c r="AM7" s="207">
        <v>146.5</v>
      </c>
      <c r="AN7" s="207">
        <v>146.5</v>
      </c>
      <c r="AO7" s="207">
        <v>146.5</v>
      </c>
      <c r="AP7" s="207">
        <v>117.2</v>
      </c>
      <c r="AQ7" s="207">
        <v>146.5</v>
      </c>
      <c r="AR7" s="207">
        <v>146.5</v>
      </c>
      <c r="AS7" s="207">
        <v>146.5</v>
      </c>
      <c r="AT7" s="207">
        <v>146.5</v>
      </c>
      <c r="AU7" s="207">
        <v>146.5</v>
      </c>
      <c r="AV7" s="207">
        <v>117.2</v>
      </c>
      <c r="AW7" s="207">
        <v>146.5</v>
      </c>
      <c r="AX7" s="207">
        <v>146.5</v>
      </c>
      <c r="AY7" s="207">
        <v>146.5</v>
      </c>
      <c r="AZ7" s="207">
        <v>146.5</v>
      </c>
      <c r="BA7" s="207">
        <v>117.2</v>
      </c>
      <c r="BB7" s="207">
        <v>117.2</v>
      </c>
      <c r="BC7" s="210"/>
      <c r="BD7" s="210"/>
      <c r="BE7" s="210"/>
      <c r="BF7" s="215">
        <f>Z7-AF7</f>
      </c>
      <c r="BG7" s="214">
        <f>IFERROR(AF7/Z7,0)</f>
      </c>
      <c r="BH7" s="214">
        <f>IFERROR(AF7/X7,0)</f>
      </c>
      <c r="BI7" s="214">
        <f>X7/SUM(X$3:X$10)</f>
      </c>
      <c r="BJ7" s="214">
        <f>BF7/SUM(BF$3:BF204)</f>
      </c>
      <c r="BK7" s="217">
        <f>BF7/'R&amp;H Portfolio'!Q$10</f>
      </c>
      <c r="BL7" s="215">
        <f>BI7*P7</f>
      </c>
      <c r="BM7" s="73"/>
      <c r="BN7" s="220">
        <f>IF(BM7="YES", BF7, "")</f>
      </c>
      <c r="BO7" s="17"/>
    </row>
    <row x14ac:dyDescent="0.25" r="8" customHeight="1" ht="16">
      <c r="A8" s="202">
        <v>25568.79196759259</v>
      </c>
      <c r="B8" s="203" t="s">
        <v>649</v>
      </c>
      <c r="C8" s="204" t="s">
        <v>650</v>
      </c>
      <c r="D8" s="70" t="s">
        <v>651</v>
      </c>
      <c r="E8" s="70" t="s">
        <v>169</v>
      </c>
      <c r="F8" s="70" t="s">
        <v>138</v>
      </c>
      <c r="G8" s="205">
        <v>613</v>
      </c>
      <c r="H8" s="206">
        <v>1.32</v>
      </c>
      <c r="I8" s="207">
        <v>0.15</v>
      </c>
      <c r="J8" s="208">
        <f>H8+I8</f>
      </c>
      <c r="K8" s="209">
        <v>55000</v>
      </c>
      <c r="L8" s="58">
        <f>K8*I8</f>
      </c>
      <c r="M8" s="58">
        <f>K8*J8</f>
      </c>
      <c r="N8" s="210">
        <v>140</v>
      </c>
      <c r="O8" s="16"/>
      <c r="P8" s="211">
        <f>IF(ISBLANK(N8),O8/4.3,N8/20)</f>
      </c>
      <c r="Q8" s="209">
        <v>5500</v>
      </c>
      <c r="R8" s="212" t="s">
        <v>133</v>
      </c>
      <c r="S8" s="3"/>
      <c r="T8" s="213">
        <f>IF(ISBLANK(R8),0,X8)</f>
      </c>
      <c r="U8" s="213">
        <f>IF(ISBLANK(S8),0,X8)</f>
      </c>
      <c r="V8" s="214">
        <f>IFERROR(Q8/K8,0)</f>
      </c>
      <c r="W8" s="58">
        <f>IFERROR(L8*V8,0)</f>
      </c>
      <c r="X8" s="213">
        <f>IFERROR(Q8+W8,0)</f>
      </c>
      <c r="Y8" s="213">
        <f>IFERROR(M8*V8,0)</f>
      </c>
      <c r="Z8" s="213">
        <f>Y8-(Y8*$B$1)</f>
      </c>
      <c r="AA8" s="67">
        <f>Z8/X8</f>
      </c>
      <c r="AB8" s="215">
        <f>IF(ISBLANK(N8),Y8/O8,Y8/N8)</f>
      </c>
      <c r="AC8" s="215">
        <f>IFERROR(-1*(AB8*B$1),0)</f>
      </c>
      <c r="AD8" s="215">
        <f>IFERROR(SUM(AB8:AC8),0)</f>
      </c>
      <c r="AE8" s="215">
        <f>IF(ISBLANK(N8),AD8,AD8*5)</f>
      </c>
      <c r="AF8" s="216">
        <f>SUM(AG8:BE8)</f>
      </c>
      <c r="AG8" s="207"/>
      <c r="AH8" s="207"/>
      <c r="AI8" s="207">
        <v>152.51</v>
      </c>
      <c r="AJ8" s="207">
        <v>280.05</v>
      </c>
      <c r="AK8" s="207">
        <v>224.04</v>
      </c>
      <c r="AL8" s="207">
        <v>280.05</v>
      </c>
      <c r="AM8" s="207">
        <v>280.05</v>
      </c>
      <c r="AN8" s="207">
        <v>280.05</v>
      </c>
      <c r="AO8" s="207">
        <v>280.05</v>
      </c>
      <c r="AP8" s="207">
        <v>224.04</v>
      </c>
      <c r="AQ8" s="207">
        <v>280.05</v>
      </c>
      <c r="AR8" s="207">
        <v>280.05</v>
      </c>
      <c r="AS8" s="207">
        <v>280.05</v>
      </c>
      <c r="AT8" s="207">
        <v>280.05</v>
      </c>
      <c r="AU8" s="207">
        <v>280.05</v>
      </c>
      <c r="AV8" s="207">
        <v>224.04</v>
      </c>
      <c r="AW8" s="207">
        <v>280.05</v>
      </c>
      <c r="AX8" s="207">
        <v>280.05</v>
      </c>
      <c r="AY8" s="207">
        <v>280.05</v>
      </c>
      <c r="AZ8" s="207">
        <v>280.05</v>
      </c>
      <c r="BA8" s="207">
        <v>224.04</v>
      </c>
      <c r="BB8" s="207">
        <v>224.04</v>
      </c>
      <c r="BC8" s="210"/>
      <c r="BD8" s="210"/>
      <c r="BE8" s="210"/>
      <c r="BF8" s="215">
        <f>Z8-AF8</f>
      </c>
      <c r="BG8" s="214">
        <f>IFERROR(AF8/Z8,0)</f>
      </c>
      <c r="BH8" s="214">
        <f>IFERROR(AF8/X8,0)</f>
      </c>
      <c r="BI8" s="214">
        <f>X8/SUM(X$3:X$10)</f>
      </c>
      <c r="BJ8" s="214">
        <f>BF8/SUM(BF$3:BF205)</f>
      </c>
      <c r="BK8" s="217">
        <f>BF8/'R&amp;H Portfolio'!Q$10</f>
      </c>
      <c r="BL8" s="215">
        <f>BI8*P8</f>
      </c>
      <c r="BM8" s="73"/>
      <c r="BN8" s="220">
        <f>IF(BM8="YES", BF8, "")</f>
      </c>
      <c r="BO8" s="17"/>
    </row>
    <row x14ac:dyDescent="0.25" r="9" customHeight="1" ht="16">
      <c r="A9" s="202">
        <v>25568.79196759259</v>
      </c>
      <c r="B9" s="203" t="s">
        <v>652</v>
      </c>
      <c r="C9" s="204" t="s">
        <v>653</v>
      </c>
      <c r="D9" s="70" t="s">
        <v>654</v>
      </c>
      <c r="E9" s="70" t="s">
        <v>406</v>
      </c>
      <c r="F9" s="70" t="s">
        <v>262</v>
      </c>
      <c r="G9" s="205">
        <v>675</v>
      </c>
      <c r="H9" s="206">
        <v>1.31</v>
      </c>
      <c r="I9" s="207">
        <v>0.15</v>
      </c>
      <c r="J9" s="208">
        <f>H9+I9</f>
      </c>
      <c r="K9" s="209">
        <v>60000</v>
      </c>
      <c r="L9" s="58">
        <f>K9*I9</f>
      </c>
      <c r="M9" s="58">
        <f>K9*J9</f>
      </c>
      <c r="N9" s="210">
        <v>160</v>
      </c>
      <c r="O9" s="16"/>
      <c r="P9" s="211">
        <f>IF(ISBLANK(N9),O9/4.3,N9/20)</f>
      </c>
      <c r="Q9" s="209">
        <v>5000</v>
      </c>
      <c r="R9" s="212" t="s">
        <v>133</v>
      </c>
      <c r="S9" s="3"/>
      <c r="T9" s="213">
        <f>IF(ISBLANK(R9),0,X9)</f>
      </c>
      <c r="U9" s="213">
        <f>IF(ISBLANK(S9),0,X9)</f>
      </c>
      <c r="V9" s="214">
        <f>IFERROR(Q9/K9,0)</f>
      </c>
      <c r="W9" s="58">
        <f>IFERROR(L9*V9,0)</f>
      </c>
      <c r="X9" s="213">
        <f>IFERROR(Q9+W9,0)</f>
      </c>
      <c r="Y9" s="213">
        <f>IFERROR(M9*V9,0)</f>
      </c>
      <c r="Z9" s="213">
        <f>Y9-(Y9*$B$1)</f>
      </c>
      <c r="AA9" s="67">
        <f>Z9/X9</f>
      </c>
      <c r="AB9" s="215">
        <f>IF(ISBLANK(N9),Y9/O9,Y9/N9)</f>
      </c>
      <c r="AC9" s="215">
        <f>IFERROR(-1*(AB9*B$1),0)</f>
      </c>
      <c r="AD9" s="215">
        <f>IFERROR(SUM(AB9:AC9),0)</f>
      </c>
      <c r="AE9" s="215">
        <f>IF(ISBLANK(N9),AD9,AD9*5)</f>
      </c>
      <c r="AF9" s="216">
        <f>SUM(AG9:BE9)</f>
      </c>
      <c r="AG9" s="207"/>
      <c r="AH9" s="207"/>
      <c r="AI9" s="207"/>
      <c r="AJ9" s="207">
        <v>132.78</v>
      </c>
      <c r="AK9" s="207">
        <v>88.51</v>
      </c>
      <c r="AL9" s="207">
        <v>221.28</v>
      </c>
      <c r="AM9" s="207">
        <v>221.28</v>
      </c>
      <c r="AN9" s="207">
        <v>221.28</v>
      </c>
      <c r="AO9" s="207">
        <v>221.28</v>
      </c>
      <c r="AP9" s="207">
        <v>221.28</v>
      </c>
      <c r="AQ9" s="207">
        <v>221.28</v>
      </c>
      <c r="AR9" s="207">
        <v>221.28</v>
      </c>
      <c r="AS9" s="207">
        <v>221.28</v>
      </c>
      <c r="AT9" s="207">
        <v>221.28</v>
      </c>
      <c r="AU9" s="207">
        <v>221.28</v>
      </c>
      <c r="AV9" s="207">
        <v>221.28</v>
      </c>
      <c r="AW9" s="207">
        <v>221.28</v>
      </c>
      <c r="AX9" s="207">
        <v>221.28</v>
      </c>
      <c r="AY9" s="207">
        <v>221.28</v>
      </c>
      <c r="AZ9" s="207">
        <v>221.28</v>
      </c>
      <c r="BA9" s="207">
        <v>221.28</v>
      </c>
      <c r="BB9" s="207">
        <v>30.11</v>
      </c>
      <c r="BC9" s="210"/>
      <c r="BD9" s="210"/>
      <c r="BE9" s="210"/>
      <c r="BF9" s="215">
        <f>Z9-AF9</f>
      </c>
      <c r="BG9" s="214">
        <f>IFERROR(AF9/Z9,0)</f>
      </c>
      <c r="BH9" s="214">
        <f>IFERROR(AF9/X9,0)</f>
      </c>
      <c r="BI9" s="214">
        <f>X9/SUM(X$3:X$10)</f>
      </c>
      <c r="BJ9" s="214">
        <f>BF9/SUM(BF$3:BF206)</f>
      </c>
      <c r="BK9" s="217">
        <f>BF9/'R&amp;H Portfolio'!Q$10</f>
      </c>
      <c r="BL9" s="215">
        <f>BI9*P9</f>
      </c>
      <c r="BM9" s="73"/>
      <c r="BN9" s="220">
        <f>IF(BM9="YES", BF9, "")</f>
      </c>
      <c r="BO9" s="17"/>
    </row>
    <row x14ac:dyDescent="0.25" r="10" customHeight="1" ht="16">
      <c r="A10" s="223">
        <v>25568.79196759259</v>
      </c>
      <c r="B10" s="224" t="s">
        <v>655</v>
      </c>
      <c r="C10" s="225" t="s">
        <v>656</v>
      </c>
      <c r="D10" s="226" t="s">
        <v>657</v>
      </c>
      <c r="E10" s="226" t="s">
        <v>658</v>
      </c>
      <c r="F10" s="226" t="s">
        <v>335</v>
      </c>
      <c r="G10" s="227">
        <v>715</v>
      </c>
      <c r="H10" s="228">
        <v>1.32</v>
      </c>
      <c r="I10" s="229">
        <v>0.15</v>
      </c>
      <c r="J10" s="230">
        <f>H10+I10</f>
      </c>
      <c r="K10" s="231">
        <v>80000</v>
      </c>
      <c r="L10" s="232">
        <f>K10*I10</f>
      </c>
      <c r="M10" s="232">
        <f>K10*J10</f>
      </c>
      <c r="N10" s="233"/>
      <c r="O10" s="233">
        <v>32</v>
      </c>
      <c r="P10" s="234">
        <f>IF(ISBLANK(N10),O10/4.3,N10/20)</f>
      </c>
      <c r="Q10" s="231">
        <v>7000</v>
      </c>
      <c r="R10" s="235" t="s">
        <v>133</v>
      </c>
      <c r="S10" s="236"/>
      <c r="T10" s="237">
        <f>IF(ISBLANK(R10),0,X10)</f>
      </c>
      <c r="U10" s="237">
        <f>IF(ISBLANK(S10),0,X10)</f>
      </c>
      <c r="V10" s="238">
        <f>IFERROR(Q10/K10,0)</f>
      </c>
      <c r="W10" s="232">
        <f>IFERROR(L10*V10,0)</f>
      </c>
      <c r="X10" s="239">
        <f>IFERROR(Q10+W10,0)</f>
      </c>
      <c r="Y10" s="239">
        <f>IFERROR(M10*V10,0)</f>
      </c>
      <c r="Z10" s="239">
        <f>Y10-(Y10*$B$1)</f>
      </c>
      <c r="AA10" s="240">
        <f>Z10/X10</f>
      </c>
      <c r="AB10" s="241">
        <f>IF(ISBLANK(N10),Y10/O10,Y10/N10)</f>
      </c>
      <c r="AC10" s="241">
        <f>IFERROR(-1*(AB10*B$1),0)</f>
      </c>
      <c r="AD10" s="241">
        <f>IFERROR(SUM(AB10:AC10),0)</f>
      </c>
      <c r="AE10" s="241">
        <f>IF(ISBLANK(N10),AD10,AD10*5)</f>
      </c>
      <c r="AF10" s="242">
        <f>SUM(AG10:BE10)</f>
      </c>
      <c r="AG10" s="229"/>
      <c r="AH10" s="229"/>
      <c r="AI10" s="229"/>
      <c r="AJ10" s="229"/>
      <c r="AK10" s="229">
        <v>311.93</v>
      </c>
      <c r="AL10" s="229">
        <v>311.92</v>
      </c>
      <c r="AM10" s="229">
        <v>311.92</v>
      </c>
      <c r="AN10" s="229">
        <v>311.92</v>
      </c>
      <c r="AO10" s="229">
        <v>311.92</v>
      </c>
      <c r="AP10" s="229">
        <v>311.92</v>
      </c>
      <c r="AQ10" s="229">
        <v>311.92</v>
      </c>
      <c r="AR10" s="229">
        <v>311.92</v>
      </c>
      <c r="AS10" s="229">
        <v>311.92</v>
      </c>
      <c r="AT10" s="229">
        <v>311.92</v>
      </c>
      <c r="AU10" s="229">
        <v>311.92</v>
      </c>
      <c r="AV10" s="229"/>
      <c r="AW10" s="229">
        <v>623.84</v>
      </c>
      <c r="AX10" s="229">
        <v>311.92</v>
      </c>
      <c r="AY10" s="229">
        <v>311.92</v>
      </c>
      <c r="AZ10" s="229">
        <v>311.92</v>
      </c>
      <c r="BA10" s="229">
        <v>311.92</v>
      </c>
      <c r="BB10" s="229">
        <v>311.92</v>
      </c>
      <c r="BC10" s="233"/>
      <c r="BD10" s="233"/>
      <c r="BE10" s="233"/>
      <c r="BF10" s="241">
        <f>Z10-AF10</f>
      </c>
      <c r="BG10" s="238">
        <f>IFERROR(AF10/Z10,0)</f>
      </c>
      <c r="BH10" s="214">
        <f>IFERROR(AF10/X10,0)</f>
      </c>
      <c r="BI10" s="214">
        <f>X10/SUM(X$3:X$10)</f>
      </c>
      <c r="BJ10" s="214">
        <f>BF10/SUM(BF$3:BF207)</f>
      </c>
      <c r="BK10" s="217">
        <f>BF10/'R&amp;H Portfolio'!Q$10</f>
      </c>
      <c r="BL10" s="241">
        <f>BI10*P10</f>
      </c>
      <c r="BM10" s="73"/>
      <c r="BN10" s="220">
        <f>IF(BM10="YES", BF10, "")</f>
      </c>
      <c r="BO10" s="17"/>
    </row>
    <row x14ac:dyDescent="0.25" r="11" customHeight="1" ht="16">
      <c r="A11" s="202">
        <v>25568.79196759259</v>
      </c>
      <c r="B11" s="203" t="s">
        <v>659</v>
      </c>
      <c r="C11" s="204" t="s">
        <v>660</v>
      </c>
      <c r="D11" s="70" t="s">
        <v>661</v>
      </c>
      <c r="E11" s="70" t="s">
        <v>585</v>
      </c>
      <c r="F11" s="70" t="s">
        <v>226</v>
      </c>
      <c r="G11" s="205">
        <v>537</v>
      </c>
      <c r="H11" s="206">
        <v>1.3</v>
      </c>
      <c r="I11" s="207">
        <v>0.13</v>
      </c>
      <c r="J11" s="208">
        <f>H11+I11</f>
      </c>
      <c r="K11" s="209">
        <v>17500</v>
      </c>
      <c r="L11" s="58">
        <f>K11*I11</f>
      </c>
      <c r="M11" s="58">
        <f>K11*J11</f>
      </c>
      <c r="N11" s="16"/>
      <c r="O11" s="210">
        <v>32</v>
      </c>
      <c r="P11" s="211">
        <f>IF(ISBLANK(N11),O11/4.3,N11/20)</f>
      </c>
      <c r="Q11" s="209">
        <v>2000</v>
      </c>
      <c r="R11" s="212" t="s">
        <v>133</v>
      </c>
      <c r="S11" s="3"/>
      <c r="T11" s="213">
        <f>IF(ISBLANK(R11),0,X11)</f>
      </c>
      <c r="U11" s="213">
        <f>IF(ISBLANK(S11),0,X11)</f>
      </c>
      <c r="V11" s="214">
        <f>IFERROR(Q11/K11,0)</f>
      </c>
      <c r="W11" s="58">
        <f>IFERROR(L11*V11,0)</f>
      </c>
      <c r="X11" s="213">
        <f>IFERROR(Q11+W11,0)</f>
      </c>
      <c r="Y11" s="213">
        <f>IFERROR(M11*V11,0)</f>
      </c>
      <c r="Z11" s="213">
        <f>Y11-(Y11*$B$1)</f>
      </c>
      <c r="AA11" s="67">
        <f>Z11/X11</f>
      </c>
      <c r="AB11" s="215">
        <f>IF(ISBLANK(N11),Y11/O11,Y11/N11)</f>
      </c>
      <c r="AC11" s="215">
        <f>IFERROR(-1*(AB11*B$1),0)</f>
      </c>
      <c r="AD11" s="215">
        <f>IFERROR(SUM(AB11:AC11),0)</f>
      </c>
      <c r="AE11" s="215">
        <f>IF(ISBLANK(N11),AD11,AD11*5)</f>
      </c>
      <c r="AF11" s="216">
        <f>SUM(AG11:BE11)</f>
      </c>
      <c r="AG11" s="207"/>
      <c r="AH11" s="207"/>
      <c r="AI11" s="207"/>
      <c r="AJ11" s="207"/>
      <c r="AK11" s="207">
        <v>34.68</v>
      </c>
      <c r="AL11" s="207">
        <v>52.02</v>
      </c>
      <c r="AM11" s="207">
        <v>87.3</v>
      </c>
      <c r="AN11" s="207">
        <v>69.56</v>
      </c>
      <c r="AO11" s="207">
        <v>87.3</v>
      </c>
      <c r="AP11" s="207">
        <v>87.3</v>
      </c>
      <c r="AQ11" s="207">
        <v>87.3</v>
      </c>
      <c r="AR11" s="207">
        <v>87.3</v>
      </c>
      <c r="AS11" s="207">
        <v>67.9</v>
      </c>
      <c r="AT11" s="207">
        <v>85.36000000000001</v>
      </c>
      <c r="AU11" s="207">
        <v>87.30000000000001</v>
      </c>
      <c r="AV11" s="207">
        <v>69.84</v>
      </c>
      <c r="AW11" s="207">
        <v>87.30000000000001</v>
      </c>
      <c r="AX11" s="207">
        <v>87.30000000000001</v>
      </c>
      <c r="AY11" s="207">
        <v>87.30000000000001</v>
      </c>
      <c r="AZ11" s="207">
        <v>87.30000000000001</v>
      </c>
      <c r="BA11" s="207">
        <v>69.84</v>
      </c>
      <c r="BB11" s="207">
        <v>69.84</v>
      </c>
      <c r="BC11" s="210"/>
      <c r="BD11" s="210"/>
      <c r="BE11" s="210"/>
      <c r="BF11" s="215">
        <f>Z11-AF11</f>
      </c>
      <c r="BG11" s="214">
        <f>IFERROR(AF11/Z11,0)</f>
      </c>
      <c r="BH11" s="214">
        <f>IFERROR(AF11/X11,0)</f>
      </c>
      <c r="BI11" s="214">
        <f>X11/SUM(X$11:X$17)</f>
      </c>
      <c r="BJ11" s="214">
        <f>BF11/SUM(BF$3:BF208)</f>
      </c>
      <c r="BK11" s="217">
        <f>BF11/'R&amp;H Portfolio'!Q$10</f>
      </c>
      <c r="BL11" s="215">
        <f>BI11*P11</f>
      </c>
      <c r="BM11" s="73"/>
      <c r="BN11" s="220">
        <f>IF(BM11="YES", BF11, "")</f>
      </c>
      <c r="BO11" s="17"/>
    </row>
    <row x14ac:dyDescent="0.25" r="12" customHeight="1" ht="16">
      <c r="A12" s="366">
        <v>25568.79196759259</v>
      </c>
      <c r="B12" s="367" t="s">
        <v>662</v>
      </c>
      <c r="C12" s="368" t="s">
        <v>663</v>
      </c>
      <c r="D12" s="369" t="s">
        <v>664</v>
      </c>
      <c r="E12" s="369" t="s">
        <v>665</v>
      </c>
      <c r="F12" s="369" t="s">
        <v>160</v>
      </c>
      <c r="G12" s="370">
        <v>575</v>
      </c>
      <c r="H12" s="371">
        <v>1.3</v>
      </c>
      <c r="I12" s="372">
        <v>0.15</v>
      </c>
      <c r="J12" s="373">
        <f>H12+I12</f>
      </c>
      <c r="K12" s="73">
        <v>55000</v>
      </c>
      <c r="L12" s="73">
        <f>K12*I12</f>
      </c>
      <c r="M12" s="73">
        <f>K12*J12</f>
      </c>
      <c r="N12" s="374">
        <v>140</v>
      </c>
      <c r="O12" s="374"/>
      <c r="P12" s="375">
        <f>IF(ISBLANK(N12),O12/4.3,N12/20)</f>
      </c>
      <c r="Q12" s="73">
        <v>5000</v>
      </c>
      <c r="R12" s="73"/>
      <c r="S12" s="369" t="s">
        <v>82</v>
      </c>
      <c r="T12" s="73">
        <f>IF(ISBLANK(R12),0,X12)</f>
      </c>
      <c r="U12" s="73">
        <f>IF(ISBLANK(S12),0,X12)</f>
      </c>
      <c r="V12" s="376">
        <f>IFERROR(Q12/K12,0)</f>
      </c>
      <c r="W12" s="73">
        <f>IFERROR(L12*V12,0)</f>
      </c>
      <c r="X12" s="73">
        <f>IFERROR(Q12+W12,0)</f>
      </c>
      <c r="Y12" s="73">
        <f>IFERROR(M12*V12,0)</f>
      </c>
      <c r="Z12" s="73">
        <f>Y12-(Y12*$B$1)</f>
      </c>
      <c r="AA12" s="377">
        <f>Z12/X12</f>
      </c>
      <c r="AB12" s="220">
        <f>IF(ISBLANK(N12),Y12/O12,Y12/N12)</f>
      </c>
      <c r="AC12" s="220">
        <f>IFERROR(-1*(AB12*B$1),0)</f>
      </c>
      <c r="AD12" s="220">
        <f>IFERROR(SUM(AB12:AC12),0)</f>
      </c>
      <c r="AE12" s="220">
        <f>IF(ISBLANK(N12),AD12,AD12*5)</f>
      </c>
      <c r="AF12" s="220">
        <f>SUM(AG12:BE12)</f>
      </c>
      <c r="AG12" s="372"/>
      <c r="AH12" s="372"/>
      <c r="AI12" s="372"/>
      <c r="AJ12" s="372"/>
      <c r="AK12" s="372"/>
      <c r="AL12" s="372"/>
      <c r="AM12" s="372">
        <v>251.15</v>
      </c>
      <c r="AN12" s="372">
        <v>136.59</v>
      </c>
      <c r="AO12" s="372">
        <v>141.43</v>
      </c>
      <c r="AP12" s="372">
        <v>-3.08</v>
      </c>
      <c r="AQ12" s="372"/>
      <c r="AR12" s="372"/>
      <c r="AS12" s="372">
        <v>3.08</v>
      </c>
      <c r="AT12" s="372"/>
      <c r="AU12" s="372"/>
      <c r="AV12" s="372"/>
      <c r="AW12" s="372"/>
      <c r="AX12" s="372"/>
      <c r="AY12" s="372"/>
      <c r="AZ12" s="372"/>
      <c r="BA12" s="372"/>
      <c r="BB12" s="372"/>
      <c r="BC12" s="374"/>
      <c r="BD12" s="374"/>
      <c r="BE12" s="374"/>
      <c r="BF12" s="220">
        <f>Z12-AF12</f>
      </c>
      <c r="BG12" s="376">
        <f>IFERROR(AF12/Z12,0)</f>
      </c>
      <c r="BH12" s="376">
        <f>IFERROR(AF12/X12,0)</f>
      </c>
      <c r="BI12" s="376">
        <f>X12/SUM(X$11:X$17)</f>
      </c>
      <c r="BJ12" s="376">
        <f>BF12/SUM(BF$3:BF209)</f>
      </c>
      <c r="BK12" s="378">
        <f>BF12/'R&amp;H Portfolio'!Q$10</f>
      </c>
      <c r="BL12" s="220">
        <f>BI12*P12</f>
      </c>
      <c r="BM12" s="369" t="s">
        <v>364</v>
      </c>
      <c r="BN12" s="220">
        <f>IF(BM12="YES", BF12, "")</f>
      </c>
      <c r="BO12" s="366">
        <v>25568.79196759259</v>
      </c>
    </row>
    <row x14ac:dyDescent="0.25" r="13" customHeight="1" ht="16">
      <c r="A13" s="202">
        <v>25568.79196759259</v>
      </c>
      <c r="B13" s="203" t="s">
        <v>666</v>
      </c>
      <c r="C13" s="204" t="s">
        <v>667</v>
      </c>
      <c r="D13" s="70" t="s">
        <v>668</v>
      </c>
      <c r="E13" s="70" t="s">
        <v>669</v>
      </c>
      <c r="F13" s="70" t="s">
        <v>150</v>
      </c>
      <c r="G13" s="205">
        <v>700</v>
      </c>
      <c r="H13" s="206">
        <v>1.31</v>
      </c>
      <c r="I13" s="207">
        <v>0.12</v>
      </c>
      <c r="J13" s="208">
        <f>H13+I13</f>
      </c>
      <c r="K13" s="209">
        <v>50000</v>
      </c>
      <c r="L13" s="58">
        <f>K13*I13</f>
      </c>
      <c r="M13" s="58">
        <f>K13*J13</f>
      </c>
      <c r="N13" s="16"/>
      <c r="O13" s="210">
        <v>40</v>
      </c>
      <c r="P13" s="211">
        <f>IF(ISBLANK(N13),O13/4.3,N13/20)</f>
      </c>
      <c r="Q13" s="209">
        <v>5000</v>
      </c>
      <c r="R13" s="212" t="s">
        <v>133</v>
      </c>
      <c r="S13" s="209"/>
      <c r="T13" s="213">
        <f>IF(ISBLANK(R13),0,X13)</f>
      </c>
      <c r="U13" s="213">
        <f>IF(ISBLANK(S13),0,X13)</f>
      </c>
      <c r="V13" s="214">
        <f>IFERROR(Q13/K13,0)</f>
      </c>
      <c r="W13" s="58">
        <f>IFERROR(L13*V13,0)</f>
      </c>
      <c r="X13" s="213">
        <f>IFERROR(Q13+W13,0)</f>
      </c>
      <c r="Y13" s="213">
        <f>IFERROR(M13*V13,0)</f>
      </c>
      <c r="Z13" s="213">
        <f>Y13-(Y13*$B$1)</f>
      </c>
      <c r="AA13" s="67">
        <f>IFERROR(Z13/X13,"")</f>
      </c>
      <c r="AB13" s="215">
        <f>IF(ISBLANK(N13),Y13/O13,Y13/N13)</f>
      </c>
      <c r="AC13" s="215">
        <f>IFERROR(-1*(AB13*B$1),0)</f>
      </c>
      <c r="AD13" s="215">
        <f>IFERROR(SUM(AB13:AC13),0)</f>
      </c>
      <c r="AE13" s="215">
        <f>IF(ISBLANK(N13),AD13,AD13*5)</f>
      </c>
      <c r="AF13" s="216">
        <f>SUM(AG13:BE13)</f>
      </c>
      <c r="AG13" s="207"/>
      <c r="AH13" s="207"/>
      <c r="AI13" s="207"/>
      <c r="AJ13" s="207"/>
      <c r="AK13" s="207"/>
      <c r="AL13" s="207"/>
      <c r="AM13" s="207">
        <v>173.38</v>
      </c>
      <c r="AN13" s="207">
        <v>157.86</v>
      </c>
      <c r="AO13" s="207">
        <v>173.38</v>
      </c>
      <c r="AP13" s="207">
        <v>173.38</v>
      </c>
      <c r="AQ13" s="207">
        <v>173.38</v>
      </c>
      <c r="AR13" s="207">
        <v>173.38</v>
      </c>
      <c r="AS13" s="207">
        <v>173.38</v>
      </c>
      <c r="AT13" s="207">
        <v>173.38</v>
      </c>
      <c r="AU13" s="207">
        <v>173.38</v>
      </c>
      <c r="AV13" s="207">
        <v>173.38</v>
      </c>
      <c r="AW13" s="207">
        <v>4344.13</v>
      </c>
      <c r="AX13" s="336"/>
      <c r="AY13" s="336"/>
      <c r="AZ13" s="336"/>
      <c r="BA13" s="336"/>
      <c r="BB13" s="336"/>
      <c r="BC13" s="365"/>
      <c r="BD13" s="365"/>
      <c r="BE13" s="365"/>
      <c r="BF13" s="215">
        <f>Z13-AF13</f>
      </c>
      <c r="BG13" s="214">
        <f>IFERROR(AF13/Z13,0)</f>
      </c>
      <c r="BH13" s="214">
        <f>IFERROR(AF13/X13,0)</f>
      </c>
      <c r="BI13" s="214">
        <f>X13/SUM(X$11:X$17)</f>
      </c>
      <c r="BJ13" s="214">
        <f>BF13/SUM(BF$3:BF210)</f>
      </c>
      <c r="BK13" s="217">
        <f>BF13/'R&amp;H Portfolio'!Q$10</f>
      </c>
      <c r="BL13" s="215">
        <f>BI13*P13</f>
      </c>
      <c r="BM13" s="73"/>
      <c r="BN13" s="220">
        <f>IF(BM13="YES", BF13, "")</f>
      </c>
      <c r="BO13" s="17"/>
    </row>
    <row x14ac:dyDescent="0.25" r="14" customHeight="1" ht="16">
      <c r="A14" s="202">
        <v>25568.79196759259</v>
      </c>
      <c r="B14" s="203" t="s">
        <v>670</v>
      </c>
      <c r="C14" s="204" t="s">
        <v>671</v>
      </c>
      <c r="D14" s="70" t="s">
        <v>672</v>
      </c>
      <c r="E14" s="70" t="s">
        <v>673</v>
      </c>
      <c r="F14" s="70" t="s">
        <v>226</v>
      </c>
      <c r="G14" s="205">
        <v>737</v>
      </c>
      <c r="H14" s="206">
        <v>1.31</v>
      </c>
      <c r="I14" s="207">
        <v>0.08</v>
      </c>
      <c r="J14" s="208">
        <f>H14+I14</f>
      </c>
      <c r="K14" s="209">
        <v>100000</v>
      </c>
      <c r="L14" s="58">
        <f>K14*I14</f>
      </c>
      <c r="M14" s="58">
        <f>K14*J14</f>
      </c>
      <c r="N14" s="210">
        <v>200</v>
      </c>
      <c r="O14" s="16"/>
      <c r="P14" s="211">
        <f>IF(ISBLANK(N14),O14/4.3,N14/20)</f>
      </c>
      <c r="Q14" s="209">
        <v>7000</v>
      </c>
      <c r="R14" s="212" t="s">
        <v>133</v>
      </c>
      <c r="S14" s="3"/>
      <c r="T14" s="213">
        <f>IF(ISBLANK(R14),0,X14)</f>
      </c>
      <c r="U14" s="213">
        <f>IF(ISBLANK(S14),0,X14)</f>
      </c>
      <c r="V14" s="214">
        <f>IFERROR(Q14/K14,0)</f>
      </c>
      <c r="W14" s="58">
        <f>IFERROR(L14*V14,0)</f>
      </c>
      <c r="X14" s="213">
        <f>IFERROR(Q14+W14,0)</f>
      </c>
      <c r="Y14" s="213">
        <f>IFERROR(M14*V14,0)</f>
      </c>
      <c r="Z14" s="213">
        <f>Y14-(Y14*$B$1)</f>
      </c>
      <c r="AA14" s="67">
        <f>IFERROR(Z14/X14,"")</f>
      </c>
      <c r="AB14" s="215">
        <f>IF(ISBLANK(N14),Y14/O14,Y14/N14)</f>
      </c>
      <c r="AC14" s="215">
        <f>IFERROR(-1*(AB14*B$1),0)</f>
      </c>
      <c r="AD14" s="215">
        <f>IFERROR(SUM(AB14:AC14),0)</f>
      </c>
      <c r="AE14" s="215">
        <f>IF(ISBLANK(N14),AD14,AD14*5)</f>
      </c>
      <c r="AF14" s="216">
        <f>SUM(AG14:BE14)</f>
      </c>
      <c r="AG14" s="207"/>
      <c r="AH14" s="207"/>
      <c r="AI14" s="207"/>
      <c r="AJ14" s="207"/>
      <c r="AK14" s="207"/>
      <c r="AL14" s="207"/>
      <c r="AM14" s="207"/>
      <c r="AN14" s="207">
        <v>130.7</v>
      </c>
      <c r="AO14" s="207">
        <v>94.38</v>
      </c>
      <c r="AP14" s="207">
        <v>235.95</v>
      </c>
      <c r="AQ14" s="207">
        <v>235.95</v>
      </c>
      <c r="AR14" s="207">
        <v>235.95</v>
      </c>
      <c r="AS14" s="207">
        <v>235.95</v>
      </c>
      <c r="AT14" s="207">
        <v>235.95</v>
      </c>
      <c r="AU14" s="207">
        <v>235.95</v>
      </c>
      <c r="AV14" s="207">
        <v>235.95</v>
      </c>
      <c r="AW14" s="207">
        <v>235.95</v>
      </c>
      <c r="AX14" s="207">
        <v>235.95</v>
      </c>
      <c r="AY14" s="207">
        <v>235.95</v>
      </c>
      <c r="AZ14" s="207">
        <v>235.95</v>
      </c>
      <c r="BA14" s="207">
        <v>235.95</v>
      </c>
      <c r="BB14" s="207">
        <v>235.95</v>
      </c>
      <c r="BC14" s="210"/>
      <c r="BD14" s="210"/>
      <c r="BE14" s="210"/>
      <c r="BF14" s="215">
        <f>Z14-AF14</f>
      </c>
      <c r="BG14" s="214">
        <f>IFERROR(AF14/Z14,0)</f>
      </c>
      <c r="BH14" s="214">
        <f>IFERROR(AF14/X14,0)</f>
      </c>
      <c r="BI14" s="214">
        <f>X14/SUM(X$11:X$17)</f>
      </c>
      <c r="BJ14" s="214">
        <f>BF14/SUM(BF$3:BF211)</f>
      </c>
      <c r="BK14" s="217">
        <f>BF14/'R&amp;H Portfolio'!Q$10</f>
      </c>
      <c r="BL14" s="215">
        <f>BI14*P14</f>
      </c>
      <c r="BM14" s="73"/>
      <c r="BN14" s="220">
        <f>IF(BM14="YES", BF14, "")</f>
      </c>
      <c r="BO14" s="17"/>
    </row>
    <row x14ac:dyDescent="0.25" r="15" customHeight="1" ht="16">
      <c r="A15" s="202">
        <v>25568.79196759259</v>
      </c>
      <c r="B15" s="203" t="s">
        <v>674</v>
      </c>
      <c r="C15" s="204" t="s">
        <v>675</v>
      </c>
      <c r="D15" s="70" t="s">
        <v>676</v>
      </c>
      <c r="E15" s="70" t="s">
        <v>406</v>
      </c>
      <c r="F15" s="70" t="s">
        <v>343</v>
      </c>
      <c r="G15" s="205">
        <v>640</v>
      </c>
      <c r="H15" s="206">
        <v>1.3</v>
      </c>
      <c r="I15" s="207">
        <v>0.15</v>
      </c>
      <c r="J15" s="208">
        <f>H15+I15</f>
      </c>
      <c r="K15" s="209">
        <v>57000</v>
      </c>
      <c r="L15" s="58">
        <f>K15*I15</f>
      </c>
      <c r="M15" s="58">
        <f>K15*J15</f>
      </c>
      <c r="N15" s="210">
        <v>210</v>
      </c>
      <c r="O15" s="16"/>
      <c r="P15" s="211">
        <f>IF(ISBLANK(N15),O15/4.3,N15/20)</f>
      </c>
      <c r="Q15" s="209">
        <v>5000</v>
      </c>
      <c r="R15" s="212" t="s">
        <v>133</v>
      </c>
      <c r="S15" s="209"/>
      <c r="T15" s="213">
        <f>IF(ISBLANK(R15),0,X15)</f>
      </c>
      <c r="U15" s="213">
        <f>IF(ISBLANK(S15),0,X15)</f>
      </c>
      <c r="V15" s="214">
        <f>IFERROR(Q15/K15,0)</f>
      </c>
      <c r="W15" s="58">
        <f>IFERROR(L15*V15,0)</f>
      </c>
      <c r="X15" s="213">
        <f>IFERROR(Q15+W15,0)</f>
      </c>
      <c r="Y15" s="213">
        <f>IFERROR(M15*V15,0)</f>
      </c>
      <c r="Z15" s="213">
        <f>Y15-(Y15*$B$1)</f>
      </c>
      <c r="AA15" s="67">
        <f>IFERROR(Z15/X15,"")</f>
      </c>
      <c r="AB15" s="215">
        <f>IF(ISBLANK(N15),Y15/O15,Y15/N15)</f>
      </c>
      <c r="AC15" s="215">
        <f>IFERROR(-1*(AB15*B$1),0)</f>
      </c>
      <c r="AD15" s="215">
        <f>IFERROR(SUM(AB15:AC15),0)</f>
      </c>
      <c r="AE15" s="215">
        <f>IF(ISBLANK(N15),AD15,AD15*5)</f>
      </c>
      <c r="AF15" s="216">
        <f>SUM(AG15:BE15)</f>
      </c>
      <c r="AG15" s="207"/>
      <c r="AH15" s="207"/>
      <c r="AI15" s="207"/>
      <c r="AJ15" s="207"/>
      <c r="AK15" s="207"/>
      <c r="AL15" s="207"/>
      <c r="AM15" s="207"/>
      <c r="AN15" s="207"/>
      <c r="AO15" s="207"/>
      <c r="AP15" s="207">
        <v>128.71</v>
      </c>
      <c r="AQ15" s="207">
        <v>167.4100000000001</v>
      </c>
      <c r="AR15" s="207">
        <v>167.4100000000001</v>
      </c>
      <c r="AS15" s="207">
        <v>167.4100000000001</v>
      </c>
      <c r="AT15" s="207">
        <v>160.61</v>
      </c>
      <c r="AU15" s="207">
        <v>73.92000000000002</v>
      </c>
      <c r="AV15" s="207">
        <v>70.94000000000001</v>
      </c>
      <c r="AW15" s="207">
        <v>144.03</v>
      </c>
      <c r="AX15" s="207">
        <v>83.71</v>
      </c>
      <c r="AY15" s="207">
        <v>83.71</v>
      </c>
      <c r="AZ15" s="207">
        <v>83.71</v>
      </c>
      <c r="BA15" s="207">
        <v>4.239999999999999</v>
      </c>
      <c r="BB15" s="207">
        <v>61.02</v>
      </c>
      <c r="BC15" s="210"/>
      <c r="BD15" s="210"/>
      <c r="BE15" s="210"/>
      <c r="BF15" s="215">
        <f>Z15-AF15</f>
      </c>
      <c r="BG15" s="214">
        <f>IFERROR(AF15/Z15,0)</f>
      </c>
      <c r="BH15" s="214">
        <f>IFERROR(AF15/X15,0)</f>
      </c>
      <c r="BI15" s="214">
        <f>X15/SUM(X$11:X$17)</f>
      </c>
      <c r="BJ15" s="214">
        <f>BF15/SUM(BF$3:BF212)</f>
      </c>
      <c r="BK15" s="217">
        <f>BF15/'R&amp;H Portfolio'!Q$10</f>
      </c>
      <c r="BL15" s="215">
        <f>BI15*P15</f>
      </c>
      <c r="BM15" s="73"/>
      <c r="BN15" s="220">
        <f>IF(BM15="YES", BF15, "")</f>
      </c>
      <c r="BO15" s="17"/>
    </row>
    <row x14ac:dyDescent="0.25" r="16" customHeight="1" ht="16">
      <c r="A16" s="202">
        <v>25568.79196759259</v>
      </c>
      <c r="B16" s="203" t="s">
        <v>677</v>
      </c>
      <c r="C16" s="204" t="s">
        <v>678</v>
      </c>
      <c r="D16" s="70" t="s">
        <v>679</v>
      </c>
      <c r="E16" s="70" t="s">
        <v>164</v>
      </c>
      <c r="F16" s="70" t="s">
        <v>680</v>
      </c>
      <c r="G16" s="205">
        <v>675</v>
      </c>
      <c r="H16" s="206">
        <v>1.31</v>
      </c>
      <c r="I16" s="207">
        <v>0.15</v>
      </c>
      <c r="J16" s="208">
        <f>H16+I16</f>
      </c>
      <c r="K16" s="209">
        <v>90000</v>
      </c>
      <c r="L16" s="58">
        <f>K16*I16</f>
      </c>
      <c r="M16" s="58">
        <f>K16*J16</f>
      </c>
      <c r="N16" s="210">
        <v>200</v>
      </c>
      <c r="O16" s="16"/>
      <c r="P16" s="211">
        <f>IF(ISBLANK(N16),O16/4.3,N16/20)</f>
      </c>
      <c r="Q16" s="209">
        <v>7000</v>
      </c>
      <c r="R16" s="212" t="s">
        <v>133</v>
      </c>
      <c r="S16" s="3"/>
      <c r="T16" s="213">
        <f>IF(ISBLANK(R16),0,X16)</f>
      </c>
      <c r="U16" s="213">
        <f>IF(ISBLANK(S16),0,X16)</f>
      </c>
      <c r="V16" s="214">
        <f>IFERROR(Q16/K16,0)</f>
      </c>
      <c r="W16" s="58">
        <f>IFERROR(L16*V16,0)</f>
      </c>
      <c r="X16" s="213">
        <f>IFERROR(Q16+W16,0)</f>
      </c>
      <c r="Y16" s="213">
        <f>IFERROR(M16*V16,0)</f>
      </c>
      <c r="Z16" s="213">
        <f>Y16-(Y16*$B$1)</f>
      </c>
      <c r="AA16" s="67">
        <f>IFERROR(Z16/X16,"")</f>
      </c>
      <c r="AB16" s="215">
        <f>IF(ISBLANK(N16),Y16/O16,Y16/N16)</f>
      </c>
      <c r="AC16" s="215">
        <f>IFERROR(-1*(AB16*B$1),0)</f>
      </c>
      <c r="AD16" s="215">
        <f>IFERROR(SUM(AB16:AC16),0)</f>
      </c>
      <c r="AE16" s="215">
        <f>IF(ISBLANK(N16),AD16,AD16*5)</f>
      </c>
      <c r="AF16" s="216">
        <f>SUM(AG16:BE16)</f>
      </c>
      <c r="AG16" s="207"/>
      <c r="AH16" s="207"/>
      <c r="AI16" s="207"/>
      <c r="AJ16" s="207"/>
      <c r="AK16" s="207"/>
      <c r="AL16" s="207"/>
      <c r="AM16" s="207"/>
      <c r="AN16" s="207"/>
      <c r="AO16" s="207">
        <v>186.18</v>
      </c>
      <c r="AP16" s="207">
        <v>198.24</v>
      </c>
      <c r="AQ16" s="207">
        <v>247.8</v>
      </c>
      <c r="AR16" s="207">
        <v>247.8</v>
      </c>
      <c r="AS16" s="207">
        <v>247.8</v>
      </c>
      <c r="AT16" s="207">
        <v>247.8</v>
      </c>
      <c r="AU16" s="207">
        <v>247.8</v>
      </c>
      <c r="AV16" s="207">
        <v>198.24</v>
      </c>
      <c r="AW16" s="207">
        <v>247.8</v>
      </c>
      <c r="AX16" s="207">
        <v>195.6</v>
      </c>
      <c r="AY16" s="207">
        <v>247.8</v>
      </c>
      <c r="AZ16" s="207">
        <v>247.8</v>
      </c>
      <c r="BA16" s="207">
        <v>198.24</v>
      </c>
      <c r="BB16" s="207">
        <v>146.04</v>
      </c>
      <c r="BC16" s="210"/>
      <c r="BD16" s="210"/>
      <c r="BE16" s="210"/>
      <c r="BF16" s="215">
        <f>Z16-AF16</f>
      </c>
      <c r="BG16" s="214">
        <f>IFERROR(AF16/Y16,0)</f>
      </c>
      <c r="BH16" s="214">
        <f>IFERROR(AF16/X16,0)</f>
      </c>
      <c r="BI16" s="214">
        <f>X16/SUM(X$11:X$17)</f>
      </c>
      <c r="BJ16" s="214">
        <f>BF16/SUM(BF$3:BF213)</f>
      </c>
      <c r="BK16" s="217">
        <f>BF16/'R&amp;H Portfolio'!Q$10</f>
      </c>
      <c r="BL16" s="215">
        <f>BI16*P16</f>
      </c>
      <c r="BM16" s="73"/>
      <c r="BN16" s="220">
        <f>IF(BM16="YES", BF16, "")</f>
      </c>
      <c r="BO16" s="17"/>
    </row>
    <row x14ac:dyDescent="0.25" r="17" customHeight="1" ht="16">
      <c r="A17" s="223">
        <v>25568.79196759259</v>
      </c>
      <c r="B17" s="224" t="s">
        <v>681</v>
      </c>
      <c r="C17" s="225" t="s">
        <v>682</v>
      </c>
      <c r="D17" s="226" t="s">
        <v>683</v>
      </c>
      <c r="E17" s="226" t="s">
        <v>684</v>
      </c>
      <c r="F17" s="226" t="s">
        <v>641</v>
      </c>
      <c r="G17" s="245">
        <v>575</v>
      </c>
      <c r="H17" s="228">
        <v>1.3</v>
      </c>
      <c r="I17" s="229">
        <v>0.15</v>
      </c>
      <c r="J17" s="230">
        <f>H17+I17</f>
      </c>
      <c r="K17" s="231">
        <v>70000</v>
      </c>
      <c r="L17" s="232">
        <f>K17*I17</f>
      </c>
      <c r="M17" s="232">
        <f>K17*J17</f>
      </c>
      <c r="N17" s="233">
        <v>170</v>
      </c>
      <c r="O17" s="233"/>
      <c r="P17" s="234">
        <f>IF(ISBLANK(N17),O17/4.3,N17/20)</f>
      </c>
      <c r="Q17" s="231">
        <v>7000</v>
      </c>
      <c r="R17" s="231"/>
      <c r="S17" s="246" t="s">
        <v>82</v>
      </c>
      <c r="T17" s="239">
        <f>IF(ISBLANK(R17),0,X17)</f>
      </c>
      <c r="U17" s="239">
        <f>IF(ISBLANK(S17),0,X17)</f>
      </c>
      <c r="V17" s="238">
        <f>IFERROR(Q17/K17,0)</f>
      </c>
      <c r="W17" s="232">
        <f>IFERROR(L17*V17,0)</f>
      </c>
      <c r="X17" s="239">
        <f>IFERROR(Q17+W17,0)</f>
      </c>
      <c r="Y17" s="239">
        <f>IFERROR(M17*V17,0)</f>
      </c>
      <c r="Z17" s="239">
        <f>Y17-(Y17*$B$1)</f>
      </c>
      <c r="AA17" s="240">
        <f>IFERROR(Z17/X17,"")</f>
      </c>
      <c r="AB17" s="241">
        <f>IF(ISBLANK(N17),Y17/O17,Y17/N17)</f>
      </c>
      <c r="AC17" s="241">
        <f>IFERROR(-1*(AB17*B$1),0)</f>
      </c>
      <c r="AD17" s="241">
        <f>IFERROR(SUM(AB17:AC17),0)</f>
      </c>
      <c r="AE17" s="241">
        <f>IF(ISBLANK(N17),AD17,AD17*5)</f>
      </c>
      <c r="AF17" s="242">
        <f>SUM(AG17:BE17)</f>
      </c>
      <c r="AG17" s="229"/>
      <c r="AH17" s="229"/>
      <c r="AI17" s="229"/>
      <c r="AJ17" s="229"/>
      <c r="AK17" s="229"/>
      <c r="AL17" s="229"/>
      <c r="AM17" s="229"/>
      <c r="AN17" s="229"/>
      <c r="AO17" s="229">
        <v>161.61</v>
      </c>
      <c r="AP17" s="229">
        <v>231.64</v>
      </c>
      <c r="AQ17" s="229">
        <v>228.24</v>
      </c>
      <c r="AR17" s="229">
        <v>166.94</v>
      </c>
      <c r="AS17" s="229">
        <v>289.55</v>
      </c>
      <c r="AT17" s="229">
        <v>-3.4</v>
      </c>
      <c r="AU17" s="229">
        <v>214.66</v>
      </c>
      <c r="AV17" s="229">
        <v>47.72</v>
      </c>
      <c r="AW17" s="229">
        <v>105.63</v>
      </c>
      <c r="AX17" s="229">
        <v>166.94</v>
      </c>
      <c r="AY17" s="229"/>
      <c r="AZ17" s="229">
        <v>149.96</v>
      </c>
      <c r="BA17" s="229">
        <v>51.12</v>
      </c>
      <c r="BB17" s="229">
        <v>57.91</v>
      </c>
      <c r="BC17" s="233"/>
      <c r="BD17" s="233"/>
      <c r="BE17" s="233"/>
      <c r="BF17" s="215">
        <f>Z17-AF17</f>
      </c>
      <c r="BG17" s="238">
        <f>IFERROR(AF17/Y17,0)</f>
      </c>
      <c r="BH17" s="214">
        <f>IFERROR(AF17/X17,0)</f>
      </c>
      <c r="BI17" s="214">
        <f>X17/SUM(X$11:X$17)</f>
      </c>
      <c r="BJ17" s="214">
        <f>BF17/SUM(BF$3:BF214)</f>
      </c>
      <c r="BK17" s="217">
        <f>BF17/'R&amp;H Portfolio'!Q$10</f>
      </c>
      <c r="BL17" s="241">
        <f>BI17*P17</f>
      </c>
      <c r="BM17" s="73"/>
      <c r="BN17" s="220">
        <f>IF(BM17="YES", BF17, "")</f>
      </c>
      <c r="BO17" s="17"/>
    </row>
    <row x14ac:dyDescent="0.25" r="18" customHeight="1" ht="16">
      <c r="A18" s="202">
        <v>25568.79196759259</v>
      </c>
      <c r="B18" s="203" t="s">
        <v>685</v>
      </c>
      <c r="C18" s="204" t="s">
        <v>686</v>
      </c>
      <c r="D18" s="70" t="s">
        <v>687</v>
      </c>
      <c r="E18" s="70" t="s">
        <v>688</v>
      </c>
      <c r="F18" s="70" t="s">
        <v>160</v>
      </c>
      <c r="G18" s="205">
        <v>637</v>
      </c>
      <c r="H18" s="206">
        <v>1.28</v>
      </c>
      <c r="I18" s="207">
        <v>0.13</v>
      </c>
      <c r="J18" s="208">
        <f>H18+I18</f>
      </c>
      <c r="K18" s="209">
        <v>40000</v>
      </c>
      <c r="L18" s="58">
        <f>K18*I18</f>
      </c>
      <c r="M18" s="58">
        <f>K18*J18</f>
      </c>
      <c r="N18" s="210">
        <v>180</v>
      </c>
      <c r="O18" s="16"/>
      <c r="P18" s="211">
        <f>IF(ISBLANK(N18),O18/4.3,N18/20)</f>
      </c>
      <c r="Q18" s="209">
        <v>4000</v>
      </c>
      <c r="R18" s="212" t="s">
        <v>133</v>
      </c>
      <c r="S18" s="3"/>
      <c r="T18" s="213">
        <f>IF(ISBLANK(R18),0,X18)</f>
      </c>
      <c r="U18" s="213">
        <f>IF(ISBLANK(S18),0,X18)</f>
      </c>
      <c r="V18" s="214">
        <f>IFERROR(Q18/K18,0)</f>
      </c>
      <c r="W18" s="58">
        <f>IFERROR(L18*V18,0)</f>
      </c>
      <c r="X18" s="213">
        <f>IFERROR(Q18+W18,0)</f>
      </c>
      <c r="Y18" s="213">
        <f>IFERROR(M18*V18,0)</f>
      </c>
      <c r="Z18" s="213">
        <f>Y18-(Y18*$B$1)</f>
      </c>
      <c r="AA18" s="67">
        <f>IFERROR(Z18/X18,"")</f>
      </c>
      <c r="AB18" s="215">
        <f>IF(ISBLANK(N18),Y18/O18,Y18/N18)</f>
      </c>
      <c r="AC18" s="215">
        <f>IFERROR(-1*(AB18*B$1),0)</f>
      </c>
      <c r="AD18" s="215">
        <f>IFERROR(SUM(AB18:AC18),0)</f>
      </c>
      <c r="AE18" s="215">
        <f>IF(ISBLANK(N18),AD18,AD18*5)</f>
      </c>
      <c r="AF18" s="216">
        <f>SUM(AG18:BE18)</f>
      </c>
      <c r="AG18" s="207"/>
      <c r="AH18" s="207"/>
      <c r="AI18" s="207"/>
      <c r="AJ18" s="207"/>
      <c r="AK18" s="207"/>
      <c r="AL18" s="207"/>
      <c r="AM18" s="207"/>
      <c r="AN18" s="207"/>
      <c r="AO18" s="207">
        <v>14.88</v>
      </c>
      <c r="AP18" s="207">
        <v>121.6</v>
      </c>
      <c r="AQ18" s="209">
        <v>152</v>
      </c>
      <c r="AR18" s="209">
        <v>152</v>
      </c>
      <c r="AS18" s="209">
        <v>152</v>
      </c>
      <c r="AT18" s="209">
        <v>152</v>
      </c>
      <c r="AU18" s="209">
        <v>152</v>
      </c>
      <c r="AV18" s="207">
        <v>121.6</v>
      </c>
      <c r="AW18" s="209">
        <v>152</v>
      </c>
      <c r="AX18" s="209">
        <v>152</v>
      </c>
      <c r="AY18" s="209">
        <v>152</v>
      </c>
      <c r="AZ18" s="209">
        <v>152</v>
      </c>
      <c r="BA18" s="207">
        <v>121.6</v>
      </c>
      <c r="BB18" s="207">
        <v>121.6</v>
      </c>
      <c r="BC18" s="210"/>
      <c r="BD18" s="210"/>
      <c r="BE18" s="210"/>
      <c r="BF18" s="215">
        <f>Z18-AF18</f>
      </c>
      <c r="BG18" s="214">
        <f>IFERROR(AF18/Y18,0)</f>
      </c>
      <c r="BH18" s="214">
        <f>IFERROR(AF18/X18,0)</f>
      </c>
      <c r="BI18" s="214">
        <f>X18/SUM(X$18:X$27)</f>
      </c>
      <c r="BJ18" s="214">
        <f>BF18/SUM(BF$3:BF215)</f>
      </c>
      <c r="BK18" s="217">
        <f>BF18/'R&amp;H Portfolio'!Q$10</f>
      </c>
      <c r="BL18" s="215">
        <f>BI18*P18</f>
      </c>
      <c r="BM18" s="73"/>
      <c r="BN18" s="220">
        <f>IF(BM18="YES", BF18, "")</f>
      </c>
      <c r="BO18" s="17"/>
    </row>
    <row x14ac:dyDescent="0.25" r="19" customHeight="1" ht="16">
      <c r="A19" s="202">
        <v>25568.79196759259</v>
      </c>
      <c r="B19" s="203" t="s">
        <v>689</v>
      </c>
      <c r="C19" s="204" t="s">
        <v>690</v>
      </c>
      <c r="D19" s="70" t="s">
        <v>691</v>
      </c>
      <c r="E19" s="70" t="s">
        <v>692</v>
      </c>
      <c r="F19" s="70" t="s">
        <v>197</v>
      </c>
      <c r="G19" s="205">
        <v>575</v>
      </c>
      <c r="H19" s="206">
        <v>1.31</v>
      </c>
      <c r="I19" s="207">
        <v>0.12</v>
      </c>
      <c r="J19" s="208">
        <f>H19+I19</f>
      </c>
      <c r="K19" s="209">
        <v>15000</v>
      </c>
      <c r="L19" s="58">
        <f>K19*I19</f>
      </c>
      <c r="M19" s="58">
        <f>K19*J19</f>
      </c>
      <c r="N19" s="210">
        <v>160</v>
      </c>
      <c r="O19" s="16"/>
      <c r="P19" s="211">
        <f>IF(ISBLANK(N19),O19/4.3,N19/20)</f>
      </c>
      <c r="Q19" s="209">
        <v>3000</v>
      </c>
      <c r="R19" s="3"/>
      <c r="S19" s="212" t="s">
        <v>82</v>
      </c>
      <c r="T19" s="213">
        <f>IF(ISBLANK(R19),0,X19)</f>
      </c>
      <c r="U19" s="213">
        <f>IF(ISBLANK(S19),0,X19)</f>
      </c>
      <c r="V19" s="214">
        <f>IFERROR(Q19/K19,0)</f>
      </c>
      <c r="W19" s="58">
        <f>IFERROR(L19*V19,0)</f>
      </c>
      <c r="X19" s="213">
        <f>IFERROR(Q19+W19,0)</f>
      </c>
      <c r="Y19" s="213">
        <f>IFERROR(M19*V19,0)</f>
      </c>
      <c r="Z19" s="213">
        <f>Y19-(Y19*$B$1)</f>
      </c>
      <c r="AA19" s="67">
        <f>IFERROR(Z19/X19,"")</f>
      </c>
      <c r="AB19" s="215">
        <f>IFERROR(IF(ISBLANK(N19),Y19/O19,Y19/N19),0)</f>
      </c>
      <c r="AC19" s="215">
        <f>IFERROR(-1*(AB19*B$1),0)</f>
      </c>
      <c r="AD19" s="215">
        <f>IFERROR(SUM(AB19:AC19),0)</f>
      </c>
      <c r="AE19" s="215">
        <f>IF(ISBLANK(N19),AD19,AD19*5)</f>
      </c>
      <c r="AF19" s="216">
        <f>SUM(AG19:BE19)</f>
      </c>
      <c r="AG19" s="207"/>
      <c r="AH19" s="207"/>
      <c r="AI19" s="207"/>
      <c r="AJ19" s="207"/>
      <c r="AK19" s="207"/>
      <c r="AL19" s="207"/>
      <c r="AM19" s="207"/>
      <c r="AN19" s="207"/>
      <c r="AO19" s="207"/>
      <c r="AP19" s="207">
        <v>78.03</v>
      </c>
      <c r="AQ19" s="207">
        <v>130.05</v>
      </c>
      <c r="AR19" s="207">
        <v>130.05</v>
      </c>
      <c r="AS19" s="207">
        <v>97.25</v>
      </c>
      <c r="AT19" s="207">
        <v>97.25000000000001</v>
      </c>
      <c r="AU19" s="207">
        <v>130.05</v>
      </c>
      <c r="AV19" s="207">
        <v>104.04</v>
      </c>
      <c r="AW19" s="207">
        <v>130.05</v>
      </c>
      <c r="AX19" s="207">
        <v>130.05</v>
      </c>
      <c r="AY19" s="207">
        <v>38.44</v>
      </c>
      <c r="AZ19" s="207">
        <v>64.45</v>
      </c>
      <c r="BA19" s="207">
        <v>38.44</v>
      </c>
      <c r="BB19" s="207">
        <v>-6.79</v>
      </c>
      <c r="BC19" s="210"/>
      <c r="BD19" s="210"/>
      <c r="BE19" s="210"/>
      <c r="BF19" s="215">
        <f>Z19-AF19</f>
      </c>
      <c r="BG19" s="214">
        <f>IFERROR(AF19/Y19,0)</f>
      </c>
      <c r="BH19" s="214">
        <f>IFERROR(AF19/X19,0)</f>
      </c>
      <c r="BI19" s="214">
        <f>X19/SUM(X$18:X$27)</f>
      </c>
      <c r="BJ19" s="214">
        <f>BF19/SUM(BF$3:BF216)</f>
      </c>
      <c r="BK19" s="217">
        <f>BF19/'R&amp;H Portfolio'!Q$10</f>
      </c>
      <c r="BL19" s="215">
        <f>BI19*P19</f>
      </c>
      <c r="BM19" s="73"/>
      <c r="BN19" s="220">
        <f>IF(BM19="YES", BF19, "")</f>
      </c>
      <c r="BO19" s="17"/>
    </row>
    <row x14ac:dyDescent="0.25" r="20" customHeight="1" ht="16">
      <c r="A20" s="202">
        <v>25568.79196759259</v>
      </c>
      <c r="B20" s="203" t="s">
        <v>693</v>
      </c>
      <c r="C20" s="3"/>
      <c r="D20" s="70" t="s">
        <v>694</v>
      </c>
      <c r="E20" s="70" t="s">
        <v>695</v>
      </c>
      <c r="F20" s="70" t="s">
        <v>274</v>
      </c>
      <c r="G20" s="205">
        <v>751</v>
      </c>
      <c r="H20" s="206">
        <v>1.31</v>
      </c>
      <c r="I20" s="207">
        <v>0.11</v>
      </c>
      <c r="J20" s="208">
        <f>H20+I20</f>
      </c>
      <c r="K20" s="209">
        <v>100000</v>
      </c>
      <c r="L20" s="58">
        <f>K20*I20</f>
      </c>
      <c r="M20" s="58">
        <f>K20*J20</f>
      </c>
      <c r="N20" s="16"/>
      <c r="O20" s="210">
        <v>40</v>
      </c>
      <c r="P20" s="211">
        <f>IF(ISBLANK(N20),O20/4.3,N20/20)</f>
      </c>
      <c r="Q20" s="209">
        <v>10000</v>
      </c>
      <c r="R20" s="212" t="s">
        <v>133</v>
      </c>
      <c r="S20" s="3"/>
      <c r="T20" s="213">
        <f>IF(ISBLANK(R20),0,X20)</f>
      </c>
      <c r="U20" s="213">
        <f>IF(ISBLANK(S20),0,X20)</f>
      </c>
      <c r="V20" s="214">
        <f>IFERROR(Q20/K20,0)</f>
      </c>
      <c r="W20" s="58">
        <f>IFERROR(L20*V20,0)</f>
      </c>
      <c r="X20" s="213">
        <f>IFERROR(Q20+W20,0)</f>
      </c>
      <c r="Y20" s="213">
        <f>IFERROR(M20*V20,0)</f>
      </c>
      <c r="Z20" s="213">
        <f>Y20-(Y20*$B$1)</f>
      </c>
      <c r="AA20" s="67">
        <f>IFERROR(Z20/X20,"")</f>
      </c>
      <c r="AB20" s="215">
        <f>IFERROR(IF(ISBLANK(N20),Y20/O20,Y20/N20),0)</f>
      </c>
      <c r="AC20" s="215">
        <f>IFERROR(-1*(AB20*B$1),0)</f>
      </c>
      <c r="AD20" s="215">
        <f>IFERROR(SUM(AB20:AC20),0)</f>
      </c>
      <c r="AE20" s="215">
        <f>IF(ISBLANK(N20),AD20,AD20*5)</f>
      </c>
      <c r="AF20" s="216">
        <f>SUM(AG20:BE20)</f>
      </c>
      <c r="AG20" s="207"/>
      <c r="AH20" s="207"/>
      <c r="AI20" s="207"/>
      <c r="AJ20" s="207"/>
      <c r="AK20" s="207"/>
      <c r="AL20" s="207"/>
      <c r="AM20" s="207"/>
      <c r="AN20" s="207"/>
      <c r="AO20" s="207"/>
      <c r="AP20" s="207">
        <v>332.22</v>
      </c>
      <c r="AQ20" s="207">
        <v>344.35</v>
      </c>
      <c r="AR20" s="207">
        <v>344.35</v>
      </c>
      <c r="AS20" s="207">
        <v>344.35</v>
      </c>
      <c r="AT20" s="207">
        <v>344.35</v>
      </c>
      <c r="AU20" s="207">
        <v>344.35</v>
      </c>
      <c r="AV20" s="207"/>
      <c r="AW20" s="207">
        <v>688.7</v>
      </c>
      <c r="AX20" s="207">
        <v>344.35</v>
      </c>
      <c r="AY20" s="207">
        <v>344.35</v>
      </c>
      <c r="AZ20" s="207">
        <v>344.35</v>
      </c>
      <c r="BA20" s="207">
        <v>344.35</v>
      </c>
      <c r="BB20" s="207">
        <v>344.35</v>
      </c>
      <c r="BC20" s="210"/>
      <c r="BD20" s="210"/>
      <c r="BE20" s="210"/>
      <c r="BF20" s="215">
        <f>Z20-AF20</f>
      </c>
      <c r="BG20" s="214">
        <f>IFERROR(AF20/Y20,0)</f>
      </c>
      <c r="BH20" s="214">
        <f>IFERROR(AF20/X20,0)</f>
      </c>
      <c r="BI20" s="214">
        <f>X20/SUM(X$18:X$27)</f>
      </c>
      <c r="BJ20" s="214">
        <f>BF20/SUM(BF$3:BF217)</f>
      </c>
      <c r="BK20" s="217">
        <f>BF20/'R&amp;H Portfolio'!Q$10</f>
      </c>
      <c r="BL20" s="215">
        <f>BI20*P20</f>
      </c>
      <c r="BM20" s="73"/>
      <c r="BN20" s="220">
        <f>IF(BM20="YES", BF20, "")</f>
      </c>
      <c r="BO20" s="17"/>
    </row>
    <row x14ac:dyDescent="0.25" r="21" customHeight="1" ht="15">
      <c r="A21" s="202">
        <v>25568.79196759259</v>
      </c>
      <c r="B21" s="203" t="s">
        <v>696</v>
      </c>
      <c r="C21" s="204" t="s">
        <v>697</v>
      </c>
      <c r="D21" s="70" t="s">
        <v>698</v>
      </c>
      <c r="E21" s="70" t="s">
        <v>406</v>
      </c>
      <c r="F21" s="70" t="s">
        <v>160</v>
      </c>
      <c r="G21" s="205">
        <v>700</v>
      </c>
      <c r="H21" s="206">
        <v>1.3</v>
      </c>
      <c r="I21" s="207">
        <v>0.15</v>
      </c>
      <c r="J21" s="208">
        <f>H21+I21</f>
      </c>
      <c r="K21" s="209">
        <v>50000</v>
      </c>
      <c r="L21" s="58">
        <f>K21*I21</f>
      </c>
      <c r="M21" s="58">
        <f>K21*J21</f>
      </c>
      <c r="N21" s="16"/>
      <c r="O21" s="210">
        <v>36</v>
      </c>
      <c r="P21" s="211">
        <f>IF(ISBLANK(N21),O21/4.3,N21/20)</f>
      </c>
      <c r="Q21" s="209">
        <v>5000</v>
      </c>
      <c r="R21" s="212" t="s">
        <v>133</v>
      </c>
      <c r="S21" s="3"/>
      <c r="T21" s="213">
        <f>IF(ISBLANK(R21),0,X21)</f>
      </c>
      <c r="U21" s="213">
        <f>IF(ISBLANK(S21),0,X21)</f>
      </c>
      <c r="V21" s="214">
        <f>IFERROR(Q21/K21,0)</f>
      </c>
      <c r="W21" s="58">
        <f>IFERROR(L21*V21,0)</f>
      </c>
      <c r="X21" s="213">
        <f>IFERROR(Q21+W21,0)</f>
      </c>
      <c r="Y21" s="213">
        <f>IFERROR(M21*V21,0)</f>
      </c>
      <c r="Z21" s="213">
        <f>Y21-(Y21*$B$1)</f>
      </c>
      <c r="AA21" s="67">
        <f>IFERROR(Z21/X21,"")</f>
      </c>
      <c r="AB21" s="215">
        <f>IFERROR(IF(ISBLANK(N21),Y21/O21,Y21/N21),0)</f>
      </c>
      <c r="AC21" s="215">
        <f>IFERROR(-1*(AB21*B$1),0)</f>
      </c>
      <c r="AD21" s="215">
        <f>IFERROR(SUM(AB21:AC21),0)</f>
      </c>
      <c r="AE21" s="215">
        <f>IF(ISBLANK(N21),AD21,AD21*5)</f>
      </c>
      <c r="AF21" s="216">
        <f>SUM(AG21:BE21)</f>
      </c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>
        <v>179.83</v>
      </c>
      <c r="AR21" s="207">
        <v>195.34</v>
      </c>
      <c r="AS21" s="207">
        <v>195.34</v>
      </c>
      <c r="AT21" s="207">
        <v>195.34</v>
      </c>
      <c r="AU21" s="207">
        <v>195.34</v>
      </c>
      <c r="AV21" s="207"/>
      <c r="AW21" s="207">
        <v>390.68</v>
      </c>
      <c r="AX21" s="207">
        <v>195.34</v>
      </c>
      <c r="AY21" s="207">
        <v>195.34</v>
      </c>
      <c r="AZ21" s="207">
        <v>195.34</v>
      </c>
      <c r="BA21" s="207">
        <v>195.34</v>
      </c>
      <c r="BB21" s="207">
        <v>195.34</v>
      </c>
      <c r="BC21" s="210"/>
      <c r="BD21" s="210"/>
      <c r="BE21" s="210"/>
      <c r="BF21" s="215">
        <f>Z21-AF21</f>
      </c>
      <c r="BG21" s="214">
        <f>IFERROR(AF21/Y21,0)</f>
      </c>
      <c r="BH21" s="214">
        <f>IFERROR(AF21/X21,0)</f>
      </c>
      <c r="BI21" s="214">
        <f>X21/SUM(X$18:X$27)</f>
      </c>
      <c r="BJ21" s="214">
        <f>BF21/SUM(BF$3:BF218)</f>
      </c>
      <c r="BK21" s="217">
        <f>BF21/'R&amp;H Portfolio'!Q$10</f>
      </c>
      <c r="BL21" s="215">
        <f>BI21*P21</f>
      </c>
      <c r="BM21" s="73"/>
      <c r="BN21" s="220">
        <f>IF(BM21="YES", BF21, "")</f>
      </c>
      <c r="BO21" s="17"/>
    </row>
    <row x14ac:dyDescent="0.25" r="22" customHeight="1" ht="15">
      <c r="A22" s="202">
        <v>25568.79196759259</v>
      </c>
      <c r="B22" s="203" t="s">
        <v>699</v>
      </c>
      <c r="C22" s="204" t="s">
        <v>700</v>
      </c>
      <c r="D22" s="70" t="s">
        <v>701</v>
      </c>
      <c r="E22" s="70" t="s">
        <v>164</v>
      </c>
      <c r="F22" s="70" t="s">
        <v>335</v>
      </c>
      <c r="G22" s="205">
        <v>575</v>
      </c>
      <c r="H22" s="206">
        <v>1.33</v>
      </c>
      <c r="I22" s="207">
        <v>0.15</v>
      </c>
      <c r="J22" s="208">
        <f>H22+I22</f>
      </c>
      <c r="K22" s="209">
        <v>30000</v>
      </c>
      <c r="L22" s="58">
        <f>K22*I22</f>
      </c>
      <c r="M22" s="58">
        <f>K22*J22</f>
      </c>
      <c r="N22" s="210">
        <v>160</v>
      </c>
      <c r="O22" s="16"/>
      <c r="P22" s="211">
        <f>IF(ISBLANK(N22),O22/4.3,N22/20)</f>
      </c>
      <c r="Q22" s="209">
        <v>3000</v>
      </c>
      <c r="R22" s="212" t="s">
        <v>133</v>
      </c>
      <c r="S22" s="3"/>
      <c r="T22" s="213">
        <f>IF(ISBLANK(R22),0,X22)</f>
      </c>
      <c r="U22" s="213">
        <f>IF(ISBLANK(S22),0,X22)</f>
      </c>
      <c r="V22" s="214">
        <f>IFERROR(Q22/K22,0)</f>
      </c>
      <c r="W22" s="58">
        <f>IFERROR(L22*V22,0)</f>
      </c>
      <c r="X22" s="213">
        <f>IFERROR(Q22+W22,0)</f>
      </c>
      <c r="Y22" s="213">
        <f>IFERROR(M22*V22,0)</f>
      </c>
      <c r="Z22" s="213">
        <f>Y22-(Y22*$B$1)</f>
      </c>
      <c r="AA22" s="67">
        <f>IFERROR(Z22/X22,"")</f>
      </c>
      <c r="AB22" s="215">
        <f>IFERROR(IF(ISBLANK(N22),Y22/O22,Y22/N22),0)</f>
      </c>
      <c r="AC22" s="215">
        <f>IFERROR(-1*(AB22*B$1),0)</f>
      </c>
      <c r="AD22" s="215">
        <f>IFERROR(SUM(AB22:AC22),0)</f>
      </c>
      <c r="AE22" s="215">
        <f>IF(ISBLANK(N22),AD22,AD22*5)</f>
      </c>
      <c r="AF22" s="216">
        <f>SUM(AG22:BE22)</f>
      </c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>
        <v>14.79</v>
      </c>
      <c r="AR22" s="207">
        <v>134.55</v>
      </c>
      <c r="AS22" s="207">
        <v>134.55</v>
      </c>
      <c r="AT22" s="207">
        <v>134.55</v>
      </c>
      <c r="AU22" s="207">
        <v>134.55</v>
      </c>
      <c r="AV22" s="207">
        <v>107.64</v>
      </c>
      <c r="AW22" s="207">
        <v>116.96</v>
      </c>
      <c r="AX22" s="207">
        <v>80.73</v>
      </c>
      <c r="AY22" s="207">
        <v>134.55</v>
      </c>
      <c r="AZ22" s="207">
        <v>134.55</v>
      </c>
      <c r="BA22" s="207">
        <v>107.64</v>
      </c>
      <c r="BB22" s="207">
        <v>23.51</v>
      </c>
      <c r="BC22" s="210"/>
      <c r="BD22" s="210"/>
      <c r="BE22" s="210"/>
      <c r="BF22" s="215">
        <f>Z22-AF22</f>
      </c>
      <c r="BG22" s="214">
        <f>IFERROR(AF22/Y22,0)</f>
      </c>
      <c r="BH22" s="214">
        <f>IFERROR(AF22/X22,0)</f>
      </c>
      <c r="BI22" s="214">
        <f>X22/SUM(X$18:X$27)</f>
      </c>
      <c r="BJ22" s="214">
        <f>BF22/SUM(BF$3:BF219)</f>
      </c>
      <c r="BK22" s="217">
        <f>BF22/'R&amp;H Portfolio'!Q$10</f>
      </c>
      <c r="BL22" s="215">
        <f>BI22*P22</f>
      </c>
      <c r="BM22" s="73"/>
      <c r="BN22" s="220">
        <f>IF(BM22="YES", BF22, "")</f>
      </c>
      <c r="BO22" s="17"/>
    </row>
    <row x14ac:dyDescent="0.25" r="23" customHeight="1" ht="15">
      <c r="A23" s="202">
        <v>25568.79196759259</v>
      </c>
      <c r="B23" s="203" t="s">
        <v>702</v>
      </c>
      <c r="C23" s="204" t="s">
        <v>703</v>
      </c>
      <c r="D23" s="70" t="s">
        <v>704</v>
      </c>
      <c r="E23" s="70" t="s">
        <v>144</v>
      </c>
      <c r="F23" s="70" t="s">
        <v>705</v>
      </c>
      <c r="G23" s="205">
        <v>675</v>
      </c>
      <c r="H23" s="206">
        <v>1.31</v>
      </c>
      <c r="I23" s="207">
        <v>0.09</v>
      </c>
      <c r="J23" s="208">
        <f>H23+I23</f>
      </c>
      <c r="K23" s="209">
        <v>32500</v>
      </c>
      <c r="L23" s="58">
        <f>K23*I23</f>
      </c>
      <c r="M23" s="58">
        <f>K23*J23</f>
      </c>
      <c r="N23" s="210">
        <v>160</v>
      </c>
      <c r="O23" s="16"/>
      <c r="P23" s="211">
        <f>IF(ISBLANK(N23),O23/4.3,N23/20)</f>
      </c>
      <c r="Q23" s="209">
        <v>3250</v>
      </c>
      <c r="R23" s="3"/>
      <c r="S23" s="212" t="s">
        <v>82</v>
      </c>
      <c r="T23" s="213">
        <f>IF(ISBLANK(R23),0,X23)</f>
      </c>
      <c r="U23" s="213">
        <f>IF(ISBLANK(S23),0,X23)</f>
      </c>
      <c r="V23" s="214">
        <f>IFERROR(Q23/K23,0)</f>
      </c>
      <c r="W23" s="58">
        <f>IFERROR(L23*V23,0)</f>
      </c>
      <c r="X23" s="213">
        <f>IFERROR(Q23+W23,0)</f>
      </c>
      <c r="Y23" s="213">
        <f>IFERROR(M23*V23,0)</f>
      </c>
      <c r="Z23" s="213">
        <f>Y23-(Y23*$B$1)</f>
      </c>
      <c r="AA23" s="67">
        <f>IFERROR(Z23/X23,"")</f>
      </c>
      <c r="AB23" s="215">
        <f>IFERROR(IF(ISBLANK(N23),Y23/O23,Y23/N23),0)</f>
      </c>
      <c r="AC23" s="215">
        <f>IFERROR(-1*(AB23*B$1),0)</f>
      </c>
      <c r="AD23" s="215">
        <f>IFERROR(SUM(AB23:AC23),0)</f>
      </c>
      <c r="AE23" s="215">
        <f>IF(ISBLANK(N23),AD23,AD23*5)</f>
      </c>
      <c r="AF23" s="216">
        <f>SUM(AG23:BE23)</f>
      </c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>
        <v>67.22</v>
      </c>
      <c r="AS23" s="207">
        <v>137.9</v>
      </c>
      <c r="AT23" s="207">
        <v>137.9</v>
      </c>
      <c r="AU23" s="207">
        <v>137.9</v>
      </c>
      <c r="AV23" s="207">
        <v>110.32</v>
      </c>
      <c r="AW23" s="207">
        <v>137.9</v>
      </c>
      <c r="AX23" s="207">
        <v>137.9</v>
      </c>
      <c r="AY23" s="207">
        <v>106.92</v>
      </c>
      <c r="AZ23" s="207">
        <v>137.9</v>
      </c>
      <c r="BA23" s="207">
        <v>110.32</v>
      </c>
      <c r="BB23" s="207">
        <v>110.32</v>
      </c>
      <c r="BC23" s="210"/>
      <c r="BD23" s="210"/>
      <c r="BE23" s="210"/>
      <c r="BF23" s="215">
        <f>Z23-AF23</f>
      </c>
      <c r="BG23" s="214">
        <f>IFERROR(AF23/Y23,0)</f>
      </c>
      <c r="BH23" s="214">
        <f>IFERROR(AF23/X23,0)</f>
      </c>
      <c r="BI23" s="214">
        <f>X23/SUM(X$18:X$27)</f>
      </c>
      <c r="BJ23" s="214">
        <f>BF23/SUM(BF$3:BF220)</f>
      </c>
      <c r="BK23" s="217">
        <f>BF23/'R&amp;H Portfolio'!Q$10</f>
      </c>
      <c r="BL23" s="215">
        <f>BI23*P23</f>
      </c>
      <c r="BM23" s="73"/>
      <c r="BN23" s="220">
        <f>IF(BM23="YES", BF23, "")</f>
      </c>
      <c r="BO23" s="17"/>
    </row>
    <row x14ac:dyDescent="0.25" r="24" customHeight="1" ht="15">
      <c r="A24" s="202">
        <v>25568.79196759259</v>
      </c>
      <c r="B24" s="203" t="s">
        <v>706</v>
      </c>
      <c r="C24" s="204" t="s">
        <v>707</v>
      </c>
      <c r="D24" s="70" t="s">
        <v>708</v>
      </c>
      <c r="E24" s="70" t="s">
        <v>637</v>
      </c>
      <c r="F24" s="70" t="s">
        <v>709</v>
      </c>
      <c r="G24" s="205">
        <v>537</v>
      </c>
      <c r="H24" s="206">
        <v>1.32</v>
      </c>
      <c r="I24" s="207">
        <v>0.12</v>
      </c>
      <c r="J24" s="208">
        <f>H24+I24</f>
      </c>
      <c r="K24" s="209">
        <v>10000</v>
      </c>
      <c r="L24" s="58">
        <f>K24*I24</f>
      </c>
      <c r="M24" s="58">
        <f>K24*J24</f>
      </c>
      <c r="N24" s="210">
        <v>140</v>
      </c>
      <c r="O24" s="16"/>
      <c r="P24" s="211">
        <f>IF(ISBLANK(N24),O24/4.3,N24/20)</f>
      </c>
      <c r="Q24" s="209">
        <v>2000</v>
      </c>
      <c r="R24" s="3"/>
      <c r="S24" s="212" t="s">
        <v>82</v>
      </c>
      <c r="T24" s="213">
        <f>IF(ISBLANK(R24),0,X24)</f>
      </c>
      <c r="U24" s="213">
        <f>IF(ISBLANK(S24),0,X24)</f>
      </c>
      <c r="V24" s="214">
        <f>IFERROR(Q24/K24,0)</f>
      </c>
      <c r="W24" s="58">
        <f>IFERROR(L24*V24,0)</f>
      </c>
      <c r="X24" s="213">
        <f>IFERROR(Q24+W24,0)</f>
      </c>
      <c r="Y24" s="213">
        <f>IFERROR(M24*V24,0)</f>
      </c>
      <c r="Z24" s="213">
        <f>Y24-(Y24*$B$1)</f>
      </c>
      <c r="AA24" s="67">
        <f>IFERROR(Z24/X24,"")</f>
      </c>
      <c r="AB24" s="215">
        <f>IFERROR(IF(ISBLANK(N24),Y24/O24,Y24/N24),0)</f>
      </c>
      <c r="AC24" s="215">
        <f>IFERROR(-1*(AB24*B$1),0)</f>
      </c>
      <c r="AD24" s="215">
        <f>IFERROR(SUM(AB24:AC24),0)</f>
      </c>
      <c r="AE24" s="215">
        <f>IF(ISBLANK(N24),AD24,AD24*5)</f>
      </c>
      <c r="AF24" s="216">
        <f>SUM(AG24:BE24)</f>
      </c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>
        <v>15.66</v>
      </c>
      <c r="AS24" s="207">
        <v>99.80000000000001</v>
      </c>
      <c r="AT24" s="207">
        <v>99.80000000000001</v>
      </c>
      <c r="AU24" s="207">
        <v>99.80000000000001</v>
      </c>
      <c r="AV24" s="207">
        <v>79.84</v>
      </c>
      <c r="AW24" s="207">
        <v>99.80000000000001</v>
      </c>
      <c r="AX24" s="207">
        <v>99.80000000000001</v>
      </c>
      <c r="AY24" s="207">
        <v>99.80000000000001</v>
      </c>
      <c r="AZ24" s="207">
        <v>99.80000000000001</v>
      </c>
      <c r="BA24" s="207">
        <v>79.84</v>
      </c>
      <c r="BB24" s="207">
        <v>79.84</v>
      </c>
      <c r="BC24" s="210"/>
      <c r="BD24" s="210"/>
      <c r="BE24" s="210"/>
      <c r="BF24" s="215">
        <f>Z24-AF24</f>
      </c>
      <c r="BG24" s="214">
        <f>IFERROR(AF24/Y24,0)</f>
      </c>
      <c r="BH24" s="214">
        <f>IFERROR(AF24/X24,0)</f>
      </c>
      <c r="BI24" s="214">
        <f>X24/SUM(X$18:X$27)</f>
      </c>
      <c r="BJ24" s="214">
        <f>BF24/SUM(BF$3:BF221)</f>
      </c>
      <c r="BK24" s="217">
        <f>BF24/'R&amp;H Portfolio'!Q$10</f>
      </c>
      <c r="BL24" s="215">
        <f>BI24*P24</f>
      </c>
      <c r="BM24" s="73"/>
      <c r="BN24" s="220">
        <f>IF(BM24="YES", BF24, "")</f>
      </c>
      <c r="BO24" s="17"/>
    </row>
    <row x14ac:dyDescent="0.25" r="25" customHeight="1" ht="15">
      <c r="A25" s="202">
        <v>25568.79196759259</v>
      </c>
      <c r="B25" s="203" t="s">
        <v>710</v>
      </c>
      <c r="C25" s="204" t="s">
        <v>711</v>
      </c>
      <c r="D25" s="70" t="s">
        <v>712</v>
      </c>
      <c r="E25" s="70" t="s">
        <v>406</v>
      </c>
      <c r="F25" s="70" t="s">
        <v>258</v>
      </c>
      <c r="G25" s="205">
        <v>675</v>
      </c>
      <c r="H25" s="206">
        <v>1.31</v>
      </c>
      <c r="I25" s="207">
        <v>0.15</v>
      </c>
      <c r="J25" s="208">
        <f>H25+I25</f>
      </c>
      <c r="K25" s="209">
        <v>75000</v>
      </c>
      <c r="L25" s="58">
        <f>K25*I25</f>
      </c>
      <c r="M25" s="58">
        <f>K25*J25</f>
      </c>
      <c r="N25" s="210">
        <v>160</v>
      </c>
      <c r="O25" s="16"/>
      <c r="P25" s="211">
        <f>IF(ISBLANK(N25),O25/4.3,N25/20)</f>
      </c>
      <c r="Q25" s="209">
        <v>7500</v>
      </c>
      <c r="R25" s="212" t="s">
        <v>133</v>
      </c>
      <c r="S25" s="209"/>
      <c r="T25" s="213">
        <f>IF(ISBLANK(R25),0,X25)</f>
      </c>
      <c r="U25" s="213">
        <f>IF(ISBLANK(S25),0,X25)</f>
      </c>
      <c r="V25" s="214">
        <f>IFERROR(Q25/K25,0)</f>
      </c>
      <c r="W25" s="58">
        <f>IFERROR(L25*V25,0)</f>
      </c>
      <c r="X25" s="213">
        <f>IFERROR(Q25+W25,0)</f>
      </c>
      <c r="Y25" s="213">
        <f>IFERROR(M25*V25,0)</f>
      </c>
      <c r="Z25" s="213">
        <f>Y25-(Y25*$B$1)</f>
      </c>
      <c r="AA25" s="67">
        <f>IFERROR(Z25/X25,"")</f>
      </c>
      <c r="AB25" s="215">
        <f>IFERROR(IF(ISBLANK(N25),Y25/O25,Y25/N25),0)</f>
      </c>
      <c r="AC25" s="215">
        <f>IFERROR(-1*(AB25*B$1),0)</f>
      </c>
      <c r="AD25" s="215">
        <f>IFERROR(SUM(AB25:AC25),0)</f>
      </c>
      <c r="AE25" s="215">
        <f>IF(ISBLANK(N25),AD25,AD25*5)</f>
      </c>
      <c r="AF25" s="216">
        <f>SUM(AG25:BE25)</f>
      </c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>
        <v>120.64</v>
      </c>
      <c r="AS25" s="207">
        <v>331.9</v>
      </c>
      <c r="AT25" s="207">
        <v>331.9</v>
      </c>
      <c r="AU25" s="207">
        <v>331.9</v>
      </c>
      <c r="AV25" s="207">
        <v>265.52</v>
      </c>
      <c r="AW25" s="207">
        <v>331.9</v>
      </c>
      <c r="AX25" s="207">
        <v>331.9</v>
      </c>
      <c r="AY25" s="207">
        <v>331.9</v>
      </c>
      <c r="AZ25" s="207">
        <v>331.9</v>
      </c>
      <c r="BA25" s="207">
        <v>265.52</v>
      </c>
      <c r="BB25" s="207">
        <v>265.52</v>
      </c>
      <c r="BC25" s="210"/>
      <c r="BD25" s="210"/>
      <c r="BE25" s="210"/>
      <c r="BF25" s="215">
        <f>Z25-AF25</f>
      </c>
      <c r="BG25" s="214">
        <f>IFERROR(AF25/Y25,0)</f>
      </c>
      <c r="BH25" s="214">
        <f>IFERROR(AF25/X25,0)</f>
      </c>
      <c r="BI25" s="214">
        <f>X25/SUM(X$18:X$27)</f>
      </c>
      <c r="BJ25" s="214">
        <f>BF25/SUM(BF$3:BF222)</f>
      </c>
      <c r="BK25" s="217">
        <f>BF25/'R&amp;H Portfolio'!Q$10</f>
      </c>
      <c r="BL25" s="215">
        <f>BI25*P25</f>
      </c>
      <c r="BM25" s="73"/>
      <c r="BN25" s="220">
        <f>IF(BM25="YES", BF25, "")</f>
      </c>
      <c r="BO25" s="17"/>
    </row>
    <row x14ac:dyDescent="0.25" r="26" customHeight="1" ht="15">
      <c r="A26" s="202">
        <v>25568.79196759259</v>
      </c>
      <c r="B26" s="203" t="s">
        <v>713</v>
      </c>
      <c r="C26" s="204" t="s">
        <v>714</v>
      </c>
      <c r="D26" s="70" t="s">
        <v>715</v>
      </c>
      <c r="E26" s="70" t="s">
        <v>716</v>
      </c>
      <c r="F26" s="70" t="s">
        <v>469</v>
      </c>
      <c r="G26" s="205">
        <v>675</v>
      </c>
      <c r="H26" s="206">
        <v>1.32</v>
      </c>
      <c r="I26" s="207">
        <v>0.15</v>
      </c>
      <c r="J26" s="208">
        <f>H26+I26</f>
      </c>
      <c r="K26" s="209">
        <v>15000</v>
      </c>
      <c r="L26" s="58">
        <f>K26*I26</f>
      </c>
      <c r="M26" s="58">
        <f>K26*J26</f>
      </c>
      <c r="N26" s="16"/>
      <c r="O26" s="210">
        <v>28</v>
      </c>
      <c r="P26" s="211">
        <f>IF(ISBLANK(N26),O26/4.3,N26/20)</f>
      </c>
      <c r="Q26" s="209">
        <v>3000</v>
      </c>
      <c r="R26" s="209"/>
      <c r="S26" s="212" t="s">
        <v>82</v>
      </c>
      <c r="T26" s="213">
        <f>IF(ISBLANK(R26),0,X26)</f>
      </c>
      <c r="U26" s="213">
        <f>IF(ISBLANK(S26),0,X26)</f>
      </c>
      <c r="V26" s="214">
        <f>IFERROR(Q26/K26,0)</f>
      </c>
      <c r="W26" s="58">
        <f>IFERROR(L26*V26,0)</f>
      </c>
      <c r="X26" s="213">
        <f>IFERROR(Q26+W26,0)</f>
      </c>
      <c r="Y26" s="213">
        <f>IFERROR(M26*V26,0)</f>
      </c>
      <c r="Z26" s="213">
        <f>Y26-(Y26*$B$1)</f>
      </c>
      <c r="AA26" s="67">
        <f>IFERROR(Z26/X26,"")</f>
      </c>
      <c r="AB26" s="215">
        <f>IFERROR(IF(ISBLANK(N26),Y26/O26,Y26/N26),0)</f>
      </c>
      <c r="AC26" s="215">
        <f>IFERROR(-1*(AB26*B$1),0)</f>
      </c>
      <c r="AD26" s="215">
        <f>IFERROR(SUM(AB26:AC26),0)</f>
      </c>
      <c r="AE26" s="215">
        <f>IF(ISBLANK(N26),AD26,AD26*5)</f>
      </c>
      <c r="AF26" s="216">
        <f>SUM(AG26:BE26)</f>
      </c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>
        <v>159.07</v>
      </c>
      <c r="AT26" s="207">
        <v>152.77</v>
      </c>
      <c r="AU26" s="207">
        <v>152.77</v>
      </c>
      <c r="AV26" s="207">
        <v>152.77</v>
      </c>
      <c r="AW26" s="207">
        <v>152.77</v>
      </c>
      <c r="AX26" s="207">
        <v>152.77</v>
      </c>
      <c r="AY26" s="207">
        <v>152.77</v>
      </c>
      <c r="AZ26" s="207">
        <v>152.77</v>
      </c>
      <c r="BA26" s="207">
        <v>152.77</v>
      </c>
      <c r="BB26" s="207">
        <v>152.77</v>
      </c>
      <c r="BC26" s="210"/>
      <c r="BD26" s="210"/>
      <c r="BE26" s="210"/>
      <c r="BF26" s="215">
        <f>Z26-AF26</f>
      </c>
      <c r="BG26" s="214">
        <f>IFERROR(AF26/Y26,0)</f>
      </c>
      <c r="BH26" s="214">
        <f>IFERROR(AF26/X26,0)</f>
      </c>
      <c r="BI26" s="214">
        <f>X26/SUM(X$18:X$27)</f>
      </c>
      <c r="BJ26" s="214">
        <f>BF26/SUM(BF$3:BF223)</f>
      </c>
      <c r="BK26" s="217">
        <f>BF26/'R&amp;H Portfolio'!Q$10</f>
      </c>
      <c r="BL26" s="215">
        <f>BI26*P26</f>
      </c>
      <c r="BM26" s="73"/>
      <c r="BN26" s="220">
        <f>IF(BM26="YES", BF26, "")</f>
      </c>
      <c r="BO26" s="17"/>
    </row>
    <row x14ac:dyDescent="0.25" r="27" customHeight="1" ht="15">
      <c r="A27" s="223">
        <v>25568.79196759259</v>
      </c>
      <c r="B27" s="224" t="s">
        <v>717</v>
      </c>
      <c r="C27" s="225" t="s">
        <v>718</v>
      </c>
      <c r="D27" s="226" t="s">
        <v>719</v>
      </c>
      <c r="E27" s="226" t="s">
        <v>351</v>
      </c>
      <c r="F27" s="226" t="s">
        <v>226</v>
      </c>
      <c r="G27" s="245">
        <v>613</v>
      </c>
      <c r="H27" s="228">
        <v>1.31</v>
      </c>
      <c r="I27" s="229">
        <v>0.15</v>
      </c>
      <c r="J27" s="230">
        <f>H27+I27</f>
      </c>
      <c r="K27" s="231">
        <v>37500</v>
      </c>
      <c r="L27" s="232">
        <f>K27*I27</f>
      </c>
      <c r="M27" s="232">
        <f>K27*J27</f>
      </c>
      <c r="N27" s="233"/>
      <c r="O27" s="233">
        <v>36</v>
      </c>
      <c r="P27" s="234">
        <f>IF(ISBLANK(N27),O27/4.3,N27/20)</f>
      </c>
      <c r="Q27" s="231">
        <v>3750</v>
      </c>
      <c r="R27" s="231"/>
      <c r="S27" s="246" t="s">
        <v>82</v>
      </c>
      <c r="T27" s="239">
        <f>IF(ISBLANK(R27),0,X27)</f>
      </c>
      <c r="U27" s="239">
        <f>IF(ISBLANK(S27),0,X27)</f>
      </c>
      <c r="V27" s="238">
        <f>IFERROR(Q27/K27,0)</f>
      </c>
      <c r="W27" s="232">
        <f>IFERROR(L27*V27,0)</f>
      </c>
      <c r="X27" s="239">
        <f>IFERROR(Q27+W27,0)</f>
      </c>
      <c r="Y27" s="239">
        <f>IFERROR(M27*V27,0)</f>
      </c>
      <c r="Z27" s="239">
        <f>Y27-(Y27*$B$1)</f>
      </c>
      <c r="AA27" s="240">
        <f>IFERROR(Z27/X27,"")</f>
      </c>
      <c r="AB27" s="241">
        <f>IFERROR(IF(ISBLANK(N27),Y27/O27,Y27/N27),0)</f>
      </c>
      <c r="AC27" s="241">
        <f>IFERROR(-1*(AB27*B$1),0)</f>
      </c>
      <c r="AD27" s="241">
        <f>IFERROR(SUM(AB27:AC27),0)</f>
      </c>
      <c r="AE27" s="241">
        <f>IF(ISBLANK(N27),AD27,AD27*5)</f>
      </c>
      <c r="AF27" s="242">
        <f>SUM(AG27:BE27)</f>
      </c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>
        <v>135.39</v>
      </c>
      <c r="AT27" s="229">
        <v>147.52</v>
      </c>
      <c r="AU27" s="229">
        <v>147.52</v>
      </c>
      <c r="AV27" s="229"/>
      <c r="AW27" s="229">
        <v>221.28</v>
      </c>
      <c r="AX27" s="229">
        <v>73.76</v>
      </c>
      <c r="AY27" s="229">
        <v>73.76</v>
      </c>
      <c r="AZ27" s="229">
        <v>73.76</v>
      </c>
      <c r="BA27" s="229">
        <v>73.76</v>
      </c>
      <c r="BB27" s="229">
        <v>147.52</v>
      </c>
      <c r="BC27" s="233"/>
      <c r="BD27" s="233"/>
      <c r="BE27" s="233"/>
      <c r="BF27" s="241">
        <f>Z27-AF27</f>
      </c>
      <c r="BG27" s="238">
        <f>IFERROR(AF27/Y27,0)</f>
      </c>
      <c r="BH27" s="214">
        <f>IFERROR(AF27/X27,0)</f>
      </c>
      <c r="BI27" s="214">
        <f>X27/SUM(X$18:X$27)</f>
      </c>
      <c r="BJ27" s="238">
        <f>BF27/SUM(BF$3:BF224)</f>
      </c>
      <c r="BK27" s="217">
        <f>BF27/'R&amp;H Portfolio'!Q$10</f>
      </c>
      <c r="BL27" s="241">
        <f>BI27*P27</f>
      </c>
      <c r="BM27" s="218"/>
      <c r="BN27" s="219">
        <f>IF(BM27="YES", BF27, "")</f>
      </c>
      <c r="BO27" s="17"/>
    </row>
    <row x14ac:dyDescent="0.25" r="28" customHeight="1" ht="15">
      <c r="A28" s="202">
        <v>25568.79196759259</v>
      </c>
      <c r="B28" s="203" t="s">
        <v>720</v>
      </c>
      <c r="C28" s="204" t="s">
        <v>721</v>
      </c>
      <c r="D28" s="70" t="s">
        <v>722</v>
      </c>
      <c r="E28" s="70" t="s">
        <v>723</v>
      </c>
      <c r="F28" s="70" t="s">
        <v>274</v>
      </c>
      <c r="G28" s="205">
        <v>550</v>
      </c>
      <c r="H28" s="206">
        <v>1.32</v>
      </c>
      <c r="I28" s="207">
        <v>0.12</v>
      </c>
      <c r="J28" s="208">
        <f>H28+I28</f>
      </c>
      <c r="K28" s="209">
        <v>65000</v>
      </c>
      <c r="L28" s="58">
        <f>K28*I28</f>
      </c>
      <c r="M28" s="58">
        <f>K28*J28</f>
      </c>
      <c r="N28" s="210">
        <v>160</v>
      </c>
      <c r="O28" s="16"/>
      <c r="P28" s="211">
        <f>IF(ISBLANK(N28),O28/4.3,N28/20)</f>
      </c>
      <c r="Q28" s="209">
        <v>4000</v>
      </c>
      <c r="R28" s="3"/>
      <c r="S28" s="212" t="s">
        <v>82</v>
      </c>
      <c r="T28" s="213">
        <f>IF(ISBLANK(R28),0,X28)</f>
      </c>
      <c r="U28" s="213">
        <f>IF(ISBLANK(S28),0,X28)</f>
      </c>
      <c r="V28" s="214">
        <f>IFERROR(Q28/K28,0)</f>
      </c>
      <c r="W28" s="58">
        <f>IFERROR(L28*V28,0)</f>
      </c>
      <c r="X28" s="213">
        <f>IFERROR(Q28+W28,0)</f>
      </c>
      <c r="Y28" s="213">
        <f>IFERROR(M28*V28,0)</f>
      </c>
      <c r="Z28" s="213">
        <f>Y28-(Y28*$B$1)</f>
      </c>
      <c r="AA28" s="67">
        <f>IFERROR(Z28/X28,"")</f>
      </c>
      <c r="AB28" s="215">
        <f>IFERROR(IF(ISBLANK(N28),Y28/O28,Y28/N28),0)</f>
      </c>
      <c r="AC28" s="215">
        <f>IFERROR(-1*(AB28*B$1),0)</f>
      </c>
      <c r="AD28" s="215">
        <f>IFERROR(SUM(AB28:AC28),0)</f>
      </c>
      <c r="AE28" s="215">
        <f>IF(ISBLANK(N28),AD28,AD28*5)</f>
      </c>
      <c r="AF28" s="216">
        <f>SUM(AG28:BE28)</f>
      </c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>
        <v>97.30000000000001</v>
      </c>
      <c r="AU28" s="207">
        <v>174.6</v>
      </c>
      <c r="AV28" s="207">
        <v>139.68</v>
      </c>
      <c r="AW28" s="207">
        <v>174.6</v>
      </c>
      <c r="AX28" s="207">
        <v>104.76</v>
      </c>
      <c r="AY28" s="207">
        <v>174.6</v>
      </c>
      <c r="AZ28" s="207">
        <v>104.76</v>
      </c>
      <c r="BA28" s="207">
        <v>69.84</v>
      </c>
      <c r="BB28" s="207">
        <v>69.84</v>
      </c>
      <c r="BC28" s="210"/>
      <c r="BD28" s="210"/>
      <c r="BE28" s="210"/>
      <c r="BF28" s="215">
        <f>Z28-AF28</f>
      </c>
      <c r="BG28" s="214">
        <f>IFERROR(AF28/Y28,0)</f>
      </c>
      <c r="BH28" s="214">
        <f>IFERROR(AF28/X28,0)</f>
      </c>
      <c r="BI28" s="214">
        <f>IFERROR((X28/SUM(X$28:X$38)),0)</f>
      </c>
      <c r="BJ28" s="214">
        <f>BF28/SUM(BF$3:BF225)</f>
      </c>
      <c r="BK28" s="217">
        <f>BF28/'R&amp;H Portfolio'!Q$10</f>
      </c>
      <c r="BL28" s="215">
        <f>BI28*P28</f>
      </c>
      <c r="BM28" s="73"/>
      <c r="BN28" s="220">
        <f>IF(BM28="YES", BF28, "")</f>
      </c>
      <c r="BO28" s="17"/>
    </row>
    <row x14ac:dyDescent="0.25" r="29" customHeight="1" ht="15">
      <c r="A29" s="202">
        <v>25568.79196759259</v>
      </c>
      <c r="B29" s="203" t="s">
        <v>724</v>
      </c>
      <c r="C29" s="70" t="s">
        <v>725</v>
      </c>
      <c r="D29" s="70" t="s">
        <v>726</v>
      </c>
      <c r="E29" s="70" t="s">
        <v>727</v>
      </c>
      <c r="F29" s="70" t="s">
        <v>226</v>
      </c>
      <c r="G29" s="205">
        <v>575</v>
      </c>
      <c r="H29" s="206">
        <v>1.31</v>
      </c>
      <c r="I29" s="207">
        <v>0.15</v>
      </c>
      <c r="J29" s="208">
        <f>H29+I29</f>
      </c>
      <c r="K29" s="209">
        <v>33000</v>
      </c>
      <c r="L29" s="58">
        <f>K29*I29</f>
      </c>
      <c r="M29" s="58">
        <f>K29*J29</f>
      </c>
      <c r="N29" s="210">
        <v>160</v>
      </c>
      <c r="O29" s="16"/>
      <c r="P29" s="211">
        <f>IF(ISBLANK(N29),O29/4.3,N29/20)</f>
      </c>
      <c r="Q29" s="209">
        <v>3500</v>
      </c>
      <c r="R29" s="212" t="s">
        <v>133</v>
      </c>
      <c r="S29" s="3"/>
      <c r="T29" s="213">
        <f>IF(ISBLANK(R29),0,X29)</f>
      </c>
      <c r="U29" s="213">
        <f>IF(ISBLANK(S29),0,X29)</f>
      </c>
      <c r="V29" s="214">
        <f>IFERROR(Q29/K29,0)</f>
      </c>
      <c r="W29" s="58">
        <f>IFERROR(L29*V29,0)</f>
      </c>
      <c r="X29" s="213">
        <f>IFERROR(Q29+W29,0)</f>
      </c>
      <c r="Y29" s="213">
        <f>IFERROR(M29*V29,0)</f>
      </c>
      <c r="Z29" s="213">
        <f>Y29-(Y29*$B$1)</f>
      </c>
      <c r="AA29" s="67">
        <f>IFERROR(Z29/X29,"")</f>
      </c>
      <c r="AB29" s="215">
        <f>IFERROR(IF(ISBLANK(N29),Y29/O29,Y29/N29),0)</f>
      </c>
      <c r="AC29" s="215">
        <f>IFERROR(-1*(AB29*B$1),0)</f>
      </c>
      <c r="AD29" s="215">
        <f>IFERROR(SUM(AB29:AC29),0)</f>
      </c>
      <c r="AE29" s="215">
        <f>IF(ISBLANK(N29),AD29,AD29*5)</f>
      </c>
      <c r="AF29" s="216">
        <f>SUM(AG29:BE29)</f>
      </c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>
        <v>142.04</v>
      </c>
      <c r="AV29" s="207">
        <v>123.92</v>
      </c>
      <c r="AW29" s="207">
        <v>154.9</v>
      </c>
      <c r="AX29" s="207">
        <v>154.9</v>
      </c>
      <c r="AY29" s="207">
        <v>154.9</v>
      </c>
      <c r="AZ29" s="207">
        <v>154.9</v>
      </c>
      <c r="BA29" s="207">
        <v>123.92</v>
      </c>
      <c r="BB29" s="207">
        <v>123.92</v>
      </c>
      <c r="BC29" s="210"/>
      <c r="BD29" s="210"/>
      <c r="BE29" s="210"/>
      <c r="BF29" s="215">
        <f>Z29-AF29</f>
      </c>
      <c r="BG29" s="214">
        <f>IFERROR(AF29/Y29,0)</f>
      </c>
      <c r="BH29" s="214">
        <f>IFERROR(AF29/X29,0)</f>
      </c>
      <c r="BI29" s="214">
        <f>IFERROR((X29/SUM(X$28:X$38)),0)</f>
      </c>
      <c r="BJ29" s="214">
        <f>BF29/SUM(BF$3:BF226)</f>
      </c>
      <c r="BK29" s="217">
        <f>BF29/'R&amp;H Portfolio'!Q$10</f>
      </c>
      <c r="BL29" s="215">
        <f>BI29*P29</f>
      </c>
      <c r="BM29" s="73"/>
      <c r="BN29" s="220">
        <f>IF(BM29="YES", BF29, "")</f>
      </c>
      <c r="BO29" s="17"/>
    </row>
    <row x14ac:dyDescent="0.25" r="30" customHeight="1" ht="15">
      <c r="A30" s="202">
        <v>25568.79196759259</v>
      </c>
      <c r="B30" s="203" t="s">
        <v>728</v>
      </c>
      <c r="C30" s="204" t="s">
        <v>729</v>
      </c>
      <c r="D30" s="70" t="s">
        <v>730</v>
      </c>
      <c r="E30" s="70" t="s">
        <v>731</v>
      </c>
      <c r="F30" s="70" t="s">
        <v>258</v>
      </c>
      <c r="G30" s="205">
        <v>725</v>
      </c>
      <c r="H30" s="206">
        <v>1.3</v>
      </c>
      <c r="I30" s="207">
        <v>0.11</v>
      </c>
      <c r="J30" s="208">
        <f>H30+I30</f>
      </c>
      <c r="K30" s="209">
        <v>100000</v>
      </c>
      <c r="L30" s="58">
        <f>K30*I30</f>
      </c>
      <c r="M30" s="58">
        <f>K30*J30</f>
      </c>
      <c r="N30" s="210">
        <v>200</v>
      </c>
      <c r="O30" s="16"/>
      <c r="P30" s="211">
        <f>IF(ISBLANK(N30),O30/4.3,N30/20)</f>
      </c>
      <c r="Q30" s="209">
        <v>8000</v>
      </c>
      <c r="R30" s="212" t="s">
        <v>133</v>
      </c>
      <c r="S30" s="3"/>
      <c r="T30" s="213">
        <f>IF(ISBLANK(R30),0,X30)</f>
      </c>
      <c r="U30" s="213">
        <f>IF(ISBLANK(S30),0,X30)</f>
      </c>
      <c r="V30" s="214">
        <f>IFERROR(Q30/K30,0)</f>
      </c>
      <c r="W30" s="58">
        <f>IFERROR(L30*V30,0)</f>
      </c>
      <c r="X30" s="213">
        <f>IFERROR(Q30+W30,0)</f>
      </c>
      <c r="Y30" s="213">
        <f>IFERROR(M30*V30,0)</f>
      </c>
      <c r="Z30" s="213">
        <f>Y30-(Y30*$B$1)</f>
      </c>
      <c r="AA30" s="67">
        <f>IFERROR(Z30/X30,"")</f>
      </c>
      <c r="AB30" s="215">
        <f>IFERROR(IF(ISBLANK(N30),Y30/O30,Y30/N30),0)</f>
      </c>
      <c r="AC30" s="215">
        <f>IFERROR(-1*(AB30*B$1),0)</f>
      </c>
      <c r="AD30" s="215">
        <f>IFERROR(SUM(AB30:AC30),0)</f>
      </c>
      <c r="AE30" s="215">
        <f>IF(ISBLANK(N30),AD30,AD30*5)</f>
      </c>
      <c r="AF30" s="216">
        <f>SUM(AG30:BE30)</f>
      </c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9">
        <v>45</v>
      </c>
      <c r="AV30" s="207">
        <v>218.8</v>
      </c>
      <c r="AW30" s="207">
        <v>273.5</v>
      </c>
      <c r="AX30" s="207">
        <v>216.08</v>
      </c>
      <c r="AY30" s="207">
        <v>273.5</v>
      </c>
      <c r="AZ30" s="207">
        <v>273.5</v>
      </c>
      <c r="BA30" s="207">
        <v>218.8</v>
      </c>
      <c r="BB30" s="207">
        <v>218.8</v>
      </c>
      <c r="BC30" s="210"/>
      <c r="BD30" s="210"/>
      <c r="BE30" s="210"/>
      <c r="BF30" s="215">
        <f>Z30-AF30</f>
      </c>
      <c r="BG30" s="214">
        <f>IFERROR(AF30/Y30,0)</f>
      </c>
      <c r="BH30" s="214">
        <f>IFERROR(AF30/X30,0)</f>
      </c>
      <c r="BI30" s="214">
        <f>IFERROR((X30/SUM(X$28:X$38)),0)</f>
      </c>
      <c r="BJ30" s="214">
        <f>BF30/SUM(BF$3:BF227)</f>
      </c>
      <c r="BK30" s="217">
        <f>BF30/'R&amp;H Portfolio'!Q$10</f>
      </c>
      <c r="BL30" s="215">
        <f>BI30*P30</f>
      </c>
      <c r="BM30" s="73"/>
      <c r="BN30" s="220">
        <f>IF(BM30="YES", BF30, "")</f>
      </c>
      <c r="BO30" s="17"/>
    </row>
    <row x14ac:dyDescent="0.25" r="31" customHeight="1" ht="15">
      <c r="A31" s="202">
        <v>25568.79196759259</v>
      </c>
      <c r="B31" s="203" t="s">
        <v>732</v>
      </c>
      <c r="C31" s="204" t="s">
        <v>733</v>
      </c>
      <c r="D31" s="70" t="s">
        <v>734</v>
      </c>
      <c r="E31" s="70" t="s">
        <v>735</v>
      </c>
      <c r="F31" s="70" t="s">
        <v>150</v>
      </c>
      <c r="G31" s="205">
        <v>613</v>
      </c>
      <c r="H31" s="206">
        <v>1.33</v>
      </c>
      <c r="I31" s="207">
        <v>0.15</v>
      </c>
      <c r="J31" s="208">
        <f>H31+I31</f>
      </c>
      <c r="K31" s="209">
        <v>25000</v>
      </c>
      <c r="L31" s="58">
        <f>K31*I31</f>
      </c>
      <c r="M31" s="58">
        <f>K31*J31</f>
      </c>
      <c r="N31" s="16"/>
      <c r="O31" s="210">
        <v>28</v>
      </c>
      <c r="P31" s="211">
        <f>IF(ISBLANK(N31),O31/4.3,N31/20)</f>
      </c>
      <c r="Q31" s="209">
        <v>3000</v>
      </c>
      <c r="R31" s="3"/>
      <c r="S31" s="212" t="s">
        <v>82</v>
      </c>
      <c r="T31" s="213">
        <f>IF(ISBLANK(R31),0,X31)</f>
      </c>
      <c r="U31" s="213">
        <f>IF(ISBLANK(S31),0,X31)</f>
      </c>
      <c r="V31" s="214">
        <f>IFERROR(Q31/K31,0)</f>
      </c>
      <c r="W31" s="58">
        <f>IFERROR(L31*V31,0)</f>
      </c>
      <c r="X31" s="213">
        <f>IFERROR(Q31+W31,0)</f>
      </c>
      <c r="Y31" s="213">
        <f>IFERROR(M31*V31,0)</f>
      </c>
      <c r="Z31" s="213">
        <f>Y31-(Y31*$B$1)</f>
      </c>
      <c r="AA31" s="67">
        <f>IFERROR(Z31/X31,"")</f>
      </c>
      <c r="AB31" s="215">
        <f>IFERROR(IF(ISBLANK(N31),Y31/O31,Y31/N31),0)</f>
      </c>
      <c r="AC31" s="215">
        <f>IFERROR(-1*(AB31*B$1),0)</f>
      </c>
      <c r="AD31" s="215">
        <f>IFERROR(SUM(AB31:AC31),0)</f>
      </c>
      <c r="AE31" s="215">
        <f>IF(ISBLANK(N31),AD31,AD31*5)</f>
      </c>
      <c r="AF31" s="216">
        <f>SUM(AG31:BE31)</f>
      </c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>
        <v>16.21</v>
      </c>
      <c r="AV31" s="207">
        <v>123.04</v>
      </c>
      <c r="AW31" s="207">
        <v>153.82</v>
      </c>
      <c r="AX31" s="207">
        <v>153.82</v>
      </c>
      <c r="AY31" s="207">
        <v>153.82</v>
      </c>
      <c r="AZ31" s="207">
        <v>153.82</v>
      </c>
      <c r="BA31" s="207">
        <v>153.82</v>
      </c>
      <c r="BB31" s="207">
        <v>153.82</v>
      </c>
      <c r="BC31" s="210"/>
      <c r="BD31" s="210"/>
      <c r="BE31" s="210"/>
      <c r="BF31" s="215">
        <f>Z31-AF31</f>
      </c>
      <c r="BG31" s="214">
        <f>IFERROR(AF31/Y31,0)</f>
      </c>
      <c r="BH31" s="214">
        <f>IFERROR(AF31/X31,0)</f>
      </c>
      <c r="BI31" s="214">
        <f>IFERROR((X31/SUM(X$28:X$38)),0)</f>
      </c>
      <c r="BJ31" s="214">
        <f>BF31/SUM(BF$3:BF228)</f>
      </c>
      <c r="BK31" s="217">
        <f>BF31/'R&amp;H Portfolio'!Q$10</f>
      </c>
      <c r="BL31" s="215">
        <f>BI31*P31</f>
      </c>
      <c r="BM31" s="73"/>
      <c r="BN31" s="220">
        <f>IF(BM31="YES", BF31, "")</f>
      </c>
      <c r="BO31" s="17"/>
    </row>
    <row x14ac:dyDescent="0.25" r="32" customHeight="1" ht="15">
      <c r="A32" s="202">
        <v>25568.79196759259</v>
      </c>
      <c r="B32" s="203" t="s">
        <v>736</v>
      </c>
      <c r="C32" s="204" t="s">
        <v>737</v>
      </c>
      <c r="D32" s="70" t="s">
        <v>738</v>
      </c>
      <c r="E32" s="70" t="s">
        <v>637</v>
      </c>
      <c r="F32" s="70" t="s">
        <v>258</v>
      </c>
      <c r="G32" s="205">
        <v>675</v>
      </c>
      <c r="H32" s="206">
        <v>1.32</v>
      </c>
      <c r="I32" s="207">
        <v>0.15</v>
      </c>
      <c r="J32" s="208">
        <f>H32+I32</f>
      </c>
      <c r="K32" s="209">
        <v>20000</v>
      </c>
      <c r="L32" s="58">
        <f>K32*I32</f>
      </c>
      <c r="M32" s="58">
        <f>K32*J32</f>
      </c>
      <c r="N32" s="210">
        <v>160</v>
      </c>
      <c r="O32" s="16"/>
      <c r="P32" s="211">
        <f>IF(ISBLANK(N32),O32/4.3,N32/20)</f>
      </c>
      <c r="Q32" s="209">
        <v>3000</v>
      </c>
      <c r="R32" s="3"/>
      <c r="S32" s="212" t="s">
        <v>82</v>
      </c>
      <c r="T32" s="213">
        <f>IF(ISBLANK(R32),0,X32)</f>
      </c>
      <c r="U32" s="213">
        <f>IF(ISBLANK(S32),0,X32)</f>
      </c>
      <c r="V32" s="214">
        <f>IFERROR(Q32/K32,0)</f>
      </c>
      <c r="W32" s="58">
        <f>IFERROR(L32*V32,0)</f>
      </c>
      <c r="X32" s="213">
        <f>IFERROR(Q32+W32,0)</f>
      </c>
      <c r="Y32" s="213">
        <f>IFERROR(M32*V32,0)</f>
      </c>
      <c r="Z32" s="213">
        <f>Y32-(Y32*$B$1)</f>
      </c>
      <c r="AA32" s="67">
        <f>IFERROR(Z32/X32,"")</f>
      </c>
      <c r="AB32" s="215">
        <f>IFERROR(IF(ISBLANK(N32),Y32/O32,Y32/N32),0)</f>
      </c>
      <c r="AC32" s="215">
        <f>IFERROR(-1*(AB32*B$1),0)</f>
      </c>
      <c r="AD32" s="215">
        <f>IFERROR(SUM(AB32:AC32),0)</f>
      </c>
      <c r="AE32" s="215">
        <f>IF(ISBLANK(N32),AD32,AD32*5)</f>
      </c>
      <c r="AF32" s="216">
        <f>SUM(AG32:BE32)</f>
      </c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>
        <v>110.42</v>
      </c>
      <c r="AX32" s="207">
        <v>133.7</v>
      </c>
      <c r="AY32" s="207">
        <v>133.7</v>
      </c>
      <c r="AZ32" s="207">
        <v>133.7</v>
      </c>
      <c r="BA32" s="207">
        <v>106.96</v>
      </c>
      <c r="BB32" s="207">
        <v>106.96</v>
      </c>
      <c r="BC32" s="210"/>
      <c r="BD32" s="210"/>
      <c r="BE32" s="210"/>
      <c r="BF32" s="215">
        <f>Z32-AF32</f>
      </c>
      <c r="BG32" s="214">
        <f>IFERROR(AF32/Y32,0)</f>
      </c>
      <c r="BH32" s="214">
        <f>IFERROR(AF32/X32,0)</f>
      </c>
      <c r="BI32" s="214">
        <f>IFERROR((X32/SUM(X$28:X$38)),0)</f>
      </c>
      <c r="BJ32" s="214">
        <f>BF32/SUM(BF$3:BF229)</f>
      </c>
      <c r="BK32" s="217">
        <f>BF32/'R&amp;H Portfolio'!Q$10</f>
      </c>
      <c r="BL32" s="215">
        <f>BI32*P32</f>
      </c>
      <c r="BM32" s="73"/>
      <c r="BN32" s="220">
        <f>IF(BM32="YES", BF32, "")</f>
      </c>
      <c r="BO32" s="17"/>
    </row>
    <row x14ac:dyDescent="0.25" r="33" customHeight="1" ht="15">
      <c r="A33" s="202">
        <v>25568.79196759259</v>
      </c>
      <c r="B33" s="203" t="s">
        <v>739</v>
      </c>
      <c r="C33" s="204" t="s">
        <v>740</v>
      </c>
      <c r="D33" s="70" t="s">
        <v>741</v>
      </c>
      <c r="E33" s="70" t="s">
        <v>742</v>
      </c>
      <c r="F33" s="70" t="s">
        <v>165</v>
      </c>
      <c r="G33" s="205">
        <v>635</v>
      </c>
      <c r="H33" s="206">
        <v>1.3</v>
      </c>
      <c r="I33" s="207">
        <v>0.12</v>
      </c>
      <c r="J33" s="208">
        <f>H33+I33</f>
      </c>
      <c r="K33" s="209">
        <v>41000</v>
      </c>
      <c r="L33" s="58">
        <f>K33*I33</f>
      </c>
      <c r="M33" s="58">
        <f>K33*J33</f>
      </c>
      <c r="N33" s="16"/>
      <c r="O33" s="210">
        <v>36</v>
      </c>
      <c r="P33" s="211">
        <f>IF(ISBLANK(N33),O33/4.3,N33/20)</f>
      </c>
      <c r="Q33" s="209">
        <v>4100</v>
      </c>
      <c r="R33" s="3"/>
      <c r="S33" s="212" t="s">
        <v>82</v>
      </c>
      <c r="T33" s="213">
        <f>IF(ISBLANK(R33),0,X33)</f>
      </c>
      <c r="U33" s="213">
        <f>IF(ISBLANK(S33),0,X33)</f>
      </c>
      <c r="V33" s="214">
        <f>IFERROR(Q33/K33,0)</f>
      </c>
      <c r="W33" s="58">
        <f>IFERROR(L33*V33,0)</f>
      </c>
      <c r="X33" s="213">
        <f>IFERROR(Q33+W33,0)</f>
      </c>
      <c r="Y33" s="213">
        <f>IFERROR(M33*V33,0)</f>
      </c>
      <c r="Z33" s="213">
        <f>Y33-(Y33*$B$1)</f>
      </c>
      <c r="AA33" s="67">
        <f>IFERROR(Z33/X33,"")</f>
      </c>
      <c r="AB33" s="215">
        <f>IFERROR(IF(ISBLANK(N33),Y33/O33,Y33/N33),0)</f>
      </c>
      <c r="AC33" s="215">
        <f>IFERROR(-1*(AB33*B$1),0)</f>
      </c>
      <c r="AD33" s="215">
        <f>IFERROR(SUM(AB33:AC33),0)</f>
      </c>
      <c r="AE33" s="215">
        <f>IF(ISBLANK(N33),AD33,AD33*5)</f>
      </c>
      <c r="AF33" s="216">
        <f>SUM(AG33:BE33)</f>
      </c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>
        <v>141.33</v>
      </c>
      <c r="AX33" s="207">
        <v>156.85</v>
      </c>
      <c r="AY33" s="207">
        <v>156.85</v>
      </c>
      <c r="AZ33" s="207">
        <v>156.85</v>
      </c>
      <c r="BA33" s="207">
        <v>125.48</v>
      </c>
      <c r="BB33" s="207">
        <v>125.48</v>
      </c>
      <c r="BC33" s="210"/>
      <c r="BD33" s="210"/>
      <c r="BE33" s="210"/>
      <c r="BF33" s="215">
        <f>Z33-AF33</f>
      </c>
      <c r="BG33" s="214">
        <f>IFERROR(AF33/Y33,0)</f>
      </c>
      <c r="BH33" s="214">
        <f>IFERROR(AF33/X33,0)</f>
      </c>
      <c r="BI33" s="214">
        <f>IFERROR((X33/SUM(X$28:X$38)),0)</f>
      </c>
      <c r="BJ33" s="214">
        <f>BF33/SUM(BF$3:BF230)</f>
      </c>
      <c r="BK33" s="217">
        <f>BF33/'R&amp;H Portfolio'!Q$10</f>
      </c>
      <c r="BL33" s="215">
        <f>BI33*P33</f>
      </c>
      <c r="BM33" s="73"/>
      <c r="BN33" s="220">
        <f>IF(BM33="YES", BF33, "")</f>
      </c>
      <c r="BO33" s="17"/>
    </row>
    <row x14ac:dyDescent="0.25" r="34" customHeight="1" ht="15">
      <c r="A34" s="202">
        <v>25568.79196759259</v>
      </c>
      <c r="B34" s="203" t="s">
        <v>743</v>
      </c>
      <c r="C34" s="204" t="s">
        <v>744</v>
      </c>
      <c r="D34" s="70" t="s">
        <v>745</v>
      </c>
      <c r="E34" s="70" t="s">
        <v>746</v>
      </c>
      <c r="F34" s="70" t="s">
        <v>352</v>
      </c>
      <c r="G34" s="205">
        <v>613</v>
      </c>
      <c r="H34" s="206">
        <v>1.32</v>
      </c>
      <c r="I34" s="207">
        <v>0.13</v>
      </c>
      <c r="J34" s="208">
        <f>H34+I34</f>
      </c>
      <c r="K34" s="209">
        <v>45000</v>
      </c>
      <c r="L34" s="58">
        <f>K34*I34</f>
      </c>
      <c r="M34" s="58">
        <f>K34*J34</f>
      </c>
      <c r="N34" s="210">
        <v>140</v>
      </c>
      <c r="O34" s="16"/>
      <c r="P34" s="211">
        <f>IF(ISBLANK(N34),O34/4.3,N34/20)</f>
      </c>
      <c r="Q34" s="209">
        <v>4500</v>
      </c>
      <c r="R34" s="212" t="s">
        <v>133</v>
      </c>
      <c r="S34" s="3"/>
      <c r="T34" s="213">
        <f>IF(ISBLANK(R34),0,X34)</f>
      </c>
      <c r="U34" s="213">
        <f>IF(ISBLANK(S34),0,X34)</f>
      </c>
      <c r="V34" s="214">
        <f>IFERROR(Q34/K34,0)</f>
      </c>
      <c r="W34" s="58">
        <f>IFERROR(L34*V34,0)</f>
      </c>
      <c r="X34" s="213">
        <f>IFERROR(Q34+W34,0)</f>
      </c>
      <c r="Y34" s="213">
        <f>IFERROR(M34*V34,0)</f>
      </c>
      <c r="Z34" s="213">
        <f>Y34-(Y34*$B$1)</f>
      </c>
      <c r="AA34" s="67">
        <f>IFERROR(Z34/X34,"")</f>
      </c>
      <c r="AB34" s="215">
        <f>IFERROR(IF(ISBLANK(N34),Y34/O34,Y34/N34),0)</f>
      </c>
      <c r="AC34" s="215">
        <f>IFERROR(-1*(AB34*B$1),0)</f>
      </c>
      <c r="AD34" s="215">
        <f>IFERROR(SUM(AB34:AC34),0)</f>
      </c>
      <c r="AE34" s="215">
        <f>IF(ISBLANK(N34),AD34,AD34*5)</f>
      </c>
      <c r="AF34" s="216">
        <f>SUM(AG34:BE34)</f>
      </c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>
        <v>213.92</v>
      </c>
      <c r="AX34" s="207">
        <v>226.05</v>
      </c>
      <c r="AY34" s="207">
        <v>226.05</v>
      </c>
      <c r="AZ34" s="207">
        <v>226.05</v>
      </c>
      <c r="BA34" s="207">
        <v>180.84</v>
      </c>
      <c r="BB34" s="207">
        <v>180.84</v>
      </c>
      <c r="BC34" s="210"/>
      <c r="BD34" s="210"/>
      <c r="BE34" s="210"/>
      <c r="BF34" s="215">
        <f>Z34-AF34</f>
      </c>
      <c r="BG34" s="214">
        <f>IFERROR(AF34/Y34,0)</f>
      </c>
      <c r="BH34" s="214">
        <f>IFERROR(AF34/X34,0)</f>
      </c>
      <c r="BI34" s="214">
        <f>IFERROR((X34/SUM(X$28:X$38)),0)</f>
      </c>
      <c r="BJ34" s="214">
        <f>BF34/SUM(BF$3:BF231)</f>
      </c>
      <c r="BK34" s="217">
        <f>BF34/'R&amp;H Portfolio'!Q$10</f>
      </c>
      <c r="BL34" s="215">
        <f>BI34*P34</f>
      </c>
      <c r="BM34" s="73"/>
      <c r="BN34" s="220">
        <f>IF(BM34="YES", BF34, "")</f>
      </c>
      <c r="BO34" s="17"/>
    </row>
    <row x14ac:dyDescent="0.25" r="35" customHeight="1" ht="15">
      <c r="A35" s="202">
        <v>25568.79196759259</v>
      </c>
      <c r="B35" s="203" t="s">
        <v>747</v>
      </c>
      <c r="C35" s="204" t="s">
        <v>748</v>
      </c>
      <c r="D35" s="70" t="s">
        <v>749</v>
      </c>
      <c r="E35" s="70" t="s">
        <v>750</v>
      </c>
      <c r="F35" s="70" t="s">
        <v>274</v>
      </c>
      <c r="G35" s="205">
        <v>537</v>
      </c>
      <c r="H35" s="206">
        <v>1.31</v>
      </c>
      <c r="I35" s="207">
        <v>0.15</v>
      </c>
      <c r="J35" s="208">
        <f>H35+I35</f>
      </c>
      <c r="K35" s="209">
        <v>15000</v>
      </c>
      <c r="L35" s="58">
        <f>K35*I35</f>
      </c>
      <c r="M35" s="58">
        <f>K35*J35</f>
      </c>
      <c r="N35" s="210">
        <v>160</v>
      </c>
      <c r="O35" s="16"/>
      <c r="P35" s="211">
        <f>IF(ISBLANK(N35),O35/4.3,N35/20)</f>
      </c>
      <c r="Q35" s="209">
        <v>3000</v>
      </c>
      <c r="R35" s="212" t="s">
        <v>133</v>
      </c>
      <c r="S35" s="3"/>
      <c r="T35" s="213">
        <f>IF(ISBLANK(R35),0,X35)</f>
      </c>
      <c r="U35" s="213">
        <f>IF(ISBLANK(S35),0,X35)</f>
      </c>
      <c r="V35" s="214">
        <f>IFERROR(Q35/K35,0)</f>
      </c>
      <c r="W35" s="58">
        <f>IFERROR(L35*V35,0)</f>
      </c>
      <c r="X35" s="213">
        <f>IFERROR(Q35+W35,0)</f>
      </c>
      <c r="Y35" s="213">
        <f>IFERROR(M35*V35,0)</f>
      </c>
      <c r="Z35" s="213">
        <f>Y35-(Y35*$B$1)</f>
      </c>
      <c r="AA35" s="67">
        <f>IFERROR(Z35/X35,"")</f>
      </c>
      <c r="AB35" s="215">
        <f>IFERROR(IF(ISBLANK(N35),Y35/O35,Y35/N35),0)</f>
      </c>
      <c r="AC35" s="215">
        <f>IFERROR(-1*(AB35*B$1),0)</f>
      </c>
      <c r="AD35" s="215">
        <f>IFERROR(SUM(AB35:AC35),0)</f>
      </c>
      <c r="AE35" s="215">
        <f>IF(ISBLANK(N35),AD35,AD35*5)</f>
      </c>
      <c r="AF35" s="216">
        <f>SUM(AG35:BE35)</f>
      </c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>
        <v>81.95</v>
      </c>
      <c r="AX35" s="207">
        <v>132.75</v>
      </c>
      <c r="AY35" s="207">
        <v>132.75</v>
      </c>
      <c r="AZ35" s="207">
        <v>132.75</v>
      </c>
      <c r="BA35" s="207">
        <v>106.2</v>
      </c>
      <c r="BB35" s="207">
        <v>106.2</v>
      </c>
      <c r="BC35" s="210"/>
      <c r="BD35" s="210"/>
      <c r="BE35" s="210"/>
      <c r="BF35" s="215">
        <f>Z35-AF35</f>
      </c>
      <c r="BG35" s="214">
        <f>IFERROR(AF35/Y35,0)</f>
      </c>
      <c r="BH35" s="214">
        <f>IFERROR(AF35/X35,0)</f>
      </c>
      <c r="BI35" s="214">
        <f>IFERROR((X35/SUM(X$28:X$38)),0)</f>
      </c>
      <c r="BJ35" s="214">
        <f>BF35/SUM(BF$3:BF232)</f>
      </c>
      <c r="BK35" s="217">
        <f>BF35/'R&amp;H Portfolio'!Q$10</f>
      </c>
      <c r="BL35" s="215">
        <f>BI35*P35</f>
      </c>
      <c r="BM35" s="73"/>
      <c r="BN35" s="220">
        <f>IF(BM35="YES", BF35, "")</f>
      </c>
      <c r="BO35" s="17"/>
    </row>
    <row x14ac:dyDescent="0.25" r="36" customHeight="1" ht="15">
      <c r="A36" s="202">
        <v>25568.79196759259</v>
      </c>
      <c r="B36" s="203" t="s">
        <v>751</v>
      </c>
      <c r="C36" s="204" t="s">
        <v>752</v>
      </c>
      <c r="D36" s="70" t="s">
        <v>753</v>
      </c>
      <c r="E36" s="70" t="s">
        <v>144</v>
      </c>
      <c r="F36" s="70" t="s">
        <v>754</v>
      </c>
      <c r="G36" s="205">
        <v>637</v>
      </c>
      <c r="H36" s="206">
        <v>1.33</v>
      </c>
      <c r="I36" s="207">
        <v>0.15</v>
      </c>
      <c r="J36" s="208">
        <f>H36+I36</f>
      </c>
      <c r="K36" s="209">
        <v>55000</v>
      </c>
      <c r="L36" s="58">
        <f>K36*I36</f>
      </c>
      <c r="M36" s="58">
        <f>K36*J36</f>
      </c>
      <c r="N36" s="16"/>
      <c r="O36" s="210">
        <v>32</v>
      </c>
      <c r="P36" s="211">
        <f>IF(ISBLANK(N36),O36/4.3,N36/20)</f>
      </c>
      <c r="Q36" s="209">
        <v>4000</v>
      </c>
      <c r="R36" s="3"/>
      <c r="S36" s="212" t="s">
        <v>82</v>
      </c>
      <c r="T36" s="213">
        <f>IF(ISBLANK(R36),0,X36)</f>
      </c>
      <c r="U36" s="213">
        <f>IF(ISBLANK(S36),0,X36)</f>
      </c>
      <c r="V36" s="214">
        <f>IFERROR(Q36/K36,0)</f>
      </c>
      <c r="W36" s="58">
        <f>IFERROR(L36*V36,0)</f>
      </c>
      <c r="X36" s="213">
        <f>IFERROR(Q36+W36,0)</f>
      </c>
      <c r="Y36" s="213">
        <f>IFERROR(M36*V36,0)</f>
      </c>
      <c r="Z36" s="213">
        <f>Y36-(Y36*$B$1)</f>
      </c>
      <c r="AA36" s="67">
        <f>IFERROR(Z36/X36,"")</f>
      </c>
      <c r="AB36" s="215">
        <f>IFERROR(IF(ISBLANK(N36),Y36/O36,Y36/N36),0)</f>
      </c>
      <c r="AC36" s="215">
        <f>IFERROR(-1*(AB36*B$1),0)</f>
      </c>
      <c r="AD36" s="215">
        <f>IFERROR(SUM(AB36:AC36),0)</f>
      </c>
      <c r="AE36" s="215">
        <f>IF(ISBLANK(N36),AD36,AD36*5)</f>
      </c>
      <c r="AF36" s="216">
        <f>SUM(AG36:BE36)</f>
      </c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>
        <v>168.16</v>
      </c>
      <c r="AX36" s="207">
        <v>179.45</v>
      </c>
      <c r="AY36" s="207">
        <v>179.45</v>
      </c>
      <c r="AZ36" s="207">
        <v>179.45</v>
      </c>
      <c r="BA36" s="207">
        <v>179.45</v>
      </c>
      <c r="BB36" s="207">
        <v>179.45</v>
      </c>
      <c r="BC36" s="210"/>
      <c r="BD36" s="210"/>
      <c r="BE36" s="210"/>
      <c r="BF36" s="215">
        <f>Z36-AF36</f>
      </c>
      <c r="BG36" s="214">
        <f>IFERROR(AF36/Y36,0)</f>
      </c>
      <c r="BH36" s="214">
        <f>IFERROR(AF36/X36,0)</f>
      </c>
      <c r="BI36" s="214">
        <f>IFERROR((X36/SUM(X$28:X$38)),0)</f>
      </c>
      <c r="BJ36" s="214">
        <f>BF36/SUM(BF$3:BF233)</f>
      </c>
      <c r="BK36" s="217">
        <f>BF36/'R&amp;H Portfolio'!Q$10</f>
      </c>
      <c r="BL36" s="215">
        <f>BI36*P36</f>
      </c>
      <c r="BM36" s="73"/>
      <c r="BN36" s="220">
        <f>IF(BM36="YES", BF36, "")</f>
      </c>
      <c r="BO36" s="17"/>
    </row>
    <row x14ac:dyDescent="0.25" r="37" customHeight="1" ht="15">
      <c r="A37" s="202">
        <v>25568.79196759259</v>
      </c>
      <c r="B37" s="203" t="s">
        <v>755</v>
      </c>
      <c r="C37" s="204" t="s">
        <v>756</v>
      </c>
      <c r="D37" s="70" t="s">
        <v>757</v>
      </c>
      <c r="E37" s="70" t="s">
        <v>758</v>
      </c>
      <c r="F37" s="70" t="s">
        <v>132</v>
      </c>
      <c r="G37" s="205">
        <v>637</v>
      </c>
      <c r="H37" s="206">
        <v>1.31</v>
      </c>
      <c r="I37" s="207">
        <v>0.15</v>
      </c>
      <c r="J37" s="208">
        <f>H37+I37</f>
      </c>
      <c r="K37" s="209">
        <v>95000</v>
      </c>
      <c r="L37" s="58">
        <f>K37*I37</f>
      </c>
      <c r="M37" s="58">
        <f>K37*J37</f>
      </c>
      <c r="N37" s="210">
        <v>210</v>
      </c>
      <c r="O37" s="16"/>
      <c r="P37" s="211">
        <f>IF(ISBLANK(N37),O37/4.3,N37/20)</f>
      </c>
      <c r="Q37" s="209">
        <v>9500</v>
      </c>
      <c r="R37" s="212" t="s">
        <v>133</v>
      </c>
      <c r="S37" s="209"/>
      <c r="T37" s="213">
        <f>IF(ISBLANK(R37),0,X37)</f>
      </c>
      <c r="U37" s="213">
        <f>IF(ISBLANK(S37),0,X37)</f>
      </c>
      <c r="V37" s="214">
        <f>IFERROR(Q37/K37,0)</f>
      </c>
      <c r="W37" s="58">
        <f>IFERROR(L37*V37,0)</f>
      </c>
      <c r="X37" s="213">
        <f>IFERROR(Q37+W37,0)</f>
      </c>
      <c r="Y37" s="213">
        <f>IFERROR(M37*V37,0)</f>
      </c>
      <c r="Z37" s="213">
        <f>Y37-(Y37*$B$1)</f>
      </c>
      <c r="AA37" s="67">
        <f>IFERROR(Z37/X37,"")</f>
      </c>
      <c r="AB37" s="215">
        <f>IFERROR(IF(ISBLANK(N37),Y37/O37,Y37/N37),0)</f>
      </c>
      <c r="AC37" s="215">
        <f>IFERROR(-1*(AB37*B$1),0)</f>
      </c>
      <c r="AD37" s="215">
        <f>IFERROR(SUM(AB37:AC37),0)</f>
      </c>
      <c r="AE37" s="215">
        <f>IF(ISBLANK(N37),AD37,AD37*5)</f>
      </c>
      <c r="AF37" s="216">
        <f>SUM(AG37:BE37)</f>
      </c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>
        <v>320.33</v>
      </c>
      <c r="AY37" s="207">
        <v>320.33</v>
      </c>
      <c r="AZ37" s="207">
        <v>320.33</v>
      </c>
      <c r="BA37" s="207">
        <v>320.33</v>
      </c>
      <c r="BB37" s="207">
        <v>320.33</v>
      </c>
      <c r="BC37" s="210"/>
      <c r="BD37" s="210"/>
      <c r="BE37" s="210"/>
      <c r="BF37" s="215">
        <f>Z37-AF37</f>
      </c>
      <c r="BG37" s="214">
        <f>IFERROR(AF37/Y37,0)</f>
      </c>
      <c r="BH37" s="214">
        <f>IFERROR(AF37/X37,0)</f>
      </c>
      <c r="BI37" s="214">
        <f>IFERROR((X37/SUM(X$28:X$38)),0)</f>
      </c>
      <c r="BJ37" s="214">
        <f>BF37/SUM(BF$3:BF234)</f>
      </c>
      <c r="BK37" s="217">
        <f>BF37/'R&amp;H Portfolio'!Q$10</f>
      </c>
      <c r="BL37" s="215">
        <f>BI37*P37</f>
      </c>
      <c r="BM37" s="73"/>
      <c r="BN37" s="220">
        <f>IF(BM37="YES", BF37, "")</f>
      </c>
      <c r="BO37" s="17"/>
    </row>
    <row x14ac:dyDescent="0.25" r="38" customHeight="1" ht="15">
      <c r="A38" s="223">
        <v>25568.79196759259</v>
      </c>
      <c r="B38" s="224" t="s">
        <v>759</v>
      </c>
      <c r="C38" s="225" t="s">
        <v>760</v>
      </c>
      <c r="D38" s="226" t="s">
        <v>761</v>
      </c>
      <c r="E38" s="226" t="s">
        <v>762</v>
      </c>
      <c r="F38" s="226" t="s">
        <v>226</v>
      </c>
      <c r="G38" s="245">
        <v>575</v>
      </c>
      <c r="H38" s="228">
        <v>1.32</v>
      </c>
      <c r="I38" s="229">
        <v>0.15</v>
      </c>
      <c r="J38" s="230">
        <f>H38+I38</f>
      </c>
      <c r="K38" s="231">
        <v>17500</v>
      </c>
      <c r="L38" s="232">
        <f>K38*I38</f>
      </c>
      <c r="M38" s="232">
        <f>K38*J38</f>
      </c>
      <c r="N38" s="233">
        <v>140</v>
      </c>
      <c r="O38" s="233"/>
      <c r="P38" s="234">
        <f>IF(ISBLANK(N38),O38/4.3,N38/20)</f>
      </c>
      <c r="Q38" s="231">
        <v>3000</v>
      </c>
      <c r="R38" s="231"/>
      <c r="S38" s="246" t="s">
        <v>82</v>
      </c>
      <c r="T38" s="239">
        <f>IF(ISBLANK(R38),0,X38)</f>
      </c>
      <c r="U38" s="239">
        <f>IF(ISBLANK(S38),0,X38)</f>
      </c>
      <c r="V38" s="238">
        <f>IFERROR(Q38/K38,0)</f>
      </c>
      <c r="W38" s="232">
        <f>IFERROR(L38*V38,0)</f>
      </c>
      <c r="X38" s="239">
        <f>IFERROR(Q38+W38,0)</f>
      </c>
      <c r="Y38" s="239">
        <f>IFERROR(M38*V38,0)</f>
      </c>
      <c r="Z38" s="239">
        <f>Y38-(Y38*$B$1)</f>
      </c>
      <c r="AA38" s="240">
        <f>IFERROR(Z38/X38,"")</f>
      </c>
      <c r="AB38" s="241">
        <f>IFERROR(IF(ISBLANK(N38),Y38/O38,Y38/N38),0)</f>
      </c>
      <c r="AC38" s="241">
        <f>IFERROR(-1*(AB38*B$1),0)</f>
      </c>
      <c r="AD38" s="241">
        <f>IFERROR(SUM(AB38:AC38),0)</f>
      </c>
      <c r="AE38" s="241">
        <f>IF(ISBLANK(N38),AD38,AD38*5)</f>
      </c>
      <c r="AF38" s="242">
        <f>SUM(AG38:BE38)</f>
      </c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29"/>
      <c r="AW38" s="229"/>
      <c r="AX38" s="229">
        <v>95.6</v>
      </c>
      <c r="AY38" s="229">
        <v>152.75</v>
      </c>
      <c r="AZ38" s="229">
        <v>152.75</v>
      </c>
      <c r="BA38" s="229">
        <v>122.2</v>
      </c>
      <c r="BB38" s="229">
        <v>122.2</v>
      </c>
      <c r="BC38" s="233"/>
      <c r="BD38" s="233"/>
      <c r="BE38" s="233"/>
      <c r="BF38" s="241">
        <f>Z38-AF38</f>
      </c>
      <c r="BG38" s="238">
        <f>IFERROR(AF38/Y38,0)</f>
      </c>
      <c r="BH38" s="238">
        <f>IFERROR(AF38/X38,0)</f>
      </c>
      <c r="BI38" s="214">
        <f>IFERROR((X38/SUM(X$28:X$38)),0)</f>
      </c>
      <c r="BJ38" s="238">
        <f>BF38/SUM(BF$3:BF235)</f>
      </c>
      <c r="BK38" s="217">
        <f>BF38/'R&amp;H Portfolio'!Q$10</f>
      </c>
      <c r="BL38" s="241">
        <f>BI38*P38</f>
      </c>
      <c r="BM38" s="218"/>
      <c r="BN38" s="219">
        <f>IF(BM38="YES", BF38, "")</f>
      </c>
      <c r="BO38" s="17"/>
    </row>
    <row x14ac:dyDescent="0.25" r="39" customHeight="1" ht="15">
      <c r="A39" s="202">
        <v>25568.79196759259</v>
      </c>
      <c r="B39" s="203" t="s">
        <v>763</v>
      </c>
      <c r="C39" s="204" t="s">
        <v>764</v>
      </c>
      <c r="D39" s="70" t="s">
        <v>765</v>
      </c>
      <c r="E39" s="70" t="s">
        <v>637</v>
      </c>
      <c r="F39" s="70" t="s">
        <v>160</v>
      </c>
      <c r="G39" s="205">
        <v>637</v>
      </c>
      <c r="H39" s="206">
        <v>1.3</v>
      </c>
      <c r="I39" s="207">
        <v>0.15</v>
      </c>
      <c r="J39" s="208">
        <f>H39+I39</f>
      </c>
      <c r="K39" s="209">
        <v>50000</v>
      </c>
      <c r="L39" s="58">
        <f>K39*I39</f>
      </c>
      <c r="M39" s="58">
        <f>K39*J39</f>
      </c>
      <c r="N39" s="210">
        <v>180</v>
      </c>
      <c r="O39" s="16"/>
      <c r="P39" s="211">
        <f>IF(ISBLANK(N39),O39/4.3,N39/20)</f>
      </c>
      <c r="Q39" s="209">
        <v>5000</v>
      </c>
      <c r="R39" s="3"/>
      <c r="S39" s="212" t="s">
        <v>82</v>
      </c>
      <c r="T39" s="213">
        <f>IF(ISBLANK(R39),0,X39)</f>
      </c>
      <c r="U39" s="213">
        <f>IF(ISBLANK(S39),0,X39)</f>
      </c>
      <c r="V39" s="214">
        <f>IFERROR(Q39/K39,0)</f>
      </c>
      <c r="W39" s="58">
        <f>IFERROR(L39*V39,0)</f>
      </c>
      <c r="X39" s="213">
        <f>IFERROR(Q39+W39,0)</f>
      </c>
      <c r="Y39" s="213">
        <f>IFERROR(M39*V39,0)</f>
      </c>
      <c r="Z39" s="213">
        <f>Y39-(Y39*$B$1)</f>
      </c>
      <c r="AA39" s="67">
        <f>IFERROR(Z39/X39,"")</f>
      </c>
      <c r="AB39" s="215">
        <f>IFERROR(IF(ISBLANK(N39),Y39/O39,Y39/N39),0)</f>
      </c>
      <c r="AC39" s="215">
        <f>IFERROR(-1*(AB39*B$1),0)</f>
      </c>
      <c r="AD39" s="215">
        <f>IFERROR(SUM(AB39:AC39),0)</f>
      </c>
      <c r="AE39" s="215">
        <f>IF(ISBLANK(N39),AD39,AD39*5)</f>
      </c>
      <c r="AF39" s="216">
        <f>SUM(AG39:BE39)</f>
      </c>
      <c r="AG39" s="207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>
        <v>179.83</v>
      </c>
      <c r="AZ39" s="207">
        <v>195.35</v>
      </c>
      <c r="BA39" s="207">
        <v>156.28</v>
      </c>
      <c r="BB39" s="207">
        <v>156.28</v>
      </c>
      <c r="BC39" s="210"/>
      <c r="BD39" s="210"/>
      <c r="BE39" s="210"/>
      <c r="BF39" s="215">
        <f>Z39-AF39</f>
      </c>
      <c r="BG39" s="214">
        <f>IFERROR(AF39/Y39,0)</f>
      </c>
      <c r="BH39" s="214">
        <f>IFERROR(AF39/X39,0)</f>
      </c>
      <c r="BI39" s="214">
        <f>IFERROR((X39/SUM(X$39:X$47)),0)</f>
      </c>
      <c r="BJ39" s="214">
        <f>BF39/SUM(BF$3:BF236)</f>
      </c>
      <c r="BK39" s="217">
        <f>BF39/'R&amp;H Portfolio'!Q$10</f>
      </c>
      <c r="BL39" s="215">
        <f>BI39*P39</f>
      </c>
      <c r="BM39" s="73"/>
      <c r="BN39" s="220">
        <f>IF(BM39="YES", BF39, "")</f>
      </c>
      <c r="BO39" s="17"/>
    </row>
    <row x14ac:dyDescent="0.25" r="40" customHeight="1" ht="15">
      <c r="A40" s="202">
        <v>25568.79196759259</v>
      </c>
      <c r="B40" s="203" t="s">
        <v>766</v>
      </c>
      <c r="C40" s="204" t="s">
        <v>642</v>
      </c>
      <c r="D40" s="70" t="s">
        <v>767</v>
      </c>
      <c r="E40" s="70" t="s">
        <v>645</v>
      </c>
      <c r="F40" s="70" t="s">
        <v>160</v>
      </c>
      <c r="G40" s="205">
        <v>575</v>
      </c>
      <c r="H40" s="206">
        <v>1.32</v>
      </c>
      <c r="I40" s="207">
        <v>0.15</v>
      </c>
      <c r="J40" s="208">
        <f>H40+I40</f>
      </c>
      <c r="K40" s="209">
        <v>45000</v>
      </c>
      <c r="L40" s="58">
        <f>K40*I40</f>
      </c>
      <c r="M40" s="58">
        <f>K40*J40</f>
      </c>
      <c r="N40" s="210">
        <v>170</v>
      </c>
      <c r="O40" s="16"/>
      <c r="P40" s="211">
        <f>IF(ISBLANK(N40),O40/4.3,N40/20)</f>
      </c>
      <c r="Q40" s="209">
        <v>4500</v>
      </c>
      <c r="R40" s="212" t="s">
        <v>301</v>
      </c>
      <c r="S40" s="3"/>
      <c r="T40" s="213">
        <f>IF(ISBLANK(R40),0,X40)</f>
      </c>
      <c r="U40" s="213">
        <f>IF(ISBLANK(S40),0,X40)</f>
      </c>
      <c r="V40" s="214">
        <f>IFERROR(Q40/K40,0)</f>
      </c>
      <c r="W40" s="58">
        <f>IFERROR(L40*V40,0)</f>
      </c>
      <c r="X40" s="213">
        <f>IFERROR(Q40+W40,0)</f>
      </c>
      <c r="Y40" s="213">
        <f>IFERROR(M40*V40,0)</f>
      </c>
      <c r="Z40" s="213">
        <f>Y40-(Y40*$B$1)</f>
      </c>
      <c r="AA40" s="67">
        <f>IFERROR(Z40/X40,"")</f>
      </c>
      <c r="AB40" s="215">
        <f>IFERROR(IF(ISBLANK(N40),Y40/O40,Y40/N40),0)</f>
      </c>
      <c r="AC40" s="215">
        <f>IFERROR(-1*(AB40*B$1),0)</f>
      </c>
      <c r="AD40" s="215">
        <f>IFERROR(SUM(AB40:AC40),0)</f>
      </c>
      <c r="AE40" s="215">
        <f>IF(ISBLANK(N40),AD40,AD40*5)</f>
      </c>
      <c r="AF40" s="216">
        <f>SUM(AG40:BE40)</f>
      </c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>
        <v>188.72</v>
      </c>
      <c r="BA40" s="207">
        <v>188.72</v>
      </c>
      <c r="BB40" s="207">
        <v>188.72</v>
      </c>
      <c r="BC40" s="210"/>
      <c r="BD40" s="210"/>
      <c r="BE40" s="210"/>
      <c r="BF40" s="215">
        <f>Z40-AF40</f>
      </c>
      <c r="BG40" s="214">
        <f>IFERROR(AF40/Y40,0)</f>
      </c>
      <c r="BH40" s="214">
        <f>IFERROR(AF40/X40,0)</f>
      </c>
      <c r="BI40" s="214">
        <f>IFERROR((X40/SUM(X$39:X$47)),0)</f>
      </c>
      <c r="BJ40" s="214">
        <f>BF40/SUM(BF$3:BF237)</f>
      </c>
      <c r="BK40" s="217">
        <f>BF40/'R&amp;H Portfolio'!Q$10</f>
      </c>
      <c r="BL40" s="215">
        <f>BI40*P40</f>
      </c>
      <c r="BM40" s="73"/>
      <c r="BN40" s="220">
        <f>IF(BM40="YES", BF40, "")</f>
      </c>
      <c r="BO40" s="17"/>
    </row>
    <row x14ac:dyDescent="0.25" r="41" customHeight="1" ht="15">
      <c r="A41" s="202">
        <v>25568.79196759259</v>
      </c>
      <c r="B41" s="203" t="s">
        <v>768</v>
      </c>
      <c r="C41" s="204" t="s">
        <v>769</v>
      </c>
      <c r="D41" s="70" t="s">
        <v>770</v>
      </c>
      <c r="E41" s="70" t="s">
        <v>658</v>
      </c>
      <c r="F41" s="70" t="s">
        <v>226</v>
      </c>
      <c r="G41" s="205">
        <v>637</v>
      </c>
      <c r="H41" s="206">
        <v>1.3</v>
      </c>
      <c r="I41" s="207">
        <v>0.15</v>
      </c>
      <c r="J41" s="208">
        <f>H41+I41</f>
      </c>
      <c r="K41" s="209">
        <v>23500</v>
      </c>
      <c r="L41" s="58">
        <f>K41*I41</f>
      </c>
      <c r="M41" s="58">
        <f>K41*J41</f>
      </c>
      <c r="N41" s="210">
        <v>170</v>
      </c>
      <c r="O41" s="16"/>
      <c r="P41" s="211">
        <f>IF(ISBLANK(N41),O41/4.3,N41/20)</f>
      </c>
      <c r="Q41" s="209">
        <v>3000</v>
      </c>
      <c r="R41" s="3"/>
      <c r="S41" s="212" t="s">
        <v>82</v>
      </c>
      <c r="T41" s="213">
        <f>IF(ISBLANK(R41),0,X41)</f>
      </c>
      <c r="U41" s="213">
        <f>IF(ISBLANK(S41),0,X41)</f>
      </c>
      <c r="V41" s="214">
        <f>IFERROR(Q41/K41,0)</f>
      </c>
      <c r="W41" s="58">
        <f>IFERROR(L41*V41,0)</f>
      </c>
      <c r="X41" s="213">
        <f>IFERROR(Q41+W41,0)</f>
      </c>
      <c r="Y41" s="213">
        <f>IFERROR(M41*V41,0)</f>
      </c>
      <c r="Z41" s="213">
        <f>Y41-(Y41*$B$1)</f>
      </c>
      <c r="AA41" s="67">
        <f>IFERROR(Z41/X41,"")</f>
      </c>
      <c r="AB41" s="215">
        <f>IFERROR(IF(ISBLANK(N41),Y41/O41,Y41/N41),0)</f>
      </c>
      <c r="AC41" s="215">
        <f>IFERROR(-1*(AB41*B$1),0)</f>
      </c>
      <c r="AD41" s="215">
        <f>IFERROR(SUM(AB41:AC41),0)</f>
      </c>
      <c r="AE41" s="215">
        <f>IF(ISBLANK(N41),AD41,AD41*5)</f>
      </c>
      <c r="AF41" s="216">
        <f>SUM(AG41:BE41)</f>
      </c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>
        <v>104.29</v>
      </c>
      <c r="BA41" s="207">
        <v>99.28</v>
      </c>
      <c r="BB41" s="207">
        <v>99.28</v>
      </c>
      <c r="BC41" s="210"/>
      <c r="BD41" s="210"/>
      <c r="BE41" s="210"/>
      <c r="BF41" s="215">
        <f>Z41-AF41</f>
      </c>
      <c r="BG41" s="214">
        <f>IFERROR(AF41/Y41,0)</f>
      </c>
      <c r="BH41" s="214">
        <f>IFERROR(AF41/X41,0)</f>
      </c>
      <c r="BI41" s="214">
        <f>IFERROR((X41/SUM(X$39:X$47)),0)</f>
      </c>
      <c r="BJ41" s="214">
        <f>BF41/SUM(BF$3:BF238)</f>
      </c>
      <c r="BK41" s="217">
        <f>BF41/'R&amp;H Portfolio'!Q$10</f>
      </c>
      <c r="BL41" s="215">
        <f>BI41*P41</f>
      </c>
      <c r="BM41" s="73"/>
      <c r="BN41" s="220">
        <f>IF(BM41="YES", BF41, "")</f>
      </c>
      <c r="BO41" s="17"/>
    </row>
    <row x14ac:dyDescent="0.25" r="42" customHeight="1" ht="15">
      <c r="A42" s="202">
        <v>25568.79196759259</v>
      </c>
      <c r="B42" s="203" t="s">
        <v>771</v>
      </c>
      <c r="C42" s="204" t="s">
        <v>772</v>
      </c>
      <c r="D42" s="70" t="s">
        <v>773</v>
      </c>
      <c r="E42" s="70" t="s">
        <v>774</v>
      </c>
      <c r="F42" s="70" t="s">
        <v>192</v>
      </c>
      <c r="G42" s="205">
        <v>675</v>
      </c>
      <c r="H42" s="206">
        <v>1.3</v>
      </c>
      <c r="I42" s="207">
        <v>0.08</v>
      </c>
      <c r="J42" s="208">
        <f>H42+I42</f>
      </c>
      <c r="K42" s="209">
        <v>70000</v>
      </c>
      <c r="L42" s="58">
        <f>K42*I42</f>
      </c>
      <c r="M42" s="58">
        <f>K42*J42</f>
      </c>
      <c r="N42" s="16"/>
      <c r="O42" s="210">
        <v>38</v>
      </c>
      <c r="P42" s="211">
        <f>IF(ISBLANK(N42),O42/4.3,N42/20)</f>
      </c>
      <c r="Q42" s="209">
        <v>7000</v>
      </c>
      <c r="R42" s="3"/>
      <c r="S42" s="212" t="s">
        <v>82</v>
      </c>
      <c r="T42" s="213">
        <f>IF(ISBLANK(R42),0,X42)</f>
      </c>
      <c r="U42" s="213">
        <f>IF(ISBLANK(S42),0,X42)</f>
      </c>
      <c r="V42" s="214">
        <f>IFERROR(Q42/K42,0)</f>
      </c>
      <c r="W42" s="58">
        <f>IFERROR(L42*V42,0)</f>
      </c>
      <c r="X42" s="213">
        <f>IFERROR(Q42+W42,0)</f>
      </c>
      <c r="Y42" s="213">
        <f>IFERROR(M42*V42,0)</f>
      </c>
      <c r="Z42" s="213">
        <f>Y42-(Y42*$B$1)</f>
      </c>
      <c r="AA42" s="67">
        <f>IFERROR(Z42/X42,"")</f>
      </c>
      <c r="AB42" s="215">
        <f>IFERROR(IF(ISBLANK(N42),Y42/O42,Y42/N42),0)</f>
      </c>
      <c r="AC42" s="215">
        <f>IFERROR(-1*(AB42*B$1),0)</f>
      </c>
      <c r="AD42" s="215">
        <f>IFERROR(SUM(AB42:AC42),0)</f>
      </c>
      <c r="AE42" s="215">
        <f>IF(ISBLANK(N42),AD42,AD42*5)</f>
      </c>
      <c r="AF42" s="216">
        <f>SUM(AG42:BE42)</f>
      </c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18"/>
      <c r="AY42" s="207"/>
      <c r="AZ42" s="207">
        <v>86.50999999999999</v>
      </c>
      <c r="BA42" s="207">
        <v>98.63</v>
      </c>
      <c r="BB42" s="207">
        <v>246.59</v>
      </c>
      <c r="BC42" s="210"/>
      <c r="BD42" s="210"/>
      <c r="BE42" s="210"/>
      <c r="BF42" s="215">
        <f>Z42-AF42</f>
      </c>
      <c r="BG42" s="214">
        <f>IFERROR(AF42/Y42,0)</f>
      </c>
      <c r="BH42" s="214">
        <f>IFERROR(AF42/X42,0)</f>
      </c>
      <c r="BI42" s="214">
        <f>IFERROR((X42/SUM(X$39:X$47)),0)</f>
      </c>
      <c r="BJ42" s="214">
        <f>BF42/SUM(BF$3:BF239)</f>
      </c>
      <c r="BK42" s="217">
        <f>BF42/'R&amp;H Portfolio'!Q$10</f>
      </c>
      <c r="BL42" s="215">
        <f>BI42*P42</f>
      </c>
      <c r="BM42" s="73"/>
      <c r="BN42" s="220">
        <f>IF(BM42="YES", BF42, "")</f>
      </c>
      <c r="BO42" s="17"/>
    </row>
    <row x14ac:dyDescent="0.25" r="43" customHeight="1" ht="15">
      <c r="A43" s="202">
        <v>25568.79196759259</v>
      </c>
      <c r="B43" s="203" t="s">
        <v>775</v>
      </c>
      <c r="C43" s="3"/>
      <c r="D43" s="70" t="s">
        <v>776</v>
      </c>
      <c r="E43" s="70" t="s">
        <v>777</v>
      </c>
      <c r="F43" s="70" t="s">
        <v>226</v>
      </c>
      <c r="G43" s="205">
        <v>735</v>
      </c>
      <c r="H43" s="206">
        <v>1.3</v>
      </c>
      <c r="I43" s="207">
        <v>0.11</v>
      </c>
      <c r="J43" s="208">
        <f>H43+I43</f>
      </c>
      <c r="K43" s="209">
        <v>65000</v>
      </c>
      <c r="L43" s="58">
        <f>K43*I43</f>
      </c>
      <c r="M43" s="58">
        <f>K43*J43</f>
      </c>
      <c r="N43" s="16"/>
      <c r="O43" s="210">
        <v>36</v>
      </c>
      <c r="P43" s="211">
        <f>IF(ISBLANK(N43),O43/4.3,N43/20)</f>
      </c>
      <c r="Q43" s="209">
        <v>3000</v>
      </c>
      <c r="R43" s="3"/>
      <c r="S43" s="212" t="s">
        <v>82</v>
      </c>
      <c r="T43" s="213">
        <f>IF(ISBLANK(R43),0,X43)</f>
      </c>
      <c r="U43" s="213">
        <f>IF(ISBLANK(S43),0,X43)</f>
      </c>
      <c r="V43" s="214">
        <f>IFERROR(Q43/K43,0)</f>
      </c>
      <c r="W43" s="58">
        <f>IFERROR(L43*V43,0)</f>
      </c>
      <c r="X43" s="213">
        <f>IFERROR(Q43+W43,0)</f>
      </c>
      <c r="Y43" s="213">
        <f>IFERROR(M43*V43,0)</f>
      </c>
      <c r="Z43" s="213">
        <f>Y43-(Y43*$B$1)</f>
      </c>
      <c r="AA43" s="67">
        <f>IFERROR(Z43/X43,"")</f>
      </c>
      <c r="AB43" s="215">
        <f>IFERROR(IF(ISBLANK(N43),Y43/O43,Y43/N43),0)</f>
      </c>
      <c r="AC43" s="215">
        <f>IFERROR(-1*(AB43*B$1),0)</f>
      </c>
      <c r="AD43" s="215">
        <f>IFERROR(SUM(AB43:AC43),0)</f>
      </c>
      <c r="AE43" s="215">
        <f>IF(ISBLANK(N43),AD43,AD43*5)</f>
      </c>
      <c r="AF43" s="216">
        <f>SUM(AG43:BE43)</f>
      </c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>
        <v>108.37</v>
      </c>
      <c r="BB43" s="207">
        <v>124.34</v>
      </c>
      <c r="BC43" s="210"/>
      <c r="BD43" s="210"/>
      <c r="BE43" s="210"/>
      <c r="BF43" s="215">
        <f>Z43-AF43</f>
      </c>
      <c r="BG43" s="214">
        <f>IFERROR(AF43/Y43,0)</f>
      </c>
      <c r="BH43" s="214">
        <f>IFERROR(AF43/X43,0)</f>
      </c>
      <c r="BI43" s="214">
        <f>IFERROR((X43/SUM(X$39:X$47)),0)</f>
      </c>
      <c r="BJ43" s="214">
        <f>BF43/SUM(BF$3:BF240)</f>
      </c>
      <c r="BK43" s="217">
        <f>BF43/'R&amp;H Portfolio'!Q$10</f>
      </c>
      <c r="BL43" s="215">
        <f>BI43*P43</f>
      </c>
      <c r="BM43" s="73"/>
      <c r="BN43" s="220">
        <f>IF(BM43="YES", BF43, "")</f>
      </c>
      <c r="BO43" s="17"/>
    </row>
    <row x14ac:dyDescent="0.25" r="44" customHeight="1" ht="15">
      <c r="A44" s="202">
        <v>25568.79196759259</v>
      </c>
      <c r="B44" s="379" t="s">
        <v>778</v>
      </c>
      <c r="C44" s="204" t="s">
        <v>779</v>
      </c>
      <c r="D44" s="70" t="s">
        <v>780</v>
      </c>
      <c r="E44" s="70" t="s">
        <v>164</v>
      </c>
      <c r="F44" s="70" t="s">
        <v>680</v>
      </c>
      <c r="G44" s="205">
        <v>575</v>
      </c>
      <c r="H44" s="206">
        <v>1.32</v>
      </c>
      <c r="I44" s="207">
        <v>0.1</v>
      </c>
      <c r="J44" s="208">
        <f>H44+I44</f>
      </c>
      <c r="K44" s="209">
        <v>35000</v>
      </c>
      <c r="L44" s="58">
        <f>K44*I44</f>
      </c>
      <c r="M44" s="58">
        <f>K44*J44</f>
      </c>
      <c r="N44" s="210">
        <v>140</v>
      </c>
      <c r="O44" s="16"/>
      <c r="P44" s="211">
        <f>IF(ISBLANK(N44),O44/4.3,N44/20)</f>
      </c>
      <c r="Q44" s="209">
        <v>3500</v>
      </c>
      <c r="R44" s="3"/>
      <c r="S44" s="212" t="s">
        <v>82</v>
      </c>
      <c r="T44" s="213">
        <f>IF(ISBLANK(R44),0,X44)</f>
      </c>
      <c r="U44" s="213">
        <f>IF(ISBLANK(S44),0,X44)</f>
      </c>
      <c r="V44" s="214">
        <f>IFERROR(Q44/K44,0)</f>
      </c>
      <c r="W44" s="58">
        <f>IFERROR(L44*V44,0)</f>
      </c>
      <c r="X44" s="213">
        <f>IFERROR(Q44+W44,0)</f>
      </c>
      <c r="Y44" s="213">
        <f>IFERROR(M44*V44,0)</f>
      </c>
      <c r="Z44" s="213">
        <f>Y44-(Y44*$B$1)</f>
      </c>
      <c r="AA44" s="67">
        <f>IFERROR(Z44/X44,"")</f>
      </c>
      <c r="AB44" s="215">
        <f>IFERROR(IF(ISBLANK(N44),Y44/O44,Y44/N44),0)</f>
      </c>
      <c r="AC44" s="215">
        <f>IFERROR(-1*(AB44*B$1),0)</f>
      </c>
      <c r="AD44" s="215">
        <f>IFERROR(SUM(AB44:AC44),0)</f>
      </c>
      <c r="AE44" s="215">
        <f>IF(ISBLANK(N44),AD44,AD44*5)</f>
      </c>
      <c r="AF44" s="216">
        <f>SUM(AG44:BE44)</f>
      </c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>
        <v>87.77000000000001</v>
      </c>
      <c r="BB44" s="207">
        <v>137.72</v>
      </c>
      <c r="BC44" s="210"/>
      <c r="BD44" s="210"/>
      <c r="BE44" s="210"/>
      <c r="BF44" s="215">
        <f>Z44-AF44</f>
      </c>
      <c r="BG44" s="214">
        <f>IFERROR(AF44/Y44,0)</f>
      </c>
      <c r="BH44" s="214">
        <f>IFERROR(AF44/X44,0)</f>
      </c>
      <c r="BI44" s="214">
        <f>IFERROR((X44/SUM(X$39:X$47)),0)</f>
      </c>
      <c r="BJ44" s="214">
        <f>BF44/SUM(BF$3:BF241)</f>
      </c>
      <c r="BK44" s="217">
        <f>BF44/'R&amp;H Portfolio'!Q$10</f>
      </c>
      <c r="BL44" s="215">
        <f>BI44*P44</f>
      </c>
      <c r="BM44" s="73"/>
      <c r="BN44" s="220">
        <f>IF(BM44="YES", BF44, "")</f>
      </c>
      <c r="BO44" s="17"/>
    </row>
    <row x14ac:dyDescent="0.25" r="45" customHeight="1" ht="15">
      <c r="A45" s="202">
        <v>25568.79196759259</v>
      </c>
      <c r="B45" s="203" t="s">
        <v>781</v>
      </c>
      <c r="C45" s="3"/>
      <c r="D45" s="70" t="s">
        <v>782</v>
      </c>
      <c r="E45" s="70" t="s">
        <v>783</v>
      </c>
      <c r="F45" s="70" t="s">
        <v>784</v>
      </c>
      <c r="G45" s="205">
        <v>675</v>
      </c>
      <c r="H45" s="206">
        <v>1.3</v>
      </c>
      <c r="I45" s="207">
        <v>0.1</v>
      </c>
      <c r="J45" s="208">
        <f>H45+I45</f>
      </c>
      <c r="K45" s="209">
        <v>70000</v>
      </c>
      <c r="L45" s="58">
        <f>K45*I45</f>
      </c>
      <c r="M45" s="58">
        <f>K45*J45</f>
      </c>
      <c r="N45" s="16"/>
      <c r="O45" s="210">
        <v>32</v>
      </c>
      <c r="P45" s="211">
        <f>IF(ISBLANK(N45),O45/4.3,N45/20)</f>
      </c>
      <c r="Q45" s="209">
        <v>4000</v>
      </c>
      <c r="R45" s="212" t="s">
        <v>133</v>
      </c>
      <c r="S45" s="3"/>
      <c r="T45" s="213">
        <f>IF(ISBLANK(R45),0,X45)</f>
      </c>
      <c r="U45" s="213">
        <f>IF(ISBLANK(S45),0,X45)</f>
      </c>
      <c r="V45" s="214">
        <f>IFERROR(Q45/K45,0)</f>
      </c>
      <c r="W45" s="58">
        <f>IFERROR(L45*V45,0)</f>
      </c>
      <c r="X45" s="213">
        <f>IFERROR(Q45+W45,0)</f>
      </c>
      <c r="Y45" s="213">
        <f>IFERROR(M45*V45,0)</f>
      </c>
      <c r="Z45" s="213">
        <f>Y45-(Y45*$B$1)</f>
      </c>
      <c r="AA45" s="67">
        <f>IFERROR(Z45/X45,"")</f>
      </c>
      <c r="AB45" s="215">
        <f>IFERROR(IF(ISBLANK(N45),Y45/O45,Y45/N45),0)</f>
      </c>
      <c r="AC45" s="215">
        <f>IFERROR(-1*(AB45*B$1),0)</f>
      </c>
      <c r="AD45" s="215">
        <f>IFERROR(SUM(AB45:AC45),0)</f>
      </c>
      <c r="AE45" s="215">
        <f>IF(ISBLANK(N45),AD45,AD45*5)</f>
      </c>
      <c r="AF45" s="216">
        <f>SUM(AG45:BE45)</f>
      </c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>
        <v>169.75</v>
      </c>
      <c r="BB45" s="207">
        <v>169.75</v>
      </c>
      <c r="BC45" s="210"/>
      <c r="BD45" s="210"/>
      <c r="BE45" s="210"/>
      <c r="BF45" s="215">
        <f>Z45-AF45</f>
      </c>
      <c r="BG45" s="214">
        <f>IFERROR(AF45/Y45,0)</f>
      </c>
      <c r="BH45" s="214">
        <f>IFERROR(AF45/X45,0)</f>
      </c>
      <c r="BI45" s="214">
        <f>IFERROR((X45/SUM(X$39:X$47)),0)</f>
      </c>
      <c r="BJ45" s="214">
        <f>BF45/SUM(BF$3:BF242)</f>
      </c>
      <c r="BK45" s="217">
        <f>BF45/'R&amp;H Portfolio'!Q$10</f>
      </c>
      <c r="BL45" s="215">
        <f>BI45*P45</f>
      </c>
      <c r="BM45" s="73"/>
      <c r="BN45" s="220">
        <f>IF(BM45="YES", BF45, "")</f>
      </c>
      <c r="BO45" s="17"/>
    </row>
    <row x14ac:dyDescent="0.25" r="46" customHeight="1" ht="15">
      <c r="A46" s="202">
        <v>25568.79196759259</v>
      </c>
      <c r="B46" s="203" t="s">
        <v>785</v>
      </c>
      <c r="C46" s="204" t="s">
        <v>786</v>
      </c>
      <c r="D46" s="70" t="s">
        <v>787</v>
      </c>
      <c r="E46" s="70" t="s">
        <v>788</v>
      </c>
      <c r="F46" s="70" t="s">
        <v>160</v>
      </c>
      <c r="G46" s="205">
        <v>613</v>
      </c>
      <c r="H46" s="206">
        <v>1.32</v>
      </c>
      <c r="I46" s="207">
        <v>0.15</v>
      </c>
      <c r="J46" s="208">
        <f>H46+I46</f>
      </c>
      <c r="K46" s="209">
        <v>30000</v>
      </c>
      <c r="L46" s="58">
        <f>K46*I46</f>
      </c>
      <c r="M46" s="58">
        <f>K46*J46</f>
      </c>
      <c r="N46" s="210">
        <v>160</v>
      </c>
      <c r="O46" s="16"/>
      <c r="P46" s="211">
        <f>IF(ISBLANK(N46),O46/4.3,N46/20)</f>
      </c>
      <c r="Q46" s="209">
        <v>3000</v>
      </c>
      <c r="R46" s="3"/>
      <c r="S46" s="212" t="s">
        <v>82</v>
      </c>
      <c r="T46" s="213">
        <f>IF(ISBLANK(R46),0,X46)</f>
      </c>
      <c r="U46" s="213">
        <f>IF(ISBLANK(S46),0,X46)</f>
      </c>
      <c r="V46" s="214">
        <f>IFERROR(Q46/K46,0)</f>
      </c>
      <c r="W46" s="58">
        <f>IFERROR(L46*V46,0)</f>
      </c>
      <c r="X46" s="213">
        <f>IFERROR(Q46+W46,0)</f>
      </c>
      <c r="Y46" s="213">
        <f>IFERROR(M46*V46,0)</f>
      </c>
      <c r="Z46" s="213">
        <f>Y46-(Y46*$B$1)</f>
      </c>
      <c r="AA46" s="67">
        <f>IFERROR(Z46/X46,"")</f>
      </c>
      <c r="AB46" s="215">
        <f>IFERROR(IF(ISBLANK(N46),Y46/O46,Y46/N46),0)</f>
      </c>
      <c r="AC46" s="215">
        <f>IFERROR(-1*(AB46*B$1),0)</f>
      </c>
      <c r="AD46" s="215">
        <f>IFERROR(SUM(AB46:AC46),0)</f>
      </c>
      <c r="AE46" s="215">
        <f>IF(ISBLANK(N46),AD46,AD46*5)</f>
      </c>
      <c r="AF46" s="216">
        <f>SUM(AG46:BE46)</f>
      </c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>
        <v>26.74</v>
      </c>
      <c r="BB46" s="207">
        <v>76.82</v>
      </c>
      <c r="BC46" s="210"/>
      <c r="BD46" s="210"/>
      <c r="BE46" s="210"/>
      <c r="BF46" s="215">
        <f>Z46-AF46</f>
      </c>
      <c r="BG46" s="214">
        <f>IFERROR(AF46/Y46,0)</f>
      </c>
      <c r="BH46" s="214">
        <f>IFERROR(AF46/X46,0)</f>
      </c>
      <c r="BI46" s="214">
        <f>IFERROR((X46/SUM(X$39:X$47)),0)</f>
      </c>
      <c r="BJ46" s="214">
        <f>BF46/SUM(BF$3:BF243)</f>
      </c>
      <c r="BK46" s="217">
        <f>BF46/'R&amp;H Portfolio'!Q$10</f>
      </c>
      <c r="BL46" s="215">
        <f>BI46*P46</f>
      </c>
      <c r="BM46" s="73"/>
      <c r="BN46" s="220">
        <f>IF(BM46="YES", BF46, "")</f>
      </c>
      <c r="BO46" s="17"/>
    </row>
    <row x14ac:dyDescent="0.25" r="47" customHeight="1" ht="15">
      <c r="A47" s="223">
        <v>25568.79196759259</v>
      </c>
      <c r="B47" s="224" t="s">
        <v>789</v>
      </c>
      <c r="C47" s="226"/>
      <c r="D47" s="226" t="s">
        <v>790</v>
      </c>
      <c r="E47" s="226" t="s">
        <v>169</v>
      </c>
      <c r="F47" s="226" t="s">
        <v>197</v>
      </c>
      <c r="G47" s="245">
        <v>637</v>
      </c>
      <c r="H47" s="228">
        <v>1.3</v>
      </c>
      <c r="I47" s="229">
        <v>0.15</v>
      </c>
      <c r="J47" s="230">
        <f>H47+I47</f>
      </c>
      <c r="K47" s="231">
        <v>55000</v>
      </c>
      <c r="L47" s="232">
        <f>K47*I47</f>
      </c>
      <c r="M47" s="232">
        <f>K47*J47</f>
      </c>
      <c r="N47" s="233">
        <v>140</v>
      </c>
      <c r="O47" s="233"/>
      <c r="P47" s="234">
        <f>IF(ISBLANK(N47),O47/4.3,N47/20)</f>
      </c>
      <c r="Q47" s="231">
        <v>3000</v>
      </c>
      <c r="R47" s="246" t="s">
        <v>133</v>
      </c>
      <c r="S47" s="231"/>
      <c r="T47" s="239">
        <f>IF(ISBLANK(R47),0,X47)</f>
      </c>
      <c r="U47" s="239">
        <f>IF(ISBLANK(S47),0,X47)</f>
      </c>
      <c r="V47" s="238">
        <f>IFERROR(Q47/K47,0)</f>
      </c>
      <c r="W47" s="232">
        <f>IFERROR(L47*V47,0)</f>
      </c>
      <c r="X47" s="239">
        <f>IFERROR(Q47+W47,0)</f>
      </c>
      <c r="Y47" s="239">
        <f>IFERROR(M47*V47,0)</f>
      </c>
      <c r="Z47" s="239">
        <f>Y47-(Y47*$B$1)</f>
      </c>
      <c r="AA47" s="240">
        <f>IFERROR(Z47/X47,"")</f>
      </c>
      <c r="AB47" s="241">
        <f>IFERROR(IF(ISBLANK(N47),Y47/O47,Y47/N47),0)</f>
      </c>
      <c r="AC47" s="241">
        <f>IFERROR(-1*(AB47*B$1),0)</f>
      </c>
      <c r="AD47" s="241">
        <f>IFERROR(SUM(AB47:AC47),0)</f>
      </c>
      <c r="AE47" s="241">
        <f>IF(ISBLANK(N47),AD47,AD47*5)</f>
      </c>
      <c r="AF47" s="242">
        <f>SUM(AG47:BE47)</f>
      </c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>
        <v>30.14</v>
      </c>
      <c r="BB47" s="229">
        <v>120.56</v>
      </c>
      <c r="BC47" s="233"/>
      <c r="BD47" s="233"/>
      <c r="BE47" s="233"/>
      <c r="BF47" s="241">
        <f>Z47-AF47</f>
      </c>
      <c r="BG47" s="238">
        <f>IFERROR(AF47/Y47,0)</f>
      </c>
      <c r="BH47" s="238">
        <f>IFERROR(AF47/X47,0)</f>
      </c>
      <c r="BI47" s="214">
        <f>IFERROR((X47/SUM(X$39:X$47)),0)</f>
      </c>
      <c r="BJ47" s="238">
        <f>BF47/SUM(BF$3:BF244)</f>
      </c>
      <c r="BK47" s="217">
        <f>BF47/'R&amp;H Portfolio'!Q$10</f>
      </c>
      <c r="BL47" s="241">
        <f>BI47*P47</f>
      </c>
      <c r="BM47" s="218"/>
      <c r="BN47" s="219">
        <f>IF(BM47="YES", BF47, "")</f>
      </c>
      <c r="BO47" s="17"/>
    </row>
    <row x14ac:dyDescent="0.25" r="48" customHeight="1" ht="15">
      <c r="A48" s="202">
        <v>25568.79196759259</v>
      </c>
      <c r="B48" s="379" t="s">
        <v>791</v>
      </c>
      <c r="C48" s="204" t="s">
        <v>792</v>
      </c>
      <c r="D48" s="70" t="s">
        <v>793</v>
      </c>
      <c r="E48" s="70" t="s">
        <v>794</v>
      </c>
      <c r="F48" s="70" t="s">
        <v>335</v>
      </c>
      <c r="G48" s="205">
        <v>612</v>
      </c>
      <c r="H48" s="206">
        <v>1.31</v>
      </c>
      <c r="I48" s="207">
        <v>0.15</v>
      </c>
      <c r="J48" s="208">
        <f>H48+I48</f>
      </c>
      <c r="K48" s="209">
        <v>55000</v>
      </c>
      <c r="L48" s="58">
        <f>K48*I48</f>
      </c>
      <c r="M48" s="58">
        <f>K48*J48</f>
      </c>
      <c r="N48" s="16"/>
      <c r="O48" s="210">
        <v>28</v>
      </c>
      <c r="P48" s="211">
        <f>IF(ISBLANK(N48),O48/4.3,N48/20)</f>
      </c>
      <c r="Q48" s="209">
        <v>4000</v>
      </c>
      <c r="R48" s="3"/>
      <c r="S48" s="212" t="s">
        <v>82</v>
      </c>
      <c r="T48" s="213">
        <f>IF(ISBLANK(R48),0,X48)</f>
      </c>
      <c r="U48" s="213">
        <f>IF(ISBLANK(S48),0,X48)</f>
      </c>
      <c r="V48" s="214">
        <f>IFERROR(Q48/K48,0)</f>
      </c>
      <c r="W48" s="58">
        <f>IFERROR(L48*V48,0)</f>
      </c>
      <c r="X48" s="213">
        <f>IFERROR(Q48+W48,0)</f>
      </c>
      <c r="Y48" s="213">
        <f>IFERROR(M48*V48,0)</f>
      </c>
      <c r="Z48" s="213">
        <f>Y48-(Y48*$B$1)</f>
      </c>
      <c r="AA48" s="67">
        <f>IFERROR(Z48/X48,"")</f>
      </c>
      <c r="AB48" s="215">
        <f>IFERROR(IF(ISBLANK(N48),Y48/O48,Y48/N48),0)</f>
      </c>
      <c r="AC48" s="215">
        <f>IFERROR(-1*(AB48*B$1),0)</f>
      </c>
      <c r="AD48" s="215">
        <f>IFERROR(SUM(AB48:AC48),0)</f>
      </c>
      <c r="AE48" s="215">
        <f>IF(ISBLANK(N48),AD48,AD48*5)</f>
      </c>
      <c r="AF48" s="216">
        <f>SUM(AG48:BE48)</f>
      </c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10"/>
      <c r="BD48" s="210"/>
      <c r="BE48" s="210"/>
      <c r="BF48" s="215">
        <f>Z48-AF48</f>
      </c>
      <c r="BG48" s="214">
        <f>IFERROR(AF48/Y48,0)</f>
      </c>
      <c r="BH48" s="214">
        <f>IFERROR(AF48/X48,0)</f>
      </c>
      <c r="BI48" s="214">
        <f>IFERROR((X48/SUM(X$48:X$60)),0)</f>
      </c>
      <c r="BJ48" s="214">
        <f>BF48/SUM(BF$3:BF245)</f>
      </c>
      <c r="BK48" s="217">
        <f>BF48/'R&amp;H Portfolio'!Q$10</f>
      </c>
      <c r="BL48" s="215">
        <f>BI48*P48</f>
      </c>
      <c r="BM48" s="73"/>
      <c r="BN48" s="220">
        <f>IF(BM48="YES", BF48, "")</f>
      </c>
      <c r="BO48" s="17"/>
    </row>
    <row x14ac:dyDescent="0.25" r="49" customHeight="1" ht="15">
      <c r="A49" s="202">
        <v>25568.79196759259</v>
      </c>
      <c r="B49" s="379" t="s">
        <v>795</v>
      </c>
      <c r="C49" s="204" t="s">
        <v>796</v>
      </c>
      <c r="D49" s="70" t="s">
        <v>797</v>
      </c>
      <c r="E49" s="70" t="s">
        <v>144</v>
      </c>
      <c r="F49" s="70" t="s">
        <v>226</v>
      </c>
      <c r="G49" s="205">
        <v>613</v>
      </c>
      <c r="H49" s="206">
        <v>1.33</v>
      </c>
      <c r="I49" s="207">
        <v>0.15</v>
      </c>
      <c r="J49" s="208">
        <f>H49+I49</f>
      </c>
      <c r="K49" s="209">
        <v>25000</v>
      </c>
      <c r="L49" s="58">
        <f>K49*I49</f>
      </c>
      <c r="M49" s="58">
        <f>K49*J49</f>
      </c>
      <c r="N49" s="210">
        <v>180</v>
      </c>
      <c r="O49" s="16"/>
      <c r="P49" s="211">
        <f>IF(ISBLANK(N49),O49/4.3,N49/20)</f>
      </c>
      <c r="Q49" s="209">
        <v>2000</v>
      </c>
      <c r="R49" s="3"/>
      <c r="S49" s="212" t="s">
        <v>82</v>
      </c>
      <c r="T49" s="213">
        <f>IF(ISBLANK(R49),0,X49)</f>
      </c>
      <c r="U49" s="213">
        <f>IF(ISBLANK(S49),0,X49)</f>
      </c>
      <c r="V49" s="214">
        <f>IFERROR(Q49/K49,0)</f>
      </c>
      <c r="W49" s="58">
        <f>IFERROR(L49*V49,0)</f>
      </c>
      <c r="X49" s="213">
        <f>IFERROR(Q49+W49,0)</f>
      </c>
      <c r="Y49" s="213">
        <f>IFERROR(M49*V49,0)</f>
      </c>
      <c r="Z49" s="213">
        <f>Y49-(Y49*$B$1)</f>
      </c>
      <c r="AA49" s="67">
        <f>IFERROR(Z49/X49,"")</f>
      </c>
      <c r="AB49" s="215">
        <f>IFERROR(IF(ISBLANK(N49),Y49/O49,Y49/N49),0)</f>
      </c>
      <c r="AC49" s="215">
        <f>IFERROR(-1*(AB49*B$1),0)</f>
      </c>
      <c r="AD49" s="215">
        <f>IFERROR(SUM(AB49:AC49),0)</f>
      </c>
      <c r="AE49" s="215">
        <f>IF(ISBLANK(N49),AD49,AD49*5)</f>
      </c>
      <c r="AF49" s="216">
        <f>SUM(AG49:BE49)</f>
      </c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07"/>
      <c r="BA49" s="207"/>
      <c r="BB49" s="207"/>
      <c r="BC49" s="210"/>
      <c r="BD49" s="210"/>
      <c r="BE49" s="210"/>
      <c r="BF49" s="215">
        <f>Z49-AF49</f>
      </c>
      <c r="BG49" s="214">
        <f>IFERROR(AF49/Y49,0)</f>
      </c>
      <c r="BH49" s="214">
        <f>IFERROR(AF49/X49,0)</f>
      </c>
      <c r="BI49" s="214">
        <f>IFERROR((X49/SUM(X$48:X$60)),0)</f>
      </c>
      <c r="BJ49" s="214">
        <f>BF49/SUM(BF$3:BF246)</f>
      </c>
      <c r="BK49" s="217">
        <f>BF49/'R&amp;H Portfolio'!Q$10</f>
      </c>
      <c r="BL49" s="215">
        <f>BI49*P49</f>
      </c>
      <c r="BM49" s="73"/>
      <c r="BN49" s="220">
        <f>IF(BM49="YES", BF49, "")</f>
      </c>
      <c r="BO49" s="17"/>
    </row>
    <row x14ac:dyDescent="0.25" r="50" customHeight="1" ht="15">
      <c r="A50" s="202">
        <v>25568.79196759259</v>
      </c>
      <c r="B50" s="379" t="s">
        <v>798</v>
      </c>
      <c r="C50" s="204" t="s">
        <v>799</v>
      </c>
      <c r="D50" s="70" t="s">
        <v>800</v>
      </c>
      <c r="E50" s="70" t="s">
        <v>201</v>
      </c>
      <c r="F50" s="70" t="s">
        <v>306</v>
      </c>
      <c r="G50" s="205">
        <v>618</v>
      </c>
      <c r="H50" s="206">
        <v>1.32</v>
      </c>
      <c r="I50" s="207">
        <v>0.1</v>
      </c>
      <c r="J50" s="208">
        <f>H50+I50</f>
      </c>
      <c r="K50" s="209">
        <v>70000</v>
      </c>
      <c r="L50" s="58">
        <f>K50*I50</f>
      </c>
      <c r="M50" s="58">
        <f>K50*J50</f>
      </c>
      <c r="N50" s="16"/>
      <c r="O50" s="210">
        <v>39</v>
      </c>
      <c r="P50" s="211">
        <f>IF(ISBLANK(N50),O50/4.3,N50/20)</f>
      </c>
      <c r="Q50" s="209">
        <v>5000</v>
      </c>
      <c r="R50" s="3"/>
      <c r="S50" s="212" t="s">
        <v>82</v>
      </c>
      <c r="T50" s="213">
        <f>IF(ISBLANK(R50),0,X50)</f>
      </c>
      <c r="U50" s="213">
        <f>IF(ISBLANK(S50),0,X50)</f>
      </c>
      <c r="V50" s="214">
        <f>IFERROR(Q50/K50,0)</f>
      </c>
      <c r="W50" s="58">
        <f>IFERROR(L50*V50,0)</f>
      </c>
      <c r="X50" s="213">
        <f>IFERROR(Q50+W50,0)</f>
      </c>
      <c r="Y50" s="213">
        <f>IFERROR(M50*V50,0)</f>
      </c>
      <c r="Z50" s="213">
        <f>Y50-(Y50*$B$1)</f>
      </c>
      <c r="AA50" s="67">
        <f>IFERROR(Z50/X50,"")</f>
      </c>
      <c r="AB50" s="215">
        <f>IFERROR(IF(ISBLANK(N50),Y50/O50,Y50/N50),0)</f>
      </c>
      <c r="AC50" s="215">
        <f>IFERROR(-1*(AB50*B$1),0)</f>
      </c>
      <c r="AD50" s="215">
        <f>IFERROR(SUM(AB50:AC50),0)</f>
      </c>
      <c r="AE50" s="215">
        <f>IF(ISBLANK(N50),AD50,AD50*5)</f>
      </c>
      <c r="AF50" s="216">
        <f>SUM(AG50:BE50)</f>
      </c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10"/>
      <c r="BD50" s="210"/>
      <c r="BE50" s="210"/>
      <c r="BF50" s="215">
        <f>Z50-AF50</f>
      </c>
      <c r="BG50" s="214">
        <f>IFERROR(AF50/Y50,0)</f>
      </c>
      <c r="BH50" s="214">
        <f>IFERROR(AF50/X50,0)</f>
      </c>
      <c r="BI50" s="214">
        <f>IFERROR((X50/SUM(X$48:X$60)),0)</f>
      </c>
      <c r="BJ50" s="214">
        <f>BF50/SUM(BF$3:BF247)</f>
      </c>
      <c r="BK50" s="217">
        <f>BF50/'R&amp;H Portfolio'!Q$10</f>
      </c>
      <c r="BL50" s="215">
        <f>BI50*P50</f>
      </c>
      <c r="BM50" s="73"/>
      <c r="BN50" s="220">
        <f>IF(BM50="YES", BF50, "")</f>
      </c>
      <c r="BO50" s="17"/>
    </row>
    <row x14ac:dyDescent="0.25" r="51" customHeight="1" ht="15">
      <c r="A51" s="202">
        <v>25568.79196759259</v>
      </c>
      <c r="B51" s="379" t="s">
        <v>801</v>
      </c>
      <c r="C51" s="204" t="s">
        <v>802</v>
      </c>
      <c r="D51" s="70" t="s">
        <v>803</v>
      </c>
      <c r="E51" s="70" t="s">
        <v>804</v>
      </c>
      <c r="F51" s="70" t="s">
        <v>183</v>
      </c>
      <c r="G51" s="205">
        <v>525</v>
      </c>
      <c r="H51" s="206">
        <v>1.32</v>
      </c>
      <c r="I51" s="207">
        <v>0.12</v>
      </c>
      <c r="J51" s="208">
        <f>H51+I51</f>
      </c>
      <c r="K51" s="209">
        <v>15000</v>
      </c>
      <c r="L51" s="58">
        <f>K51*I51</f>
      </c>
      <c r="M51" s="58">
        <f>K51*J51</f>
      </c>
      <c r="N51" s="210">
        <v>140</v>
      </c>
      <c r="O51" s="16"/>
      <c r="P51" s="211">
        <f>IF(ISBLANK(N51),O51/4.3,N51/20)</f>
      </c>
      <c r="Q51" s="209">
        <v>3000</v>
      </c>
      <c r="R51" s="3"/>
      <c r="S51" s="212" t="s">
        <v>82</v>
      </c>
      <c r="T51" s="213">
        <f>IF(ISBLANK(R51),0,X51)</f>
      </c>
      <c r="U51" s="213">
        <f>IF(ISBLANK(S51),0,X51)</f>
      </c>
      <c r="V51" s="214">
        <f>IFERROR(Q51/K51,0)</f>
      </c>
      <c r="W51" s="58">
        <f>IFERROR(L51*V51,0)</f>
      </c>
      <c r="X51" s="213">
        <f>IFERROR(Q51+W51,0)</f>
      </c>
      <c r="Y51" s="213">
        <f>IFERROR(M51*V51,0)</f>
      </c>
      <c r="Z51" s="213">
        <f>Y51-(Y51*$B$1)</f>
      </c>
      <c r="AA51" s="67">
        <f>IFERROR(Z51/X51,"")</f>
      </c>
      <c r="AB51" s="215">
        <f>IFERROR(IF(ISBLANK(N51),Y51/O51,Y51/N51),0)</f>
      </c>
      <c r="AC51" s="215">
        <f>IFERROR(-1*(AB51*B$1),0)</f>
      </c>
      <c r="AD51" s="215">
        <f>IFERROR(SUM(AB51:AC51),0)</f>
      </c>
      <c r="AE51" s="215">
        <f>IF(ISBLANK(N51),AD51,AD51*5)</f>
      </c>
      <c r="AF51" s="216">
        <f>SUM(AG51:BE51)</f>
      </c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6"/>
      <c r="BD51" s="16"/>
      <c r="BE51" s="16"/>
      <c r="BF51" s="215">
        <f>Z51-AF51</f>
      </c>
      <c r="BG51" s="214">
        <f>IFERROR(AF51/Y51,0)</f>
      </c>
      <c r="BH51" s="214">
        <f>IFERROR(AF51/X51,0)</f>
      </c>
      <c r="BI51" s="214">
        <f>IFERROR((X51/SUM(X$48:X$60)),0)</f>
      </c>
      <c r="BJ51" s="214">
        <f>BF51/SUM(BF$3:BF248)</f>
      </c>
      <c r="BK51" s="217">
        <f>BF51/'R&amp;H Portfolio'!Q$10</f>
      </c>
      <c r="BL51" s="215">
        <f>BI51*P51</f>
      </c>
      <c r="BM51" s="3"/>
      <c r="BN51" s="3"/>
      <c r="BO51" s="17"/>
    </row>
    <row x14ac:dyDescent="0.25" r="52" customHeight="1" ht="15">
      <c r="A52" s="202">
        <v>25568.79196759259</v>
      </c>
      <c r="B52" s="379" t="s">
        <v>805</v>
      </c>
      <c r="C52" s="204" t="s">
        <v>806</v>
      </c>
      <c r="D52" s="70" t="s">
        <v>807</v>
      </c>
      <c r="E52" s="70" t="s">
        <v>808</v>
      </c>
      <c r="F52" s="70" t="s">
        <v>306</v>
      </c>
      <c r="G52" s="205">
        <v>614</v>
      </c>
      <c r="H52" s="206">
        <v>1.31</v>
      </c>
      <c r="I52" s="207">
        <v>0.1</v>
      </c>
      <c r="J52" s="208">
        <f>H52+I52</f>
      </c>
      <c r="K52" s="209">
        <v>30000</v>
      </c>
      <c r="L52" s="58">
        <f>K52*I52</f>
      </c>
      <c r="M52" s="58">
        <f>K52*J52</f>
      </c>
      <c r="N52" s="16"/>
      <c r="O52" s="210">
        <v>32</v>
      </c>
      <c r="P52" s="211">
        <f>IF(ISBLANK(N52),O52/4.3,N52/20)</f>
      </c>
      <c r="Q52" s="209">
        <v>3000</v>
      </c>
      <c r="R52" s="3"/>
      <c r="S52" s="212" t="s">
        <v>82</v>
      </c>
      <c r="T52" s="213">
        <f>IF(ISBLANK(R52),0,X52)</f>
      </c>
      <c r="U52" s="213">
        <f>IF(ISBLANK(S52),0,X52)</f>
      </c>
      <c r="V52" s="214">
        <f>IFERROR(Q52/K52,0)</f>
      </c>
      <c r="W52" s="58">
        <f>IFERROR(L52*V52,0)</f>
      </c>
      <c r="X52" s="213">
        <f>IFERROR(Q52+W52,0)</f>
      </c>
      <c r="Y52" s="213">
        <f>IFERROR(M52*V52,0)</f>
      </c>
      <c r="Z52" s="213">
        <f>Y52-(Y52*$B$1)</f>
      </c>
      <c r="AA52" s="67">
        <f>IFERROR(Z52/X52,"")</f>
      </c>
      <c r="AB52" s="215">
        <f>IFERROR(IF(ISBLANK(N52),Y52/O52,Y52/N52),0)</f>
      </c>
      <c r="AC52" s="215">
        <f>IFERROR(-1*(AB52*B$1),0)</f>
      </c>
      <c r="AD52" s="215">
        <f>IFERROR(SUM(AB52:AC52),0)</f>
      </c>
      <c r="AE52" s="215">
        <f>IF(ISBLANK(N52),AD52,AD52*5)</f>
      </c>
      <c r="AF52" s="216">
        <f>SUM(AG52:BE52)</f>
      </c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6"/>
      <c r="BD52" s="16"/>
      <c r="BE52" s="16"/>
      <c r="BF52" s="215">
        <f>Z52-AF52</f>
      </c>
      <c r="BG52" s="214">
        <f>IFERROR(AF52/Y52,0)</f>
      </c>
      <c r="BH52" s="214">
        <f>IFERROR(AF52/X52,0)</f>
      </c>
      <c r="BI52" s="214">
        <f>IFERROR((X52/SUM(X$48:X$60)),0)</f>
      </c>
      <c r="BJ52" s="214">
        <f>BF52/SUM(BF$3:BF249)</f>
      </c>
      <c r="BK52" s="217">
        <f>BF52/'R&amp;H Portfolio'!Q$10</f>
      </c>
      <c r="BL52" s="215">
        <f>BI52*P52</f>
      </c>
      <c r="BM52" s="3"/>
      <c r="BN52" s="3"/>
      <c r="BO52" s="17"/>
    </row>
    <row x14ac:dyDescent="0.25" r="53" customHeight="1" ht="15">
      <c r="A53" s="17"/>
      <c r="B53" s="14"/>
      <c r="C53" s="3"/>
      <c r="D53" s="3"/>
      <c r="E53" s="3"/>
      <c r="F53" s="3"/>
      <c r="G53" s="205"/>
      <c r="H53" s="18"/>
      <c r="I53" s="18"/>
      <c r="J53" s="208">
        <f>H53+I53</f>
      </c>
      <c r="K53" s="1"/>
      <c r="L53" s="58">
        <f>K53*I53</f>
      </c>
      <c r="M53" s="58">
        <f>K53*J53</f>
      </c>
      <c r="N53" s="16"/>
      <c r="O53" s="16"/>
      <c r="P53" s="211">
        <f>IF(ISBLANK(N53),O53/4.3,N53/20)</f>
      </c>
      <c r="Q53" s="209"/>
      <c r="R53" s="3"/>
      <c r="S53" s="3"/>
      <c r="T53" s="213">
        <f>IF(ISBLANK(R53),0,X53)</f>
      </c>
      <c r="U53" s="213">
        <f>IF(ISBLANK(S53),0,X53)</f>
      </c>
      <c r="V53" s="214">
        <f>IFERROR(Q53/K53,0)</f>
      </c>
      <c r="W53" s="58">
        <f>IFERROR(L53*V53,0)</f>
      </c>
      <c r="X53" s="213">
        <f>IFERROR(Q53+W53,0)</f>
      </c>
      <c r="Y53" s="213">
        <f>IFERROR(M53*V53,0)</f>
      </c>
      <c r="Z53" s="213">
        <f>Y53-(Y53*$B$1)</f>
      </c>
      <c r="AA53" s="67">
        <f>IFERROR(Z53/X53,"")</f>
      </c>
      <c r="AB53" s="215">
        <f>IFERROR(IF(ISBLANK(N53),Y53/O53,Y53/N53),0)</f>
      </c>
      <c r="AC53" s="215">
        <f>IFERROR(-1*(AB53*B$1),0)</f>
      </c>
      <c r="AD53" s="215">
        <f>IFERROR(SUM(AB53:AC53),0)</f>
      </c>
      <c r="AE53" s="215">
        <f>IF(ISBLANK(N53),AD53,AD53*5)</f>
      </c>
      <c r="AF53" s="216">
        <f>SUM(AG53:BE53)</f>
      </c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6"/>
      <c r="BD53" s="16"/>
      <c r="BE53" s="16"/>
      <c r="BF53" s="215">
        <f>Z53-AF53</f>
      </c>
      <c r="BG53" s="214">
        <f>IFERROR(AF53/Y53,0)</f>
      </c>
      <c r="BH53" s="214">
        <f>IFERROR(AF53/X53,0)</f>
      </c>
      <c r="BI53" s="214">
        <f>IFERROR((X53/SUM(X$48:X$60)),0)</f>
      </c>
      <c r="BJ53" s="214">
        <f>BF53/SUM(BF$3:BF250)</f>
      </c>
      <c r="BK53" s="217">
        <f>BF53/'R&amp;H Portfolio'!Q$10</f>
      </c>
      <c r="BL53" s="215">
        <f>BI53*P53</f>
      </c>
      <c r="BM53" s="3"/>
      <c r="BN53" s="3"/>
      <c r="BO53" s="17"/>
    </row>
    <row x14ac:dyDescent="0.25" r="54" customHeight="1" ht="15">
      <c r="A54" s="17"/>
      <c r="B54" s="14"/>
      <c r="C54" s="3"/>
      <c r="D54" s="3"/>
      <c r="E54" s="3"/>
      <c r="F54" s="3"/>
      <c r="G54" s="205"/>
      <c r="H54" s="18"/>
      <c r="I54" s="18"/>
      <c r="J54" s="208">
        <f>H54+I54</f>
      </c>
      <c r="K54" s="1"/>
      <c r="L54" s="58">
        <f>K54*I54</f>
      </c>
      <c r="M54" s="58">
        <f>K54*J54</f>
      </c>
      <c r="N54" s="16"/>
      <c r="O54" s="16"/>
      <c r="P54" s="211">
        <f>IF(ISBLANK(N54),O54/4.3,N54/20)</f>
      </c>
      <c r="Q54" s="209"/>
      <c r="R54" s="3"/>
      <c r="S54" s="3"/>
      <c r="T54" s="213">
        <f>IF(ISBLANK(R54),0,X54)</f>
      </c>
      <c r="U54" s="213">
        <f>IF(ISBLANK(S54),0,X54)</f>
      </c>
      <c r="V54" s="214">
        <f>IFERROR(Q54/K54,0)</f>
      </c>
      <c r="W54" s="58">
        <f>IFERROR(L54*V54,0)</f>
      </c>
      <c r="X54" s="213">
        <f>IFERROR(Q54+W54,0)</f>
      </c>
      <c r="Y54" s="213">
        <f>IFERROR(M54*V54,0)</f>
      </c>
      <c r="Z54" s="213">
        <f>Y54-(Y54*$B$1)</f>
      </c>
      <c r="AA54" s="67">
        <f>IFERROR(Z54/X54,"")</f>
      </c>
      <c r="AB54" s="215">
        <f>IFERROR(IF(ISBLANK(N54),Y54/O54,Y54/N54),0)</f>
      </c>
      <c r="AC54" s="215">
        <f>IFERROR(-1*(AB54*B$1),0)</f>
      </c>
      <c r="AD54" s="215">
        <f>IFERROR(SUM(AB54:AC54),0)</f>
      </c>
      <c r="AE54" s="215">
        <f>IF(ISBLANK(N54),AD54,AD54*5)</f>
      </c>
      <c r="AF54" s="216">
        <f>SUM(AG54:BE54)</f>
      </c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6"/>
      <c r="BD54" s="16"/>
      <c r="BE54" s="16"/>
      <c r="BF54" s="215">
        <f>Z54-AF54</f>
      </c>
      <c r="BG54" s="214">
        <f>IFERROR(AF54/Y54,0)</f>
      </c>
      <c r="BH54" s="214">
        <f>IFERROR(AF54/X54,0)</f>
      </c>
      <c r="BI54" s="214">
        <f>IFERROR((X54/SUM(X$48:X$60)),0)</f>
      </c>
      <c r="BJ54" s="214">
        <f>BF54/SUM(BF$3:BF251)</f>
      </c>
      <c r="BK54" s="217">
        <f>BF54/'R&amp;H Portfolio'!Q$10</f>
      </c>
      <c r="BL54" s="215">
        <f>BI54*P54</f>
      </c>
      <c r="BM54" s="3"/>
      <c r="BN54" s="3"/>
      <c r="BO54" s="17"/>
    </row>
    <row x14ac:dyDescent="0.25" r="55" customHeight="1" ht="15">
      <c r="A55" s="17"/>
      <c r="B55" s="14"/>
      <c r="C55" s="3"/>
      <c r="D55" s="3"/>
      <c r="E55" s="3"/>
      <c r="F55" s="3"/>
      <c r="G55" s="205"/>
      <c r="H55" s="18"/>
      <c r="I55" s="18"/>
      <c r="J55" s="208">
        <f>H55+I55</f>
      </c>
      <c r="K55" s="1"/>
      <c r="L55" s="58">
        <f>K55*I55</f>
      </c>
      <c r="M55" s="58">
        <f>K55*J55</f>
      </c>
      <c r="N55" s="16"/>
      <c r="O55" s="16"/>
      <c r="P55" s="211">
        <f>IF(ISBLANK(N55),O55/4.3,N55/20)</f>
      </c>
      <c r="Q55" s="209"/>
      <c r="R55" s="3"/>
      <c r="S55" s="3"/>
      <c r="T55" s="213">
        <f>IF(ISBLANK(R55),0,X55)</f>
      </c>
      <c r="U55" s="213">
        <f>IF(ISBLANK(S55),0,X55)</f>
      </c>
      <c r="V55" s="214">
        <f>IFERROR(Q55/K55,0)</f>
      </c>
      <c r="W55" s="58">
        <f>IFERROR(L55*V55,0)</f>
      </c>
      <c r="X55" s="213">
        <f>IFERROR(Q55+W55,0)</f>
      </c>
      <c r="Y55" s="213">
        <f>IFERROR(M55*V55,0)</f>
      </c>
      <c r="Z55" s="213">
        <f>Y55-(Y55*$B$1)</f>
      </c>
      <c r="AA55" s="67">
        <f>IFERROR(Z55/X55,"")</f>
      </c>
      <c r="AB55" s="215">
        <f>IFERROR(IF(ISBLANK(N55),Y55/O55,Y55/N55),0)</f>
      </c>
      <c r="AC55" s="215">
        <f>IFERROR(-1*(AB55*B$1),0)</f>
      </c>
      <c r="AD55" s="215">
        <f>IFERROR(SUM(AB55:AC55),0)</f>
      </c>
      <c r="AE55" s="215">
        <f>IF(ISBLANK(N55),AD55,AD55*5)</f>
      </c>
      <c r="AF55" s="216">
        <f>SUM(AG55:BE55)</f>
      </c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6"/>
      <c r="BD55" s="16"/>
      <c r="BE55" s="16"/>
      <c r="BF55" s="215">
        <f>Z55-AF55</f>
      </c>
      <c r="BG55" s="214">
        <f>IFERROR(AF55/Y55,0)</f>
      </c>
      <c r="BH55" s="214">
        <f>IFERROR(AF55/X55,0)</f>
      </c>
      <c r="BI55" s="214">
        <f>IFERROR((X55/SUM(X$48:X$60)),0)</f>
      </c>
      <c r="BJ55" s="214">
        <f>BF55/SUM(BF$3:BF252)</f>
      </c>
      <c r="BK55" s="217">
        <f>BF55/'R&amp;H Portfolio'!Q$10</f>
      </c>
      <c r="BL55" s="215">
        <f>BI55*P55</f>
      </c>
      <c r="BM55" s="3"/>
      <c r="BN55" s="3"/>
      <c r="BO55" s="17"/>
    </row>
    <row x14ac:dyDescent="0.25" r="56" customHeight="1" ht="15">
      <c r="A56" s="17"/>
      <c r="B56" s="14"/>
      <c r="C56" s="3"/>
      <c r="D56" s="3"/>
      <c r="E56" s="3"/>
      <c r="F56" s="3"/>
      <c r="G56" s="205"/>
      <c r="H56" s="18"/>
      <c r="I56" s="18"/>
      <c r="J56" s="208">
        <f>H56+I56</f>
      </c>
      <c r="K56" s="1"/>
      <c r="L56" s="58">
        <f>K56*I56</f>
      </c>
      <c r="M56" s="58">
        <f>K56*J56</f>
      </c>
      <c r="N56" s="16"/>
      <c r="O56" s="16"/>
      <c r="P56" s="211">
        <f>IF(ISBLANK(N56),O56/4.3,N56/20)</f>
      </c>
      <c r="Q56" s="209"/>
      <c r="R56" s="3"/>
      <c r="S56" s="3"/>
      <c r="T56" s="213">
        <f>IF(ISBLANK(R56),0,X56)</f>
      </c>
      <c r="U56" s="213">
        <f>IF(ISBLANK(S56),0,X56)</f>
      </c>
      <c r="V56" s="214">
        <f>IFERROR(Q56/K56,0)</f>
      </c>
      <c r="W56" s="58">
        <f>IFERROR(L56*V56,0)</f>
      </c>
      <c r="X56" s="213">
        <f>IFERROR(Q56+W56,0)</f>
      </c>
      <c r="Y56" s="213">
        <f>IFERROR(M56*V56,0)</f>
      </c>
      <c r="Z56" s="213">
        <f>Y56-(Y56*$B$1)</f>
      </c>
      <c r="AA56" s="67">
        <f>IFERROR(Z56/X56,"")</f>
      </c>
      <c r="AB56" s="215">
        <f>IFERROR(IF(ISBLANK(N56),Y56/O56,Y56/N56),0)</f>
      </c>
      <c r="AC56" s="215">
        <f>IFERROR(-1*(AB56*B$1),0)</f>
      </c>
      <c r="AD56" s="215">
        <f>IFERROR(SUM(AB56:AC56),0)</f>
      </c>
      <c r="AE56" s="215">
        <f>IF(ISBLANK(N56),AD56,AD56*5)</f>
      </c>
      <c r="AF56" s="216">
        <f>SUM(AG56:BE56)</f>
      </c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6"/>
      <c r="BD56" s="16"/>
      <c r="BE56" s="16"/>
      <c r="BF56" s="215">
        <f>Z56-AF56</f>
      </c>
      <c r="BG56" s="214">
        <f>IFERROR(AF56/Y56,0)</f>
      </c>
      <c r="BH56" s="214">
        <f>IFERROR(AF56/X56,0)</f>
      </c>
      <c r="BI56" s="214">
        <f>IFERROR((X56/SUM(X$48:X$60)),0)</f>
      </c>
      <c r="BJ56" s="214">
        <f>BF56/SUM(BF$3:BF253)</f>
      </c>
      <c r="BK56" s="217">
        <f>BF56/'R&amp;H Portfolio'!Q$10</f>
      </c>
      <c r="BL56" s="215">
        <f>BI56*P56</f>
      </c>
      <c r="BM56" s="3"/>
      <c r="BN56" s="3"/>
      <c r="BO56" s="17"/>
    </row>
    <row x14ac:dyDescent="0.25" r="57" customHeight="1" ht="15">
      <c r="A57" s="17"/>
      <c r="B57" s="14"/>
      <c r="C57" s="3"/>
      <c r="D57" s="3"/>
      <c r="E57" s="3"/>
      <c r="F57" s="3"/>
      <c r="G57" s="205"/>
      <c r="H57" s="18"/>
      <c r="I57" s="18"/>
      <c r="J57" s="208">
        <f>H57+I57</f>
      </c>
      <c r="K57" s="1"/>
      <c r="L57" s="58">
        <f>K57*I57</f>
      </c>
      <c r="M57" s="58">
        <f>K57*J57</f>
      </c>
      <c r="N57" s="16"/>
      <c r="O57" s="16"/>
      <c r="P57" s="211">
        <f>IF(ISBLANK(N57),O57/4.3,N57/20)</f>
      </c>
      <c r="Q57" s="209"/>
      <c r="R57" s="3"/>
      <c r="S57" s="3"/>
      <c r="T57" s="213">
        <f>IF(ISBLANK(R57),0,X57)</f>
      </c>
      <c r="U57" s="213">
        <f>IF(ISBLANK(S57),0,X57)</f>
      </c>
      <c r="V57" s="214">
        <f>IFERROR(Q57/K57,0)</f>
      </c>
      <c r="W57" s="58">
        <f>IFERROR(L57*V57,0)</f>
      </c>
      <c r="X57" s="213">
        <f>IFERROR(Q57+W57,0)</f>
      </c>
      <c r="Y57" s="213">
        <f>IFERROR(M57*V57,0)</f>
      </c>
      <c r="Z57" s="213">
        <f>Y57-(Y57*$B$1)</f>
      </c>
      <c r="AA57" s="67">
        <f>IFERROR(Z57/X57,"")</f>
      </c>
      <c r="AB57" s="215">
        <f>IFERROR(IF(ISBLANK(N57),Y57/O57,Y57/N57),0)</f>
      </c>
      <c r="AC57" s="215">
        <f>IFERROR(-1*(AB57*B$1),0)</f>
      </c>
      <c r="AD57" s="215">
        <f>IFERROR(SUM(AB57:AC57),0)</f>
      </c>
      <c r="AE57" s="215">
        <f>IF(ISBLANK(N57),AD57,AD57*5)</f>
      </c>
      <c r="AF57" s="216">
        <f>SUM(AG57:BE57)</f>
      </c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6"/>
      <c r="BD57" s="16"/>
      <c r="BE57" s="16"/>
      <c r="BF57" s="215">
        <f>Z57-AF57</f>
      </c>
      <c r="BG57" s="214">
        <f>IFERROR(AF57/Y57,0)</f>
      </c>
      <c r="BH57" s="214">
        <f>IFERROR(AF57/X57,0)</f>
      </c>
      <c r="BI57" s="214">
        <f>IFERROR((X57/SUM(X$48:X$60)),0)</f>
      </c>
      <c r="BJ57" s="214">
        <f>BF57/SUM(BF$3:BF254)</f>
      </c>
      <c r="BK57" s="217">
        <f>BF57/'R&amp;H Portfolio'!Q$10</f>
      </c>
      <c r="BL57" s="215">
        <f>BI57*P57</f>
      </c>
      <c r="BM57" s="3"/>
      <c r="BN57" s="3"/>
      <c r="BO57" s="17"/>
    </row>
    <row x14ac:dyDescent="0.25" r="58" customHeight="1" ht="15">
      <c r="A58" s="17"/>
      <c r="B58" s="14"/>
      <c r="C58" s="3"/>
      <c r="D58" s="3"/>
      <c r="E58" s="3"/>
      <c r="F58" s="3"/>
      <c r="G58" s="205"/>
      <c r="H58" s="18"/>
      <c r="I58" s="18"/>
      <c r="J58" s="208">
        <f>H58+I58</f>
      </c>
      <c r="K58" s="1"/>
      <c r="L58" s="58">
        <f>K58*I58</f>
      </c>
      <c r="M58" s="58">
        <f>K58*J58</f>
      </c>
      <c r="N58" s="16"/>
      <c r="O58" s="16"/>
      <c r="P58" s="211">
        <f>IF(ISBLANK(N58),O58/4.3,N58/20)</f>
      </c>
      <c r="Q58" s="209"/>
      <c r="R58" s="3"/>
      <c r="S58" s="3"/>
      <c r="T58" s="213">
        <f>IF(ISBLANK(R58),0,X58)</f>
      </c>
      <c r="U58" s="213">
        <f>IF(ISBLANK(S58),0,X58)</f>
      </c>
      <c r="V58" s="214">
        <f>IFERROR(Q58/K58,0)</f>
      </c>
      <c r="W58" s="58">
        <f>IFERROR(L58*V58,0)</f>
      </c>
      <c r="X58" s="213">
        <f>IFERROR(Q58+W58,0)</f>
      </c>
      <c r="Y58" s="213">
        <f>IFERROR(M58*V58,0)</f>
      </c>
      <c r="Z58" s="213">
        <f>Y58-(Y58*$B$1)</f>
      </c>
      <c r="AA58" s="67">
        <f>IFERROR(Z58/X58,"")</f>
      </c>
      <c r="AB58" s="215">
        <f>IFERROR(IF(ISBLANK(N58),Y58/O58,Y58/N58),0)</f>
      </c>
      <c r="AC58" s="215">
        <f>IFERROR(-1*(AB58*B$1),0)</f>
      </c>
      <c r="AD58" s="215">
        <f>IFERROR(SUM(AB58:AC58),0)</f>
      </c>
      <c r="AE58" s="215">
        <f>IF(ISBLANK(N58),AD58,AD58*5)</f>
      </c>
      <c r="AF58" s="216">
        <f>SUM(AG58:BE58)</f>
      </c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6"/>
      <c r="BD58" s="16"/>
      <c r="BE58" s="16"/>
      <c r="BF58" s="215">
        <f>Z58-AF58</f>
      </c>
      <c r="BG58" s="214">
        <f>IFERROR(AF58/Y58,0)</f>
      </c>
      <c r="BH58" s="214">
        <f>IFERROR(AF58/X58,0)</f>
      </c>
      <c r="BI58" s="214">
        <f>IFERROR((X58/SUM(X$48:X$60)),0)</f>
      </c>
      <c r="BJ58" s="214">
        <f>BF58/SUM(BF$3:BF255)</f>
      </c>
      <c r="BK58" s="217">
        <f>BF58/'R&amp;H Portfolio'!Q$10</f>
      </c>
      <c r="BL58" s="215">
        <f>BI58*P58</f>
      </c>
      <c r="BM58" s="3"/>
      <c r="BN58" s="3"/>
      <c r="BO58" s="17"/>
    </row>
    <row x14ac:dyDescent="0.25" r="59" customHeight="1" ht="15">
      <c r="A59" s="17"/>
      <c r="B59" s="14"/>
      <c r="C59" s="3"/>
      <c r="D59" s="3"/>
      <c r="E59" s="3"/>
      <c r="F59" s="3"/>
      <c r="G59" s="205"/>
      <c r="H59" s="18"/>
      <c r="I59" s="18"/>
      <c r="J59" s="208">
        <f>H59+I59</f>
      </c>
      <c r="K59" s="1"/>
      <c r="L59" s="58">
        <f>K59*I59</f>
      </c>
      <c r="M59" s="58">
        <f>K59*J59</f>
      </c>
      <c r="N59" s="16"/>
      <c r="O59" s="16"/>
      <c r="P59" s="211">
        <f>IF(ISBLANK(N59),O59/4.3,N59/20)</f>
      </c>
      <c r="Q59" s="209"/>
      <c r="R59" s="3"/>
      <c r="S59" s="3"/>
      <c r="T59" s="213">
        <f>IF(ISBLANK(R59),0,X59)</f>
      </c>
      <c r="U59" s="213">
        <f>IF(ISBLANK(S59),0,X59)</f>
      </c>
      <c r="V59" s="214">
        <f>IFERROR(Q59/K59,0)</f>
      </c>
      <c r="W59" s="58">
        <f>IFERROR(L59*V59,0)</f>
      </c>
      <c r="X59" s="213">
        <f>IFERROR(Q59+W59,0)</f>
      </c>
      <c r="Y59" s="213">
        <f>IFERROR(M59*V59,0)</f>
      </c>
      <c r="Z59" s="213">
        <f>Y59-(Y59*$B$1)</f>
      </c>
      <c r="AA59" s="67">
        <f>IFERROR(Z59/X59,"")</f>
      </c>
      <c r="AB59" s="215">
        <f>IFERROR(IF(ISBLANK(N59),Y59/O59,Y59/N59),0)</f>
      </c>
      <c r="AC59" s="215">
        <f>IFERROR(-1*(AB59*B$1),0)</f>
      </c>
      <c r="AD59" s="215">
        <f>IFERROR(SUM(AB59:AC59),0)</f>
      </c>
      <c r="AE59" s="215">
        <f>IF(ISBLANK(N59),AD59,AD59*5)</f>
      </c>
      <c r="AF59" s="216">
        <f>SUM(AG59:BE59)</f>
      </c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6"/>
      <c r="BD59" s="16"/>
      <c r="BE59" s="16"/>
      <c r="BF59" s="215">
        <f>Z59-AF59</f>
      </c>
      <c r="BG59" s="214">
        <f>IFERROR(AF59/Y59,0)</f>
      </c>
      <c r="BH59" s="214">
        <f>IFERROR(AF59/X59,0)</f>
      </c>
      <c r="BI59" s="214">
        <f>IFERROR((X59/SUM(X$48:X$60)),0)</f>
      </c>
      <c r="BJ59" s="214">
        <f>BF59/SUM(BF$3:BF256)</f>
      </c>
      <c r="BK59" s="217">
        <f>BF59/'R&amp;H Portfolio'!Q$10</f>
      </c>
      <c r="BL59" s="215">
        <f>BI59*P59</f>
      </c>
      <c r="BM59" s="3"/>
      <c r="BN59" s="3"/>
      <c r="BO59" s="17"/>
    </row>
    <row x14ac:dyDescent="0.25" r="60" customHeight="1" ht="15">
      <c r="A60" s="17"/>
      <c r="B60" s="14"/>
      <c r="C60" s="3"/>
      <c r="D60" s="3"/>
      <c r="E60" s="3"/>
      <c r="F60" s="3"/>
      <c r="G60" s="205"/>
      <c r="H60" s="18"/>
      <c r="I60" s="18"/>
      <c r="J60" s="208">
        <f>H60+I60</f>
      </c>
      <c r="K60" s="1"/>
      <c r="L60" s="58">
        <f>K60*I60</f>
      </c>
      <c r="M60" s="58">
        <f>K60*J60</f>
      </c>
      <c r="N60" s="16"/>
      <c r="O60" s="16"/>
      <c r="P60" s="211">
        <f>IF(ISBLANK(N60),O60/4.3,N60/20)</f>
      </c>
      <c r="Q60" s="209"/>
      <c r="R60" s="3"/>
      <c r="S60" s="3"/>
      <c r="T60" s="213">
        <f>IF(ISBLANK(R60),0,X60)</f>
      </c>
      <c r="U60" s="213">
        <f>IF(ISBLANK(S60),0,X60)</f>
      </c>
      <c r="V60" s="214">
        <f>IFERROR(Q60/K60,0)</f>
      </c>
      <c r="W60" s="58">
        <f>IFERROR(L60*V60,0)</f>
      </c>
      <c r="X60" s="213">
        <f>IFERROR(Q60+W60,0)</f>
      </c>
      <c r="Y60" s="213">
        <f>IFERROR(M60*V60,0)</f>
      </c>
      <c r="Z60" s="213">
        <f>Y60-(Y60*$B$1)</f>
      </c>
      <c r="AA60" s="67">
        <f>IFERROR(Z60/X60,"")</f>
      </c>
      <c r="AB60" s="215">
        <f>IFERROR(IF(ISBLANK(N60),Y60/O60,Y60/N60),0)</f>
      </c>
      <c r="AC60" s="215">
        <f>IFERROR(-1*(AB60*B$1),0)</f>
      </c>
      <c r="AD60" s="215">
        <f>IFERROR(SUM(AB60:AC60),0)</f>
      </c>
      <c r="AE60" s="215">
        <f>IF(ISBLANK(N60),AD60,AD60*5)</f>
      </c>
      <c r="AF60" s="216">
        <f>SUM(AG60:BE60)</f>
      </c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6"/>
      <c r="BD60" s="16"/>
      <c r="BE60" s="16"/>
      <c r="BF60" s="215">
        <f>Z60-AF60</f>
      </c>
      <c r="BG60" s="214">
        <f>IFERROR(AF60/Y60,0)</f>
      </c>
      <c r="BH60" s="214">
        <f>IFERROR(AF60/X60,0)</f>
      </c>
      <c r="BI60" s="214">
        <f>IFERROR((X60/SUM(X$48:X$60)),0)</f>
      </c>
      <c r="BJ60" s="214">
        <f>BF60/SUM(BF$3:BF257)</f>
      </c>
      <c r="BK60" s="217">
        <f>BF60/'R&amp;H Portfolio'!Q$10</f>
      </c>
      <c r="BL60" s="215">
        <f>BI60*P60</f>
      </c>
      <c r="BM60" s="3"/>
      <c r="BN60" s="3"/>
      <c r="BO60" s="17"/>
    </row>
    <row x14ac:dyDescent="0.25" r="61" customHeight="1" ht="15">
      <c r="A61" s="17"/>
      <c r="B61" s="14"/>
      <c r="C61" s="3"/>
      <c r="D61" s="3"/>
      <c r="E61" s="3"/>
      <c r="F61" s="3"/>
      <c r="G61" s="205"/>
      <c r="H61" s="18"/>
      <c r="I61" s="18"/>
      <c r="J61" s="208">
        <f>H61+I61</f>
      </c>
      <c r="K61" s="1"/>
      <c r="L61" s="58">
        <f>K61*I61</f>
      </c>
      <c r="M61" s="58">
        <f>K61*J61</f>
      </c>
      <c r="N61" s="16"/>
      <c r="O61" s="16"/>
      <c r="P61" s="211">
        <f>IF(ISBLANK(N61),O61/4.3,N61/20)</f>
      </c>
      <c r="Q61" s="209"/>
      <c r="R61" s="3"/>
      <c r="S61" s="3"/>
      <c r="T61" s="213">
        <f>IF(ISBLANK(R61),0,X61)</f>
      </c>
      <c r="U61" s="213">
        <f>IF(ISBLANK(S61),0,X61)</f>
      </c>
      <c r="V61" s="214">
        <f>IFERROR(Q61/K61,0)</f>
      </c>
      <c r="W61" s="58">
        <f>IFERROR(L61*V61,0)</f>
      </c>
      <c r="X61" s="213">
        <f>IFERROR(Q61+W61,0)</f>
      </c>
      <c r="Y61" s="213">
        <f>IFERROR(M61*V61,0)</f>
      </c>
      <c r="Z61" s="213">
        <f>Y61-(Y61*$B$1)</f>
      </c>
      <c r="AA61" s="67">
        <f>IFERROR(Z61/X61,"")</f>
      </c>
      <c r="AB61" s="215">
        <f>IFERROR(IF(ISBLANK(N61),Y61/O61,Y61/N61),0)</f>
      </c>
      <c r="AC61" s="215">
        <f>IFERROR(-1*(AB61*B$1),0)</f>
      </c>
      <c r="AD61" s="215">
        <f>IFERROR(SUM(AB61:AC61),0)</f>
      </c>
      <c r="AE61" s="215">
        <f>IF(ISBLANK(N61),AD61,AD61*5)</f>
      </c>
      <c r="AF61" s="216">
        <f>SUM(AG61:BE61)</f>
      </c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6"/>
      <c r="BD61" s="16"/>
      <c r="BE61" s="16"/>
      <c r="BF61" s="215">
        <f>Z61-AF61</f>
      </c>
      <c r="BG61" s="214">
        <f>IFERROR(AF61/Y61,0)</f>
      </c>
      <c r="BH61" s="214">
        <f>IFERROR(AF61/X61,0)</f>
      </c>
      <c r="BI61" s="214">
        <f>IFERROR((X61/SUM(X$48:X$60)),0)</f>
      </c>
      <c r="BJ61" s="214">
        <f>BF61/SUM(BF$3:BF258)</f>
      </c>
      <c r="BK61" s="217">
        <f>BF61/'R&amp;H Portfolio'!Q$10</f>
      </c>
      <c r="BL61" s="215">
        <f>BI61*P61</f>
      </c>
      <c r="BM61" s="3"/>
      <c r="BN61" s="3"/>
      <c r="BO61" s="17"/>
    </row>
    <row x14ac:dyDescent="0.25" r="62" customHeight="1" ht="15">
      <c r="A62" s="17"/>
      <c r="B62" s="14"/>
      <c r="C62" s="3"/>
      <c r="D62" s="3"/>
      <c r="E62" s="3"/>
      <c r="F62" s="3"/>
      <c r="G62" s="205"/>
      <c r="H62" s="18"/>
      <c r="I62" s="18"/>
      <c r="J62" s="208">
        <f>H62+I62</f>
      </c>
      <c r="K62" s="1"/>
      <c r="L62" s="58">
        <f>K62*I62</f>
      </c>
      <c r="M62" s="58">
        <f>K62*J62</f>
      </c>
      <c r="N62" s="16"/>
      <c r="O62" s="16"/>
      <c r="P62" s="211">
        <f>IF(ISBLANK(N62),O62/4.3,N62/20)</f>
      </c>
      <c r="Q62" s="209"/>
      <c r="R62" s="3"/>
      <c r="S62" s="3"/>
      <c r="T62" s="213">
        <f>IF(ISBLANK(R62),0,X62)</f>
      </c>
      <c r="U62" s="213">
        <f>IF(ISBLANK(S62),0,X62)</f>
      </c>
      <c r="V62" s="214">
        <f>IFERROR(Q62/K62,0)</f>
      </c>
      <c r="W62" s="58">
        <f>IFERROR(L62*V62,0)</f>
      </c>
      <c r="X62" s="213">
        <f>IFERROR(Q62+W62,0)</f>
      </c>
      <c r="Y62" s="213">
        <f>IFERROR(M62*V62,0)</f>
      </c>
      <c r="Z62" s="213">
        <f>Y62-(Y62*$B$1)</f>
      </c>
      <c r="AA62" s="67">
        <f>IFERROR(Z62/X62,"")</f>
      </c>
      <c r="AB62" s="215">
        <f>IFERROR(IF(ISBLANK(N62),Y62/O62,Y62/N62),0)</f>
      </c>
      <c r="AC62" s="215">
        <f>IFERROR(-1*(AB62*B$1),0)</f>
      </c>
      <c r="AD62" s="215">
        <f>IFERROR(SUM(AB62:AC62),0)</f>
      </c>
      <c r="AE62" s="215">
        <f>IF(ISBLANK(N62),AD62,AD62*5)</f>
      </c>
      <c r="AF62" s="216">
        <f>SUM(AG62:BE62)</f>
      </c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6"/>
      <c r="BD62" s="16"/>
      <c r="BE62" s="16"/>
      <c r="BF62" s="215">
        <f>Z62-AF62</f>
      </c>
      <c r="BG62" s="214">
        <f>IFERROR(AF62/Y62,0)</f>
      </c>
      <c r="BH62" s="214">
        <f>IFERROR(AF62/X62,0)</f>
      </c>
      <c r="BI62" s="214">
        <f>IFERROR((X62/SUM(X$39:X$53)),0)</f>
      </c>
      <c r="BJ62" s="214">
        <f>BF62/SUM(BF$3:BF259)</f>
      </c>
      <c r="BK62" s="217">
        <f>BF62/'R&amp;H Portfolio'!Q$10</f>
      </c>
      <c r="BL62" s="215">
        <f>BI62*P62</f>
      </c>
      <c r="BM62" s="3"/>
      <c r="BN62" s="3"/>
      <c r="BO62" s="17"/>
    </row>
    <row x14ac:dyDescent="0.25" r="63" customHeight="1" ht="15">
      <c r="A63" s="17"/>
      <c r="B63" s="14"/>
      <c r="C63" s="3"/>
      <c r="D63" s="3"/>
      <c r="E63" s="3"/>
      <c r="F63" s="3"/>
      <c r="G63" s="205"/>
      <c r="H63" s="18"/>
      <c r="I63" s="18"/>
      <c r="J63" s="208">
        <f>H63+I63</f>
      </c>
      <c r="K63" s="1"/>
      <c r="L63" s="58">
        <f>K63*I63</f>
      </c>
      <c r="M63" s="58">
        <f>K63*J63</f>
      </c>
      <c r="N63" s="16"/>
      <c r="O63" s="16"/>
      <c r="P63" s="211">
        <f>IF(ISBLANK(N63),O63/4.3,N63/20)</f>
      </c>
      <c r="Q63" s="209"/>
      <c r="R63" s="3"/>
      <c r="S63" s="3"/>
      <c r="T63" s="213">
        <f>IF(ISBLANK(R63),0,X63)</f>
      </c>
      <c r="U63" s="213">
        <f>IF(ISBLANK(S63),0,X63)</f>
      </c>
      <c r="V63" s="214">
        <f>IFERROR(Q63/K63,0)</f>
      </c>
      <c r="W63" s="58">
        <f>IFERROR(L63*V63,0)</f>
      </c>
      <c r="X63" s="213">
        <f>IFERROR(Q63+W63,0)</f>
      </c>
      <c r="Y63" s="213">
        <f>IFERROR(M63*V63,0)</f>
      </c>
      <c r="Z63" s="213">
        <f>Y63-(Y63*$B$1)</f>
      </c>
      <c r="AA63" s="67">
        <f>IFERROR(Z63/X63,"")</f>
      </c>
      <c r="AB63" s="215">
        <f>IFERROR(IF(ISBLANK(N63),Y63/O63,Y63/N63),0)</f>
      </c>
      <c r="AC63" s="215">
        <f>IFERROR(-1*(AB63*B$1),0)</f>
      </c>
      <c r="AD63" s="215">
        <f>IFERROR(SUM(AB63:AC63),0)</f>
      </c>
      <c r="AE63" s="215">
        <f>IF(ISBLANK(N63),AD63,AD63*5)</f>
      </c>
      <c r="AF63" s="216">
        <f>SUM(AG63:BE63)</f>
      </c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6"/>
      <c r="BD63" s="16"/>
      <c r="BE63" s="16"/>
      <c r="BF63" s="215">
        <f>Z63-AF63</f>
      </c>
      <c r="BG63" s="214">
        <f>IFERROR(AF63/Y63,0)</f>
      </c>
      <c r="BH63" s="214">
        <f>IFERROR(AF63/X63,0)</f>
      </c>
      <c r="BI63" s="214">
        <f>IFERROR((X63/SUM(X$39:X$53)),0)</f>
      </c>
      <c r="BJ63" s="214">
        <f>BF63/SUM(BF$3:BF260)</f>
      </c>
      <c r="BK63" s="217">
        <f>BF63/'R&amp;H Portfolio'!Q$10</f>
      </c>
      <c r="BL63" s="215">
        <f>BI63*P63</f>
      </c>
      <c r="BM63" s="3"/>
      <c r="BN63" s="3"/>
      <c r="BO63" s="17"/>
    </row>
    <row x14ac:dyDescent="0.25" r="64" customHeight="1" ht="15">
      <c r="A64" s="17"/>
      <c r="B64" s="14"/>
      <c r="C64" s="3"/>
      <c r="D64" s="3"/>
      <c r="E64" s="3"/>
      <c r="F64" s="3"/>
      <c r="G64" s="205"/>
      <c r="H64" s="18"/>
      <c r="I64" s="18"/>
      <c r="J64" s="208">
        <f>H64+I64</f>
      </c>
      <c r="K64" s="1"/>
      <c r="L64" s="58">
        <f>K64*I64</f>
      </c>
      <c r="M64" s="58">
        <f>K64*J64</f>
      </c>
      <c r="N64" s="16"/>
      <c r="O64" s="16"/>
      <c r="P64" s="211">
        <f>IF(ISBLANK(N64),O64/4.3,N64/20)</f>
      </c>
      <c r="Q64" s="209"/>
      <c r="R64" s="3"/>
      <c r="S64" s="3"/>
      <c r="T64" s="213">
        <f>IF(ISBLANK(R64),0,X64)</f>
      </c>
      <c r="U64" s="213">
        <f>IF(ISBLANK(S64),0,X64)</f>
      </c>
      <c r="V64" s="214">
        <f>IFERROR(Q64/K64,0)</f>
      </c>
      <c r="W64" s="58">
        <f>IFERROR(L64*V64,0)</f>
      </c>
      <c r="X64" s="213">
        <f>IFERROR(Q64+W64,0)</f>
      </c>
      <c r="Y64" s="213">
        <f>IFERROR(M64*V64,0)</f>
      </c>
      <c r="Z64" s="213">
        <f>Y64-(Y64*$B$1)</f>
      </c>
      <c r="AA64" s="67">
        <f>IFERROR(Z64/X64,"")</f>
      </c>
      <c r="AB64" s="215">
        <f>IFERROR(IF(ISBLANK(N64),Y64/O64,Y64/N64),0)</f>
      </c>
      <c r="AC64" s="215">
        <f>IFERROR(-1*(AB64*B$1),0)</f>
      </c>
      <c r="AD64" s="215">
        <f>IFERROR(SUM(AB64:AC64),0)</f>
      </c>
      <c r="AE64" s="215">
        <f>IF(ISBLANK(N64),AD64,AD64*5)</f>
      </c>
      <c r="AF64" s="216">
        <f>SUM(AG64:BE64)</f>
      </c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6"/>
      <c r="BD64" s="16"/>
      <c r="BE64" s="16"/>
      <c r="BF64" s="215">
        <f>Z64-AF64</f>
      </c>
      <c r="BG64" s="214">
        <f>IFERROR(AF64/Y64,0)</f>
      </c>
      <c r="BH64" s="214">
        <f>IFERROR(AF64/X64,0)</f>
      </c>
      <c r="BI64" s="214">
        <f>IFERROR((X64/SUM(X$39:X$53)),0)</f>
      </c>
      <c r="BJ64" s="214">
        <f>BF64/SUM(BF$3:BF261)</f>
      </c>
      <c r="BK64" s="217">
        <f>BF64/'R&amp;H Portfolio'!Q$10</f>
      </c>
      <c r="BL64" s="215">
        <f>BI64*P64</f>
      </c>
      <c r="BM64" s="3"/>
      <c r="BN64" s="3"/>
      <c r="BO64" s="17"/>
    </row>
    <row x14ac:dyDescent="0.25" r="65" customHeight="1" ht="15">
      <c r="A65" s="17"/>
      <c r="B65" s="14"/>
      <c r="C65" s="3"/>
      <c r="D65" s="3"/>
      <c r="E65" s="3"/>
      <c r="F65" s="3"/>
      <c r="G65" s="205"/>
      <c r="H65" s="18"/>
      <c r="I65" s="18"/>
      <c r="J65" s="208">
        <f>H65+I65</f>
      </c>
      <c r="K65" s="1"/>
      <c r="L65" s="58">
        <f>K65*I65</f>
      </c>
      <c r="M65" s="58">
        <f>K65*J65</f>
      </c>
      <c r="N65" s="16"/>
      <c r="O65" s="16"/>
      <c r="P65" s="211">
        <f>IF(ISBLANK(N65),O65/4.3,N65/20)</f>
      </c>
      <c r="Q65" s="209"/>
      <c r="R65" s="3"/>
      <c r="S65" s="3"/>
      <c r="T65" s="213">
        <f>IF(ISBLANK(R65),0,X65)</f>
      </c>
      <c r="U65" s="213">
        <f>IF(ISBLANK(S65),0,X65)</f>
      </c>
      <c r="V65" s="214">
        <f>IFERROR(Q65/K65,0)</f>
      </c>
      <c r="W65" s="58">
        <f>IFERROR(L65*V65,0)</f>
      </c>
      <c r="X65" s="213">
        <f>IFERROR(Q65+W65,0)</f>
      </c>
      <c r="Y65" s="213">
        <f>IFERROR(M65*V65,0)</f>
      </c>
      <c r="Z65" s="213">
        <f>Y65-(Y65*$B$1)</f>
      </c>
      <c r="AA65" s="67">
        <f>IFERROR(Z65/X65,"")</f>
      </c>
      <c r="AB65" s="215">
        <f>IFERROR(IF(ISBLANK(N65),Y65/O65,Y65/N65),0)</f>
      </c>
      <c r="AC65" s="215">
        <f>IFERROR(-1*(AB65*B$1),0)</f>
      </c>
      <c r="AD65" s="215">
        <f>IFERROR(SUM(AB65:AC65),0)</f>
      </c>
      <c r="AE65" s="215">
        <f>IF(ISBLANK(N65),AD65,AD65*5)</f>
      </c>
      <c r="AF65" s="216">
        <f>SUM(AG65:BE65)</f>
      </c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6"/>
      <c r="BD65" s="16"/>
      <c r="BE65" s="16"/>
      <c r="BF65" s="215">
        <f>Z65-AF65</f>
      </c>
      <c r="BG65" s="214">
        <f>IFERROR(AF65/Y65,0)</f>
      </c>
      <c r="BH65" s="214">
        <f>IFERROR(AF65/X65,0)</f>
      </c>
      <c r="BI65" s="214">
        <f>IFERROR((X65/SUM(X$39:X$53)),0)</f>
      </c>
      <c r="BJ65" s="214">
        <f>BF65/SUM(BF$3:BF262)</f>
      </c>
      <c r="BK65" s="217">
        <f>BF65/'R&amp;H Portfolio'!Q$10</f>
      </c>
      <c r="BL65" s="215">
        <f>BI65*P65</f>
      </c>
      <c r="BM65" s="3"/>
      <c r="BN65" s="3"/>
      <c r="BO65" s="17"/>
    </row>
    <row x14ac:dyDescent="0.25" r="66" customHeight="1" ht="15">
      <c r="A66" s="17"/>
      <c r="B66" s="14"/>
      <c r="C66" s="3"/>
      <c r="D66" s="3"/>
      <c r="E66" s="3"/>
      <c r="F66" s="3"/>
      <c r="G66" s="205"/>
      <c r="H66" s="18"/>
      <c r="I66" s="18"/>
      <c r="J66" s="208">
        <f>H66+I66</f>
      </c>
      <c r="K66" s="1"/>
      <c r="L66" s="58">
        <f>K66*I66</f>
      </c>
      <c r="M66" s="58">
        <f>K66*J66</f>
      </c>
      <c r="N66" s="16"/>
      <c r="O66" s="16"/>
      <c r="P66" s="211">
        <f>IF(ISBLANK(N66),O66/4.3,N66/20)</f>
      </c>
      <c r="Q66" s="209"/>
      <c r="R66" s="3"/>
      <c r="S66" s="3"/>
      <c r="T66" s="213">
        <f>IF(ISBLANK(R66),0,X66)</f>
      </c>
      <c r="U66" s="213">
        <f>IF(ISBLANK(S66),0,X66)</f>
      </c>
      <c r="V66" s="214">
        <f>IFERROR(Q66/K66,0)</f>
      </c>
      <c r="W66" s="58">
        <f>IFERROR(L66*V66,0)</f>
      </c>
      <c r="X66" s="213">
        <f>IFERROR(Q66+W66,0)</f>
      </c>
      <c r="Y66" s="213">
        <f>IFERROR(M66*V66,0)</f>
      </c>
      <c r="Z66" s="213">
        <f>Y66-(Y66*$B$1)</f>
      </c>
      <c r="AA66" s="67">
        <f>IFERROR(Z66/X66,"")</f>
      </c>
      <c r="AB66" s="215">
        <f>IFERROR(IF(ISBLANK(N66),Y66/O66,Y66/N66),0)</f>
      </c>
      <c r="AC66" s="215">
        <f>IFERROR(-1*(AB66*B$1),0)</f>
      </c>
      <c r="AD66" s="215">
        <f>IFERROR(SUM(AB66:AC66),0)</f>
      </c>
      <c r="AE66" s="215">
        <f>IF(ISBLANK(N66),AD66,AD66*5)</f>
      </c>
      <c r="AF66" s="216">
        <f>SUM(AG66:BE66)</f>
      </c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6"/>
      <c r="BD66" s="16"/>
      <c r="BE66" s="16"/>
      <c r="BF66" s="215">
        <f>Z66-AF66</f>
      </c>
      <c r="BG66" s="214">
        <f>IFERROR(AF66/Y66,0)</f>
      </c>
      <c r="BH66" s="214">
        <f>IFERROR(AF66/X66,0)</f>
      </c>
      <c r="BI66" s="214">
        <f>IFERROR((X66/SUM(X$39:X$53)),0)</f>
      </c>
      <c r="BJ66" s="214">
        <f>BF66/SUM(BF$3:BF263)</f>
      </c>
      <c r="BK66" s="217">
        <f>BF66/'R&amp;H Portfolio'!Q$10</f>
      </c>
      <c r="BL66" s="215">
        <f>BI66*P66</f>
      </c>
      <c r="BM66" s="3"/>
      <c r="BN66" s="3"/>
      <c r="BO66" s="17"/>
    </row>
    <row x14ac:dyDescent="0.25" r="67" customHeight="1" ht="15">
      <c r="A67" s="17"/>
      <c r="B67" s="14"/>
      <c r="C67" s="3"/>
      <c r="D67" s="3"/>
      <c r="E67" s="3"/>
      <c r="F67" s="3"/>
      <c r="G67" s="205"/>
      <c r="H67" s="18"/>
      <c r="I67" s="18"/>
      <c r="J67" s="208">
        <f>H67+I67</f>
      </c>
      <c r="K67" s="1"/>
      <c r="L67" s="58">
        <f>K67*I67</f>
      </c>
      <c r="M67" s="58">
        <f>K67*J67</f>
      </c>
      <c r="N67" s="16"/>
      <c r="O67" s="16"/>
      <c r="P67" s="211">
        <f>IF(ISBLANK(N67),O67/4.3,N67/20)</f>
      </c>
      <c r="Q67" s="209"/>
      <c r="R67" s="3"/>
      <c r="S67" s="3"/>
      <c r="T67" s="213">
        <f>IF(ISBLANK(R67),0,X67)</f>
      </c>
      <c r="U67" s="213">
        <f>IF(ISBLANK(S67),0,X67)</f>
      </c>
      <c r="V67" s="214">
        <f>IFERROR(Q67/K67,0)</f>
      </c>
      <c r="W67" s="58">
        <f>IFERROR(L67*V67,0)</f>
      </c>
      <c r="X67" s="213">
        <f>IFERROR(Q67+W67,0)</f>
      </c>
      <c r="Y67" s="213">
        <f>IFERROR(M67*V67,0)</f>
      </c>
      <c r="Z67" s="213">
        <f>Y67-(Y67*$B$1)</f>
      </c>
      <c r="AA67" s="67">
        <f>IFERROR(Z67/X67,"")</f>
      </c>
      <c r="AB67" s="215">
        <f>IFERROR(IF(ISBLANK(N67),Y67/O67,Y67/N67),0)</f>
      </c>
      <c r="AC67" s="215">
        <f>IFERROR(-1*(AB67*B$1),0)</f>
      </c>
      <c r="AD67" s="215">
        <f>IFERROR(SUM(AB67:AC67),0)</f>
      </c>
      <c r="AE67" s="215">
        <f>IF(ISBLANK(N67),AD67,AD67*5)</f>
      </c>
      <c r="AF67" s="216">
        <f>SUM(AG67:BE67)</f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6"/>
      <c r="BD67" s="16"/>
      <c r="BE67" s="16"/>
      <c r="BF67" s="215">
        <f>Z67-AF67</f>
      </c>
      <c r="BG67" s="214">
        <f>IFERROR(AF67/Y67,0)</f>
      </c>
      <c r="BH67" s="214">
        <f>IFERROR(AF67/X67,0)</f>
      </c>
      <c r="BI67" s="214">
        <f>IFERROR((X67/SUM(X$39:X$53)),0)</f>
      </c>
      <c r="BJ67" s="214">
        <f>BF67/SUM(BF$3:BF264)</f>
      </c>
      <c r="BK67" s="217">
        <f>BF67/'R&amp;H Portfolio'!Q$10</f>
      </c>
      <c r="BL67" s="215">
        <f>BI67*P67</f>
      </c>
      <c r="BM67" s="3"/>
      <c r="BN67" s="3"/>
      <c r="BO67" s="17"/>
    </row>
    <row x14ac:dyDescent="0.25" r="68" customHeight="1" ht="15">
      <c r="A68" s="17"/>
      <c r="B68" s="14"/>
      <c r="C68" s="3"/>
      <c r="D68" s="3"/>
      <c r="E68" s="3"/>
      <c r="F68" s="3"/>
      <c r="G68" s="205"/>
      <c r="H68" s="18"/>
      <c r="I68" s="18"/>
      <c r="J68" s="208">
        <f>H68+I68</f>
      </c>
      <c r="K68" s="1"/>
      <c r="L68" s="58">
        <f>K68*I68</f>
      </c>
      <c r="M68" s="58">
        <f>K68*J68</f>
      </c>
      <c r="N68" s="16"/>
      <c r="O68" s="16"/>
      <c r="P68" s="211">
        <f>IF(ISBLANK(N68),O68/4.3,N68/20)</f>
      </c>
      <c r="Q68" s="209"/>
      <c r="R68" s="3"/>
      <c r="S68" s="3"/>
      <c r="T68" s="213">
        <f>IF(ISBLANK(R68),0,X68)</f>
      </c>
      <c r="U68" s="213">
        <f>IF(ISBLANK(S68),0,X68)</f>
      </c>
      <c r="V68" s="214">
        <f>IFERROR(Q68/K68,0)</f>
      </c>
      <c r="W68" s="58">
        <f>IFERROR(L68*V68,0)</f>
      </c>
      <c r="X68" s="213">
        <f>IFERROR(Q68+W68,0)</f>
      </c>
      <c r="Y68" s="213">
        <f>IFERROR(M68*V68,0)</f>
      </c>
      <c r="Z68" s="213">
        <f>Y68-(Y68*$B$1)</f>
      </c>
      <c r="AA68" s="67">
        <f>IFERROR(Z68/X68,"")</f>
      </c>
      <c r="AB68" s="215">
        <f>IFERROR(IF(ISBLANK(N68),Y68/O68,Y68/N68),0)</f>
      </c>
      <c r="AC68" s="215">
        <f>IFERROR(-1*(AB68*B$1),0)</f>
      </c>
      <c r="AD68" s="215">
        <f>IFERROR(SUM(AB68:AC68),0)</f>
      </c>
      <c r="AE68" s="215">
        <f>IF(ISBLANK(N68),AD68,AD68*5)</f>
      </c>
      <c r="AF68" s="216">
        <f>SUM(AG68:BE68)</f>
      </c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6"/>
      <c r="BD68" s="16"/>
      <c r="BE68" s="16"/>
      <c r="BF68" s="215">
        <f>Z68-AF68</f>
      </c>
      <c r="BG68" s="214">
        <f>IFERROR(AF68/Y68,0)</f>
      </c>
      <c r="BH68" s="214">
        <f>IFERROR(AF68/X68,0)</f>
      </c>
      <c r="BI68" s="214">
        <f>IFERROR((X68/SUM(X$39:X$53)),0)</f>
      </c>
      <c r="BJ68" s="214">
        <f>BF68/SUM(BF$3:BF265)</f>
      </c>
      <c r="BK68" s="217">
        <f>BF68/'R&amp;H Portfolio'!Q$10</f>
      </c>
      <c r="BL68" s="215">
        <f>BI68*P68</f>
      </c>
      <c r="BM68" s="3"/>
      <c r="BN68" s="3"/>
      <c r="BO68" s="17"/>
    </row>
    <row x14ac:dyDescent="0.25" r="69" customHeight="1" ht="15">
      <c r="A69" s="17"/>
      <c r="B69" s="14"/>
      <c r="C69" s="3"/>
      <c r="D69" s="3"/>
      <c r="E69" s="3"/>
      <c r="F69" s="3"/>
      <c r="G69" s="205"/>
      <c r="H69" s="18"/>
      <c r="I69" s="18"/>
      <c r="J69" s="208">
        <f>H69+I69</f>
      </c>
      <c r="K69" s="1"/>
      <c r="L69" s="58">
        <f>K69*I69</f>
      </c>
      <c r="M69" s="58">
        <f>K69*J69</f>
      </c>
      <c r="N69" s="16"/>
      <c r="O69" s="16"/>
      <c r="P69" s="211">
        <f>IF(ISBLANK(N69),O69/4.3,N69/20)</f>
      </c>
      <c r="Q69" s="209"/>
      <c r="R69" s="3"/>
      <c r="S69" s="3"/>
      <c r="T69" s="213">
        <f>IF(ISBLANK(R69),0,X69)</f>
      </c>
      <c r="U69" s="213">
        <f>IF(ISBLANK(S69),0,X69)</f>
      </c>
      <c r="V69" s="214">
        <f>IFERROR(Q69/K69,0)</f>
      </c>
      <c r="W69" s="58">
        <f>IFERROR(L69*V69,0)</f>
      </c>
      <c r="X69" s="213">
        <f>IFERROR(Q69+W69,0)</f>
      </c>
      <c r="Y69" s="213">
        <f>IFERROR(M69*V69,0)</f>
      </c>
      <c r="Z69" s="213">
        <f>Y69-(Y69*$B$1)</f>
      </c>
      <c r="AA69" s="67">
        <f>IFERROR(Z69/X69,"")</f>
      </c>
      <c r="AB69" s="215">
        <f>IFERROR(IF(ISBLANK(N69),Y69/O69,Y69/N69),0)</f>
      </c>
      <c r="AC69" s="215">
        <f>IFERROR(-1*(AB69*B$1),0)</f>
      </c>
      <c r="AD69" s="215">
        <f>IFERROR(SUM(AB69:AC69),0)</f>
      </c>
      <c r="AE69" s="215">
        <f>IF(ISBLANK(N69),AD69,AD69*5)</f>
      </c>
      <c r="AF69" s="216">
        <f>SUM(AG69:BE69)</f>
      </c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6"/>
      <c r="BD69" s="16"/>
      <c r="BE69" s="16"/>
      <c r="BF69" s="215">
        <f>Z69-AF69</f>
      </c>
      <c r="BG69" s="214">
        <f>IFERROR(AF69/Y69,0)</f>
      </c>
      <c r="BH69" s="214">
        <f>IFERROR(AF69/X69,0)</f>
      </c>
      <c r="BI69" s="214">
        <f>IFERROR((X69/SUM(X$39:X$53)),0)</f>
      </c>
      <c r="BJ69" s="214">
        <f>BF69/SUM(BF$3:BF266)</f>
      </c>
      <c r="BK69" s="217">
        <f>BF69/'R&amp;H Portfolio'!Q$10</f>
      </c>
      <c r="BL69" s="215">
        <f>BI69*P69</f>
      </c>
      <c r="BM69" s="3"/>
      <c r="BN69" s="3"/>
      <c r="BO69" s="17"/>
    </row>
    <row x14ac:dyDescent="0.25" r="70" customHeight="1" ht="15">
      <c r="A70" s="17"/>
      <c r="B70" s="14"/>
      <c r="C70" s="3"/>
      <c r="D70" s="3"/>
      <c r="E70" s="3"/>
      <c r="F70" s="3"/>
      <c r="G70" s="205"/>
      <c r="H70" s="18"/>
      <c r="I70" s="18"/>
      <c r="J70" s="208">
        <f>H70+I70</f>
      </c>
      <c r="K70" s="1"/>
      <c r="L70" s="58">
        <f>K70*I70</f>
      </c>
      <c r="M70" s="58">
        <f>K70*J70</f>
      </c>
      <c r="N70" s="16"/>
      <c r="O70" s="16"/>
      <c r="P70" s="211">
        <f>IF(ISBLANK(N70),O70/4.3,N70/20)</f>
      </c>
      <c r="Q70" s="209"/>
      <c r="R70" s="3"/>
      <c r="S70" s="3"/>
      <c r="T70" s="213">
        <f>IF(ISBLANK(R70),0,X70)</f>
      </c>
      <c r="U70" s="213">
        <f>IF(ISBLANK(S70),0,X70)</f>
      </c>
      <c r="V70" s="214">
        <f>IFERROR(Q70/K70,0)</f>
      </c>
      <c r="W70" s="58">
        <f>IFERROR(L70*V70,0)</f>
      </c>
      <c r="X70" s="213">
        <f>IFERROR(Q70+W70,0)</f>
      </c>
      <c r="Y70" s="213">
        <f>IFERROR(M70*V70,0)</f>
      </c>
      <c r="Z70" s="213">
        <f>Y70-(Y70*$B$1)</f>
      </c>
      <c r="AA70" s="67">
        <f>IFERROR(Z70/X70,"")</f>
      </c>
      <c r="AB70" s="215">
        <f>IFERROR(IF(ISBLANK(N70),Y70/O70,Y70/N70),0)</f>
      </c>
      <c r="AC70" s="215">
        <f>IFERROR(-1*(AB70*B$1),0)</f>
      </c>
      <c r="AD70" s="215">
        <f>IFERROR(SUM(AB70:AC70),0)</f>
      </c>
      <c r="AE70" s="215">
        <f>IF(ISBLANK(N70),AD70,AD70*5)</f>
      </c>
      <c r="AF70" s="216">
        <f>SUM(AG70:BE70)</f>
      </c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6"/>
      <c r="BD70" s="16"/>
      <c r="BE70" s="16"/>
      <c r="BF70" s="215">
        <f>Z70-AF70</f>
      </c>
      <c r="BG70" s="214">
        <f>IFERROR(AF70/Y70,0)</f>
      </c>
      <c r="BH70" s="214">
        <f>IFERROR(AF70/X70,0)</f>
      </c>
      <c r="BI70" s="214">
        <f>IFERROR((X70/SUM(X$39:X$53)),0)</f>
      </c>
      <c r="BJ70" s="214">
        <f>BF70/SUM(BF$3:BF267)</f>
      </c>
      <c r="BK70" s="217">
        <f>BF70/'R&amp;H Portfolio'!Q$10</f>
      </c>
      <c r="BL70" s="215">
        <f>BI70*P70</f>
      </c>
      <c r="BM70" s="3"/>
      <c r="BN70" s="3"/>
      <c r="BO70" s="17"/>
    </row>
    <row x14ac:dyDescent="0.25" r="71" customHeight="1" ht="15">
      <c r="A71" s="17"/>
      <c r="B71" s="14"/>
      <c r="C71" s="3"/>
      <c r="D71" s="3"/>
      <c r="E71" s="3"/>
      <c r="F71" s="3"/>
      <c r="G71" s="205"/>
      <c r="H71" s="18"/>
      <c r="I71" s="18"/>
      <c r="J71" s="208">
        <f>H71+I71</f>
      </c>
      <c r="K71" s="1"/>
      <c r="L71" s="58">
        <f>K71*I71</f>
      </c>
      <c r="M71" s="58">
        <f>K71*J71</f>
      </c>
      <c r="N71" s="16"/>
      <c r="O71" s="16"/>
      <c r="P71" s="211">
        <f>IF(ISBLANK(N71),O71/4.3,N71/20)</f>
      </c>
      <c r="Q71" s="1"/>
      <c r="R71" s="3"/>
      <c r="S71" s="3"/>
      <c r="T71" s="213">
        <f>IF(ISBLANK(R71),0,X71)</f>
      </c>
      <c r="U71" s="213">
        <f>IF(ISBLANK(S71),0,X71)</f>
      </c>
      <c r="V71" s="214">
        <f>IFERROR(Q71/K71,0)</f>
      </c>
      <c r="W71" s="58">
        <f>IFERROR(L71*V71,0)</f>
      </c>
      <c r="X71" s="213">
        <f>IFERROR(Q71+W71,0)</f>
      </c>
      <c r="Y71" s="213">
        <f>IFERROR(M71*V71,0)</f>
      </c>
      <c r="Z71" s="213">
        <f>Y71-(Y71*$B$1)</f>
      </c>
      <c r="AA71" s="67">
        <f>IFERROR(Z71/X71,"")</f>
      </c>
      <c r="AB71" s="215">
        <f>IFERROR(IF(ISBLANK(N71),Y71/O71,Y71/N71),0)</f>
      </c>
      <c r="AC71" s="215">
        <f>IFERROR(-1*(AB71*B$1),0)</f>
      </c>
      <c r="AD71" s="215">
        <f>IFERROR(SUM(AB71:AC71),0)</f>
      </c>
      <c r="AE71" s="215">
        <f>IF(ISBLANK(N71),AD71,AD71*5)</f>
      </c>
      <c r="AF71" s="3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6"/>
      <c r="BD71" s="16"/>
      <c r="BE71" s="16"/>
      <c r="BF71" s="215">
        <f>Z71-AF71</f>
      </c>
      <c r="BG71" s="214">
        <f>IFERROR(AF71/Y71,0)</f>
      </c>
      <c r="BH71" s="214">
        <f>IFERROR(AF71/X71,0)</f>
      </c>
      <c r="BI71" s="214">
        <f>IFERROR((X71/SUM(X$39:X$53)),0)</f>
      </c>
      <c r="BJ71" s="214">
        <f>BF71/SUM(BF$3:BF268)</f>
      </c>
      <c r="BK71" s="217">
        <f>BF71/'R&amp;H Portfolio'!Q$10</f>
      </c>
      <c r="BL71" s="215">
        <f>BI71*P71</f>
      </c>
      <c r="BM71" s="3"/>
      <c r="BN71" s="3"/>
      <c r="BO71" s="17"/>
    </row>
    <row x14ac:dyDescent="0.25" r="72" customHeight="1" ht="15">
      <c r="A72" s="17"/>
      <c r="B72" s="14"/>
      <c r="C72" s="3"/>
      <c r="D72" s="3"/>
      <c r="E72" s="3"/>
      <c r="F72" s="3"/>
      <c r="G72" s="205"/>
      <c r="H72" s="18"/>
      <c r="I72" s="18"/>
      <c r="J72" s="208">
        <f>H72+I72</f>
      </c>
      <c r="K72" s="1"/>
      <c r="L72" s="58">
        <f>K72*I72</f>
      </c>
      <c r="M72" s="58">
        <f>K72*J72</f>
      </c>
      <c r="N72" s="16"/>
      <c r="O72" s="16"/>
      <c r="P72" s="211">
        <f>IF(ISBLANK(N72),O72/4.3,N72/20)</f>
      </c>
      <c r="Q72" s="1"/>
      <c r="R72" s="3"/>
      <c r="S72" s="3"/>
      <c r="T72" s="213">
        <f>IF(ISBLANK(R72),0,X72)</f>
      </c>
      <c r="U72" s="213">
        <f>IF(ISBLANK(S72),0,X72)</f>
      </c>
      <c r="V72" s="214">
        <f>IFERROR(Q72/K72,0)</f>
      </c>
      <c r="W72" s="58">
        <f>IFERROR(L72*V72,0)</f>
      </c>
      <c r="X72" s="213">
        <f>IFERROR(Q72+W72,0)</f>
      </c>
      <c r="Y72" s="213">
        <f>IFERROR(M72*V72,0)</f>
      </c>
      <c r="Z72" s="213">
        <f>Y72-(Y72*$B$1)</f>
      </c>
      <c r="AA72" s="67">
        <f>IFERROR(Z72/X72,"")</f>
      </c>
      <c r="AB72" s="215">
        <f>IFERROR(IF(ISBLANK(N72),Y72/O72,Y72/N72),0)</f>
      </c>
      <c r="AC72" s="215">
        <f>IFERROR(-1*(AB72*B$1),0)</f>
      </c>
      <c r="AD72" s="215">
        <f>IFERROR(SUM(AB72:AC72),0)</f>
      </c>
      <c r="AE72" s="215">
        <f>IF(ISBLANK(N72),AD72,AD72*5)</f>
      </c>
      <c r="AF72" s="3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6"/>
      <c r="BD72" s="16"/>
      <c r="BE72" s="16"/>
      <c r="BF72" s="215">
        <f>Z72-AF72</f>
      </c>
      <c r="BG72" s="214">
        <f>IFERROR(AF72/Y72,0)</f>
      </c>
      <c r="BH72" s="214">
        <f>IFERROR(AF72/X72,0)</f>
      </c>
      <c r="BI72" s="214">
        <f>IFERROR((X72/SUM(X$39:X$53)),0)</f>
      </c>
      <c r="BJ72" s="214">
        <f>BF72/SUM(BF$3:BF269)</f>
      </c>
      <c r="BK72" s="217">
        <f>BF72/'R&amp;H Portfolio'!Q$10</f>
      </c>
      <c r="BL72" s="215">
        <f>BI72*P72</f>
      </c>
      <c r="BM72" s="3"/>
      <c r="BN72" s="3"/>
      <c r="BO72" s="17"/>
    </row>
    <row x14ac:dyDescent="0.25" r="73" customHeight="1" ht="15">
      <c r="A73" s="17"/>
      <c r="B73" s="14"/>
      <c r="C73" s="3"/>
      <c r="D73" s="3"/>
      <c r="E73" s="3"/>
      <c r="F73" s="3"/>
      <c r="G73" s="205"/>
      <c r="H73" s="18"/>
      <c r="I73" s="18"/>
      <c r="J73" s="208">
        <f>H73+I73</f>
      </c>
      <c r="K73" s="1"/>
      <c r="L73" s="58">
        <f>K73*I73</f>
      </c>
      <c r="M73" s="58">
        <f>K73*J73</f>
      </c>
      <c r="N73" s="16"/>
      <c r="O73" s="16"/>
      <c r="P73" s="211">
        <f>IF(ISBLANK(N73),O73/4.3,N73/20)</f>
      </c>
      <c r="Q73" s="1"/>
      <c r="R73" s="3"/>
      <c r="S73" s="3"/>
      <c r="T73" s="213">
        <f>IF(ISBLANK(R73),0,X73)</f>
      </c>
      <c r="U73" s="213">
        <f>IF(ISBLANK(S73),0,X73)</f>
      </c>
      <c r="V73" s="214">
        <f>IFERROR(Q73/K73,0)</f>
      </c>
      <c r="W73" s="58">
        <f>IFERROR(L73*V73,0)</f>
      </c>
      <c r="X73" s="213">
        <f>IFERROR(Q73+W73,0)</f>
      </c>
      <c r="Y73" s="213">
        <f>IFERROR(M73*V73,0)</f>
      </c>
      <c r="Z73" s="213">
        <f>Y73-(Y73*$B$1)</f>
      </c>
      <c r="AA73" s="67">
        <f>IFERROR(Z73/X73,"")</f>
      </c>
      <c r="AB73" s="215">
        <f>IFERROR(IF(ISBLANK(N73),Y73/O73,Y73/N73),0)</f>
      </c>
      <c r="AC73" s="215">
        <f>IFERROR(-1*(AB73*B$1),0)</f>
      </c>
      <c r="AD73" s="215">
        <f>IFERROR(SUM(AB73:AC73),0)</f>
      </c>
      <c r="AE73" s="215">
        <f>IF(ISBLANK(N73),AD73,AD73*5)</f>
      </c>
      <c r="AF73" s="3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6"/>
      <c r="BD73" s="16"/>
      <c r="BE73" s="16"/>
      <c r="BF73" s="215">
        <f>Z73-AF73</f>
      </c>
      <c r="BG73" s="214">
        <f>IFERROR(AF73/Y73,0)</f>
      </c>
      <c r="BH73" s="214">
        <f>IFERROR(AF73/X73,0)</f>
      </c>
      <c r="BI73" s="214">
        <f>IFERROR((X73/SUM(X$39:X$53)),0)</f>
      </c>
      <c r="BJ73" s="214">
        <f>BF73/SUM(BF$3:BF270)</f>
      </c>
      <c r="BK73" s="217">
        <f>BF73/'R&amp;H Portfolio'!Q$10</f>
      </c>
      <c r="BL73" s="215">
        <f>BI73*P73</f>
      </c>
      <c r="BM73" s="3"/>
      <c r="BN73" s="3"/>
      <c r="BO73" s="17"/>
    </row>
    <row x14ac:dyDescent="0.25" r="74" customHeight="1" ht="15">
      <c r="A74" s="17"/>
      <c r="B74" s="14"/>
      <c r="C74" s="3"/>
      <c r="D74" s="3"/>
      <c r="E74" s="3"/>
      <c r="F74" s="3"/>
      <c r="G74" s="205"/>
      <c r="H74" s="18"/>
      <c r="I74" s="18"/>
      <c r="J74" s="208">
        <f>H74+I74</f>
      </c>
      <c r="K74" s="1"/>
      <c r="L74" s="58">
        <f>K74*I74</f>
      </c>
      <c r="M74" s="58">
        <f>K74*J74</f>
      </c>
      <c r="N74" s="16"/>
      <c r="O74" s="16"/>
      <c r="P74" s="211">
        <f>IF(ISBLANK(N74),O74/4.3,N74/20)</f>
      </c>
      <c r="Q74" s="1"/>
      <c r="R74" s="3"/>
      <c r="S74" s="3"/>
      <c r="T74" s="213">
        <f>IF(ISBLANK(R74),0,X74)</f>
      </c>
      <c r="U74" s="213">
        <f>IF(ISBLANK(S74),0,X74)</f>
      </c>
      <c r="V74" s="214">
        <f>IFERROR(Q74/K74,0)</f>
      </c>
      <c r="W74" s="58">
        <f>IFERROR(L74*V74,0)</f>
      </c>
      <c r="X74" s="213">
        <f>IFERROR(Q74+W74,0)</f>
      </c>
      <c r="Y74" s="213">
        <f>IFERROR(M74*V74,0)</f>
      </c>
      <c r="Z74" s="213">
        <f>Y74-(Y74*$B$1)</f>
      </c>
      <c r="AA74" s="67">
        <f>IFERROR(Z74/X74,"")</f>
      </c>
      <c r="AB74" s="215">
        <f>IFERROR(IF(ISBLANK(N74),Y74/O74,Y74/N74),0)</f>
      </c>
      <c r="AC74" s="215">
        <f>IFERROR(-1*(AB74*B$1),0)</f>
      </c>
      <c r="AD74" s="215">
        <f>IFERROR(SUM(AB74:AC74),0)</f>
      </c>
      <c r="AE74" s="215">
        <f>IF(ISBLANK(N74),AD74,AD74*5)</f>
      </c>
      <c r="AF74" s="3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6"/>
      <c r="BD74" s="16"/>
      <c r="BE74" s="16"/>
      <c r="BF74" s="215">
        <f>Z74-AF74</f>
      </c>
      <c r="BG74" s="214">
        <f>IFERROR(AF74/Y74,0)</f>
      </c>
      <c r="BH74" s="214">
        <f>IFERROR(AF74/X74,0)</f>
      </c>
      <c r="BI74" s="214">
        <f>IFERROR((X74/SUM(X$39:X$53)),0)</f>
      </c>
      <c r="BJ74" s="214">
        <f>BF74/SUM(BF$3:BF271)</f>
      </c>
      <c r="BK74" s="217">
        <f>BF74/'R&amp;H Portfolio'!Q$10</f>
      </c>
      <c r="BL74" s="215">
        <f>BI74*P74</f>
      </c>
      <c r="BM74" s="3"/>
      <c r="BN74" s="3"/>
      <c r="BO74" s="17"/>
    </row>
    <row x14ac:dyDescent="0.25" r="75" customHeight="1" ht="15">
      <c r="A75" s="17"/>
      <c r="B75" s="14"/>
      <c r="C75" s="3"/>
      <c r="D75" s="3"/>
      <c r="E75" s="3"/>
      <c r="F75" s="3"/>
      <c r="G75" s="205"/>
      <c r="H75" s="18"/>
      <c r="I75" s="18"/>
      <c r="J75" s="208">
        <f>H75+I75</f>
      </c>
      <c r="K75" s="1"/>
      <c r="L75" s="58">
        <f>K75*I75</f>
      </c>
      <c r="M75" s="58">
        <f>K75*J75</f>
      </c>
      <c r="N75" s="16"/>
      <c r="O75" s="16"/>
      <c r="P75" s="211">
        <f>IF(ISBLANK(N75),O75/4.3,N75/20)</f>
      </c>
      <c r="Q75" s="1"/>
      <c r="R75" s="3"/>
      <c r="S75" s="3"/>
      <c r="T75" s="213">
        <f>IF(ISBLANK(R75),0,X75)</f>
      </c>
      <c r="U75" s="213">
        <f>IF(ISBLANK(S75),0,X75)</f>
      </c>
      <c r="V75" s="214">
        <f>IFERROR(Q75/K75,0)</f>
      </c>
      <c r="W75" s="58">
        <f>IFERROR(L75*V75,0)</f>
      </c>
      <c r="X75" s="213">
        <f>IFERROR(Q75+W75,0)</f>
      </c>
      <c r="Y75" s="213">
        <f>IFERROR(M75*V75,0)</f>
      </c>
      <c r="Z75" s="213">
        <f>Y75-(Y75*$B$1)</f>
      </c>
      <c r="AA75" s="67">
        <f>IFERROR(Z75/X75,"")</f>
      </c>
      <c r="AB75" s="215">
        <f>IFERROR(IF(ISBLANK(N75),Y75/O75,Y75/N75),0)</f>
      </c>
      <c r="AC75" s="215">
        <f>IFERROR(-1*(AB75*B$1),0)</f>
      </c>
      <c r="AD75" s="215">
        <f>IFERROR(SUM(AB75:AC75),0)</f>
      </c>
      <c r="AE75" s="215">
        <f>IF(ISBLANK(N75),AD75,AD75*5)</f>
      </c>
      <c r="AF75" s="3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6"/>
      <c r="BD75" s="16"/>
      <c r="BE75" s="16"/>
      <c r="BF75" s="215">
        <f>Z75-AF75</f>
      </c>
      <c r="BG75" s="214">
        <f>IFERROR(AF75/Y75,0)</f>
      </c>
      <c r="BH75" s="214">
        <f>IFERROR(AF75/X75,0)</f>
      </c>
      <c r="BI75" s="214">
        <f>IFERROR((X75/SUM(X$39:X$53)),0)</f>
      </c>
      <c r="BJ75" s="214">
        <f>BF75/SUM(BF$3:BF272)</f>
      </c>
      <c r="BK75" s="217">
        <f>BF75/'R&amp;H Portfolio'!Q$10</f>
      </c>
      <c r="BL75" s="215">
        <f>BI75*P75</f>
      </c>
      <c r="BM75" s="3"/>
      <c r="BN75" s="3"/>
      <c r="BO75" s="17"/>
    </row>
    <row x14ac:dyDescent="0.25" r="76" customHeight="1" ht="15">
      <c r="A76" s="17"/>
      <c r="B76" s="14"/>
      <c r="C76" s="3"/>
      <c r="D76" s="3"/>
      <c r="E76" s="3"/>
      <c r="F76" s="3"/>
      <c r="G76" s="205"/>
      <c r="H76" s="18"/>
      <c r="I76" s="18"/>
      <c r="J76" s="3"/>
      <c r="K76" s="1"/>
      <c r="L76" s="3"/>
      <c r="M76" s="3"/>
      <c r="N76" s="16"/>
      <c r="O76" s="16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6"/>
      <c r="BD76" s="16"/>
      <c r="BE76" s="16"/>
      <c r="BF76" s="3"/>
      <c r="BG76" s="3"/>
      <c r="BH76" s="3"/>
      <c r="BI76" s="3"/>
      <c r="BJ76" s="3"/>
      <c r="BK76" s="16"/>
      <c r="BL76" s="3"/>
      <c r="BM76" s="3"/>
      <c r="BN76" s="3"/>
      <c r="BO76" s="17"/>
    </row>
    <row x14ac:dyDescent="0.25" r="77" customHeight="1" ht="15">
      <c r="A77" s="17"/>
      <c r="B77" s="14"/>
      <c r="C77" s="3"/>
      <c r="D77" s="3"/>
      <c r="E77" s="3"/>
      <c r="F77" s="3"/>
      <c r="G77" s="205"/>
      <c r="H77" s="18"/>
      <c r="I77" s="18"/>
      <c r="J77" s="3"/>
      <c r="K77" s="1"/>
      <c r="L77" s="3"/>
      <c r="M77" s="3"/>
      <c r="N77" s="16"/>
      <c r="O77" s="16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6"/>
      <c r="BD77" s="16"/>
      <c r="BE77" s="16"/>
      <c r="BF77" s="3"/>
      <c r="BG77" s="3"/>
      <c r="BH77" s="3"/>
      <c r="BI77" s="3"/>
      <c r="BJ77" s="3"/>
      <c r="BK77" s="16"/>
      <c r="BL77" s="3"/>
      <c r="BM77" s="3"/>
      <c r="BN77" s="3"/>
      <c r="BO77" s="17"/>
    </row>
    <row x14ac:dyDescent="0.25" r="78" customHeight="1" ht="15">
      <c r="A78" s="17"/>
      <c r="B78" s="14"/>
      <c r="C78" s="3"/>
      <c r="D78" s="3"/>
      <c r="E78" s="3"/>
      <c r="F78" s="3"/>
      <c r="G78" s="205"/>
      <c r="H78" s="18"/>
      <c r="I78" s="18"/>
      <c r="J78" s="3"/>
      <c r="K78" s="1"/>
      <c r="L78" s="3"/>
      <c r="M78" s="3"/>
      <c r="N78" s="16"/>
      <c r="O78" s="16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6"/>
      <c r="BD78" s="16"/>
      <c r="BE78" s="16"/>
      <c r="BF78" s="3"/>
      <c r="BG78" s="3"/>
      <c r="BH78" s="3"/>
      <c r="BI78" s="3"/>
      <c r="BJ78" s="3"/>
      <c r="BK78" s="16"/>
      <c r="BL78" s="3"/>
      <c r="BM78" s="3"/>
      <c r="BN78" s="3"/>
      <c r="BO78" s="17"/>
    </row>
    <row x14ac:dyDescent="0.25" r="79" customHeight="1" ht="15">
      <c r="A79" s="17"/>
      <c r="B79" s="14"/>
      <c r="C79" s="3"/>
      <c r="D79" s="3"/>
      <c r="E79" s="3"/>
      <c r="F79" s="3"/>
      <c r="G79" s="205"/>
      <c r="H79" s="18"/>
      <c r="I79" s="18"/>
      <c r="J79" s="3"/>
      <c r="K79" s="1"/>
      <c r="L79" s="3"/>
      <c r="M79" s="3"/>
      <c r="N79" s="16"/>
      <c r="O79" s="16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6"/>
      <c r="BD79" s="16"/>
      <c r="BE79" s="16"/>
      <c r="BF79" s="3"/>
      <c r="BG79" s="3"/>
      <c r="BH79" s="3"/>
      <c r="BI79" s="3"/>
      <c r="BJ79" s="3"/>
      <c r="BK79" s="16"/>
      <c r="BL79" s="3"/>
      <c r="BM79" s="3"/>
      <c r="BN79" s="3"/>
      <c r="BO79" s="17"/>
    </row>
    <row x14ac:dyDescent="0.25" r="80" customHeight="1" ht="15">
      <c r="A80" s="17"/>
      <c r="B80" s="14"/>
      <c r="C80" s="3"/>
      <c r="D80" s="3"/>
      <c r="E80" s="3"/>
      <c r="F80" s="3"/>
      <c r="G80" s="205"/>
      <c r="H80" s="18"/>
      <c r="I80" s="18"/>
      <c r="J80" s="3"/>
      <c r="K80" s="1"/>
      <c r="L80" s="3"/>
      <c r="M80" s="3"/>
      <c r="N80" s="16"/>
      <c r="O80" s="16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6"/>
      <c r="BD80" s="16"/>
      <c r="BE80" s="16"/>
      <c r="BF80" s="3"/>
      <c r="BG80" s="3"/>
      <c r="BH80" s="3"/>
      <c r="BI80" s="3"/>
      <c r="BJ80" s="3"/>
      <c r="BK80" s="16"/>
      <c r="BL80" s="3"/>
      <c r="BM80" s="3"/>
      <c r="BN80" s="3"/>
      <c r="BO80" s="17"/>
    </row>
    <row x14ac:dyDescent="0.25" r="81" customHeight="1" ht="15">
      <c r="A81" s="17"/>
      <c r="B81" s="14"/>
      <c r="C81" s="3"/>
      <c r="D81" s="3"/>
      <c r="E81" s="3"/>
      <c r="F81" s="3"/>
      <c r="G81" s="205"/>
      <c r="H81" s="18"/>
      <c r="I81" s="18"/>
      <c r="J81" s="3"/>
      <c r="K81" s="1"/>
      <c r="L81" s="3"/>
      <c r="M81" s="3"/>
      <c r="N81" s="16"/>
      <c r="O81" s="16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6"/>
      <c r="BD81" s="16"/>
      <c r="BE81" s="16"/>
      <c r="BF81" s="3"/>
      <c r="BG81" s="3"/>
      <c r="BH81" s="3"/>
      <c r="BI81" s="3"/>
      <c r="BJ81" s="3"/>
      <c r="BK81" s="16"/>
      <c r="BL81" s="3"/>
      <c r="BM81" s="3"/>
      <c r="BN81" s="3"/>
      <c r="BO81" s="17"/>
    </row>
    <row x14ac:dyDescent="0.25" r="82" customHeight="1" ht="15">
      <c r="A82" s="17"/>
      <c r="B82" s="14"/>
      <c r="C82" s="3"/>
      <c r="D82" s="3"/>
      <c r="E82" s="3"/>
      <c r="F82" s="3"/>
      <c r="G82" s="205"/>
      <c r="H82" s="18"/>
      <c r="I82" s="18"/>
      <c r="J82" s="3"/>
      <c r="K82" s="1"/>
      <c r="L82" s="3"/>
      <c r="M82" s="3"/>
      <c r="N82" s="16"/>
      <c r="O82" s="16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6"/>
      <c r="BD82" s="16"/>
      <c r="BE82" s="16"/>
      <c r="BF82" s="3"/>
      <c r="BG82" s="3"/>
      <c r="BH82" s="3"/>
      <c r="BI82" s="3"/>
      <c r="BJ82" s="3"/>
      <c r="BK82" s="16"/>
      <c r="BL82" s="3"/>
      <c r="BM82" s="3"/>
      <c r="BN82" s="3"/>
      <c r="BO82" s="17"/>
    </row>
    <row x14ac:dyDescent="0.25" r="83" customHeight="1" ht="15">
      <c r="A83" s="17"/>
      <c r="B83" s="14"/>
      <c r="C83" s="3"/>
      <c r="D83" s="3"/>
      <c r="E83" s="3"/>
      <c r="F83" s="3"/>
      <c r="G83" s="205"/>
      <c r="H83" s="18"/>
      <c r="I83" s="18"/>
      <c r="J83" s="3"/>
      <c r="K83" s="1"/>
      <c r="L83" s="3"/>
      <c r="M83" s="3"/>
      <c r="N83" s="16"/>
      <c r="O83" s="16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6"/>
      <c r="BD83" s="16"/>
      <c r="BE83" s="16"/>
      <c r="BF83" s="3"/>
      <c r="BG83" s="3"/>
      <c r="BH83" s="3"/>
      <c r="BI83" s="3"/>
      <c r="BJ83" s="3"/>
      <c r="BK83" s="16"/>
      <c r="BL83" s="3"/>
      <c r="BM83" s="3"/>
      <c r="BN83" s="3"/>
      <c r="BO83" s="17"/>
    </row>
    <row x14ac:dyDescent="0.25" r="84" customHeight="1" ht="15">
      <c r="A84" s="17"/>
      <c r="B84" s="14"/>
      <c r="C84" s="3"/>
      <c r="D84" s="3"/>
      <c r="E84" s="3"/>
      <c r="F84" s="3"/>
      <c r="G84" s="205"/>
      <c r="H84" s="18"/>
      <c r="I84" s="18"/>
      <c r="J84" s="3"/>
      <c r="K84" s="1"/>
      <c r="L84" s="3"/>
      <c r="M84" s="3"/>
      <c r="N84" s="16"/>
      <c r="O84" s="16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6"/>
      <c r="BD84" s="16"/>
      <c r="BE84" s="16"/>
      <c r="BF84" s="3"/>
      <c r="BG84" s="3"/>
      <c r="BH84" s="3"/>
      <c r="BI84" s="3"/>
      <c r="BJ84" s="3"/>
      <c r="BK84" s="16"/>
      <c r="BL84" s="3"/>
      <c r="BM84" s="3"/>
      <c r="BN84" s="3"/>
      <c r="BO84" s="17"/>
    </row>
    <row x14ac:dyDescent="0.25" r="85" customHeight="1" ht="15">
      <c r="A85" s="17"/>
      <c r="B85" s="14"/>
      <c r="C85" s="3"/>
      <c r="D85" s="3"/>
      <c r="E85" s="3"/>
      <c r="F85" s="3"/>
      <c r="G85" s="205"/>
      <c r="H85" s="18"/>
      <c r="I85" s="18"/>
      <c r="J85" s="3"/>
      <c r="K85" s="1"/>
      <c r="L85" s="3"/>
      <c r="M85" s="3"/>
      <c r="N85" s="16"/>
      <c r="O85" s="16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6"/>
      <c r="BD85" s="16"/>
      <c r="BE85" s="16"/>
      <c r="BF85" s="3"/>
      <c r="BG85" s="3"/>
      <c r="BH85" s="3"/>
      <c r="BI85" s="3"/>
      <c r="BJ85" s="3"/>
      <c r="BK85" s="16"/>
      <c r="BL85" s="3"/>
      <c r="BM85" s="3"/>
      <c r="BN85" s="3"/>
      <c r="BO85" s="17"/>
    </row>
    <row x14ac:dyDescent="0.25" r="86" customHeight="1" ht="15">
      <c r="A86" s="17"/>
      <c r="B86" s="14"/>
      <c r="C86" s="3"/>
      <c r="D86" s="3"/>
      <c r="E86" s="3"/>
      <c r="F86" s="3"/>
      <c r="G86" s="205"/>
      <c r="H86" s="18"/>
      <c r="I86" s="18"/>
      <c r="J86" s="3"/>
      <c r="K86" s="1"/>
      <c r="L86" s="3"/>
      <c r="M86" s="3"/>
      <c r="N86" s="16"/>
      <c r="O86" s="16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6"/>
      <c r="BD86" s="16"/>
      <c r="BE86" s="16"/>
      <c r="BF86" s="3"/>
      <c r="BG86" s="3"/>
      <c r="BH86" s="3"/>
      <c r="BI86" s="3"/>
      <c r="BJ86" s="3"/>
      <c r="BK86" s="16"/>
      <c r="BL86" s="3"/>
      <c r="BM86" s="3"/>
      <c r="BN86" s="3"/>
      <c r="BO86" s="17"/>
    </row>
    <row x14ac:dyDescent="0.25" r="87" customHeight="1" ht="15">
      <c r="A87" s="17"/>
      <c r="B87" s="14"/>
      <c r="C87" s="3"/>
      <c r="D87" s="3"/>
      <c r="E87" s="3"/>
      <c r="F87" s="3"/>
      <c r="G87" s="205"/>
      <c r="H87" s="18"/>
      <c r="I87" s="18"/>
      <c r="J87" s="3"/>
      <c r="K87" s="1"/>
      <c r="L87" s="3"/>
      <c r="M87" s="3"/>
      <c r="N87" s="16"/>
      <c r="O87" s="16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6"/>
      <c r="BD87" s="16"/>
      <c r="BE87" s="16"/>
      <c r="BF87" s="3"/>
      <c r="BG87" s="3"/>
      <c r="BH87" s="3"/>
      <c r="BI87" s="3"/>
      <c r="BJ87" s="3"/>
      <c r="BK87" s="16"/>
      <c r="BL87" s="3"/>
      <c r="BM87" s="3"/>
      <c r="BN87" s="3"/>
      <c r="BO87" s="17"/>
    </row>
    <row x14ac:dyDescent="0.25" r="88" customHeight="1" ht="15">
      <c r="A88" s="17"/>
      <c r="B88" s="14"/>
      <c r="C88" s="3"/>
      <c r="D88" s="3"/>
      <c r="E88" s="3"/>
      <c r="F88" s="3"/>
      <c r="G88" s="205"/>
      <c r="H88" s="18"/>
      <c r="I88" s="18"/>
      <c r="J88" s="3"/>
      <c r="K88" s="1"/>
      <c r="L88" s="3"/>
      <c r="M88" s="3"/>
      <c r="N88" s="16"/>
      <c r="O88" s="16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6"/>
      <c r="BD88" s="16"/>
      <c r="BE88" s="16"/>
      <c r="BF88" s="3"/>
      <c r="BG88" s="3"/>
      <c r="BH88" s="3"/>
      <c r="BI88" s="3"/>
      <c r="BJ88" s="3"/>
      <c r="BK88" s="16"/>
      <c r="BL88" s="3"/>
      <c r="BM88" s="3"/>
      <c r="BN88" s="3"/>
      <c r="BO88" s="17"/>
    </row>
    <row x14ac:dyDescent="0.25" r="89" customHeight="1" ht="15">
      <c r="A89" s="17"/>
      <c r="B89" s="14"/>
      <c r="C89" s="3"/>
      <c r="D89" s="3"/>
      <c r="E89" s="3"/>
      <c r="F89" s="3"/>
      <c r="G89" s="205"/>
      <c r="H89" s="18"/>
      <c r="I89" s="18"/>
      <c r="J89" s="3"/>
      <c r="K89" s="1"/>
      <c r="L89" s="3"/>
      <c r="M89" s="3"/>
      <c r="N89" s="16"/>
      <c r="O89" s="16"/>
      <c r="P89" s="3"/>
      <c r="Q89" s="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6"/>
      <c r="BD89" s="16"/>
      <c r="BE89" s="16"/>
      <c r="BF89" s="3"/>
      <c r="BG89" s="3"/>
      <c r="BH89" s="3"/>
      <c r="BI89" s="3"/>
      <c r="BJ89" s="3"/>
      <c r="BK89" s="16"/>
      <c r="BL89" s="3"/>
      <c r="BM89" s="3"/>
      <c r="BN89" s="3"/>
      <c r="BO89" s="17"/>
    </row>
    <row x14ac:dyDescent="0.25" r="90" customHeight="1" ht="15">
      <c r="A90" s="17"/>
      <c r="B90" s="14"/>
      <c r="C90" s="3"/>
      <c r="D90" s="3"/>
      <c r="E90" s="3"/>
      <c r="F90" s="3"/>
      <c r="G90" s="205"/>
      <c r="H90" s="18"/>
      <c r="I90" s="18"/>
      <c r="J90" s="3"/>
      <c r="K90" s="1"/>
      <c r="L90" s="3"/>
      <c r="M90" s="3"/>
      <c r="N90" s="16"/>
      <c r="O90" s="16"/>
      <c r="P90" s="3"/>
      <c r="Q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6"/>
      <c r="BD90" s="16"/>
      <c r="BE90" s="16"/>
      <c r="BF90" s="3"/>
      <c r="BG90" s="3"/>
      <c r="BH90" s="3"/>
      <c r="BI90" s="3"/>
      <c r="BJ90" s="3"/>
      <c r="BK90" s="16"/>
      <c r="BL90" s="3"/>
      <c r="BM90" s="3"/>
      <c r="BN90" s="3"/>
      <c r="BO90" s="17"/>
    </row>
    <row x14ac:dyDescent="0.25" r="91" customHeight="1" ht="15">
      <c r="A91" s="17"/>
      <c r="B91" s="14"/>
      <c r="C91" s="3"/>
      <c r="D91" s="3"/>
      <c r="E91" s="3"/>
      <c r="F91" s="3"/>
      <c r="G91" s="205"/>
      <c r="H91" s="18"/>
      <c r="I91" s="18"/>
      <c r="J91" s="3"/>
      <c r="K91" s="1"/>
      <c r="L91" s="3"/>
      <c r="M91" s="3"/>
      <c r="N91" s="16"/>
      <c r="O91" s="16"/>
      <c r="P91" s="3"/>
      <c r="Q91" s="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6"/>
      <c r="BD91" s="16"/>
      <c r="BE91" s="16"/>
      <c r="BF91" s="3"/>
      <c r="BG91" s="3"/>
      <c r="BH91" s="3"/>
      <c r="BI91" s="3"/>
      <c r="BJ91" s="3"/>
      <c r="BK91" s="16"/>
      <c r="BL91" s="3"/>
      <c r="BM91" s="3"/>
      <c r="BN91" s="3"/>
      <c r="BO9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O2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48" width="12.719285714285713" customWidth="1" bestFit="1"/>
    <col min="2" max="2" style="89" width="20.862142857142857" customWidth="1" bestFit="1"/>
    <col min="3" max="3" style="21" width="7.576428571428571" customWidth="1" bestFit="1"/>
    <col min="4" max="4" style="21" width="9.005" customWidth="1" bestFit="1"/>
    <col min="5" max="5" style="21" width="11.576428571428572" customWidth="1" bestFit="1"/>
    <col min="6" max="6" style="21" width="5.862142857142857" customWidth="1" bestFit="1"/>
    <col min="7" max="7" style="171" width="6.005" customWidth="1" bestFit="1"/>
    <col min="8" max="8" style="249" width="6.576428571428571" customWidth="1" bestFit="1"/>
    <col min="9" max="9" style="249" width="6.576428571428571" customWidth="1" bestFit="1"/>
    <col min="10" max="10" style="157" width="7.719285714285714" customWidth="1" bestFit="1"/>
    <col min="11" max="11" style="28" width="9.147857142857141" customWidth="1" bestFit="1"/>
    <col min="12" max="12" style="157" width="9.576428571428572" customWidth="1" bestFit="1"/>
    <col min="13" max="13" style="157" width="10.290714285714287" customWidth="1" bestFit="1"/>
    <col min="14" max="14" style="171" width="7.2907142857142855" customWidth="1" bestFit="1"/>
    <col min="15" max="15" style="171" width="6.576428571428571" customWidth="1" bestFit="1"/>
    <col min="16" max="16" style="157" width="8.147857142857141" customWidth="1" bestFit="1"/>
    <col min="17" max="17" style="28" width="7.576428571428571" customWidth="1" bestFit="1"/>
    <col min="18" max="18" style="21" width="6.576428571428571" customWidth="1" bestFit="1"/>
    <col min="19" max="19" style="21" width="5.005" customWidth="1" bestFit="1"/>
    <col min="20" max="20" style="157" width="8.576428571428572" customWidth="1" bestFit="1"/>
    <col min="21" max="21" style="157" width="8.576428571428572" customWidth="1" bestFit="1"/>
    <col min="22" max="22" style="157" width="7.147857142857143" customWidth="1" bestFit="1"/>
    <col min="23" max="23" style="157" width="8.576428571428572" customWidth="1" bestFit="1"/>
    <col min="24" max="24" style="157" width="8.147857142857141" customWidth="1" bestFit="1"/>
    <col min="25" max="25" style="157" width="8.576428571428572" customWidth="1" bestFit="1"/>
    <col min="26" max="26" style="157" width="8.576428571428572" customWidth="1" bestFit="1"/>
    <col min="27" max="27" style="157" width="10.290714285714287" customWidth="1" bestFit="1"/>
    <col min="28" max="28" style="157" width="9.147857142857141" customWidth="1" bestFit="1"/>
    <col min="29" max="29" style="157" width="7.576428571428571" customWidth="1" bestFit="1"/>
    <col min="30" max="30" style="157" width="7.719285714285714" customWidth="1" bestFit="1"/>
    <col min="31" max="31" style="157" width="9.576428571428572" customWidth="1" bestFit="1"/>
    <col min="32" max="32" style="157" width="10.147857142857141" customWidth="1" bestFit="1"/>
    <col min="33" max="33" style="21" width="12.43357142857143" customWidth="1" bestFit="1" hidden="1"/>
    <col min="34" max="34" style="21" width="12.43357142857143" customWidth="1" bestFit="1" hidden="1"/>
    <col min="35" max="35" style="21" width="12.43357142857143" customWidth="1" bestFit="1" hidden="1"/>
    <col min="36" max="36" style="21" width="12.43357142857143" customWidth="1" bestFit="1" hidden="1"/>
    <col min="37" max="37" style="21" width="12.43357142857143" customWidth="1" bestFit="1" hidden="1"/>
    <col min="38" max="38" style="21" width="12.43357142857143" customWidth="1" bestFit="1" hidden="1"/>
    <col min="39" max="39" style="21" width="12.43357142857143" customWidth="1" bestFit="1" hidden="1"/>
    <col min="40" max="40" style="21" width="12.43357142857143" customWidth="1" bestFit="1" hidden="1"/>
    <col min="41" max="41" style="21" width="12.43357142857143" customWidth="1" bestFit="1" hidden="1"/>
    <col min="42" max="42" style="21" width="12.43357142857143" customWidth="1" bestFit="1" hidden="1"/>
    <col min="43" max="43" style="249" width="12.43357142857143" customWidth="1" bestFit="1" hidden="1"/>
    <col min="44" max="44" style="249" width="12.43357142857143" customWidth="1" bestFit="1" hidden="1"/>
    <col min="45" max="45" style="249" width="12.43357142857143" customWidth="1" bestFit="1" hidden="1"/>
    <col min="46" max="46" style="28" width="12.43357142857143" customWidth="1" bestFit="1" hidden="1"/>
    <col min="47" max="47" style="249" width="12.43357142857143" customWidth="1" bestFit="1" hidden="1"/>
    <col min="48" max="48" style="249" width="12.43357142857143" customWidth="1" bestFit="1" hidden="1"/>
    <col min="49" max="49" style="249" width="12.43357142857143" customWidth="1" bestFit="1" hidden="1"/>
    <col min="50" max="50" style="249" width="8.147857142857141" customWidth="1" bestFit="1"/>
    <col min="51" max="51" style="249" width="8.147857142857141" customWidth="1" bestFit="1"/>
    <col min="52" max="52" style="249" width="8.147857142857141" customWidth="1" bestFit="1"/>
    <col min="53" max="53" style="249" width="8.147857142857141" customWidth="1" bestFit="1"/>
    <col min="54" max="54" style="249" width="8.147857142857141" customWidth="1" bestFit="1"/>
    <col min="55" max="55" style="171" width="8.147857142857141" customWidth="1" bestFit="1"/>
    <col min="56" max="56" style="171" width="8.147857142857141" customWidth="1" bestFit="1"/>
    <col min="57" max="57" style="171" width="8.147857142857141" customWidth="1" bestFit="1"/>
    <col min="58" max="58" style="157" width="12.576428571428572" customWidth="1" bestFit="1"/>
    <col min="59" max="59" style="157" width="9.147857142857141" customWidth="1" bestFit="1"/>
    <col min="60" max="60" style="157" width="9.576428571428572" customWidth="1" bestFit="1"/>
    <col min="61" max="61" style="157" width="11.576428571428572" customWidth="1" bestFit="1"/>
    <col min="62" max="62" style="157" width="12.576428571428572" customWidth="1" bestFit="1"/>
    <col min="63" max="63" style="157" width="8.719285714285713" customWidth="1" bestFit="1"/>
    <col min="64" max="64" style="157" width="12.005" customWidth="1" bestFit="1"/>
    <col min="65" max="65" style="21" width="12.43357142857143" customWidth="1" bestFit="1"/>
    <col min="66" max="66" style="21" width="12.43357142857143" customWidth="1" bestFit="1"/>
    <col min="67" max="67" style="248" width="12.43357142857143" customWidth="1" bestFit="1"/>
  </cols>
  <sheetData>
    <row x14ac:dyDescent="0.25" r="1" customHeight="1" ht="27.5">
      <c r="A1" s="347" t="s">
        <v>59</v>
      </c>
      <c r="B1" s="348">
        <v>0.04</v>
      </c>
      <c r="C1" s="349" t="s">
        <v>59</v>
      </c>
      <c r="D1" s="349" t="s">
        <v>59</v>
      </c>
      <c r="E1" s="349" t="s">
        <v>59</v>
      </c>
      <c r="F1" s="349" t="s">
        <v>59</v>
      </c>
      <c r="G1" s="350" t="s">
        <v>59</v>
      </c>
      <c r="H1" s="351" t="s">
        <v>59</v>
      </c>
      <c r="I1" s="351" t="s">
        <v>59</v>
      </c>
      <c r="J1" s="349" t="s">
        <v>59</v>
      </c>
      <c r="K1" s="352" t="s">
        <v>59</v>
      </c>
      <c r="L1" s="349" t="s">
        <v>59</v>
      </c>
      <c r="M1" s="349" t="s">
        <v>59</v>
      </c>
      <c r="N1" s="350" t="s">
        <v>59</v>
      </c>
      <c r="O1" s="350" t="s">
        <v>59</v>
      </c>
      <c r="P1" s="349" t="s">
        <v>59</v>
      </c>
      <c r="Q1" s="352" t="s">
        <v>59</v>
      </c>
      <c r="R1" s="349" t="s">
        <v>59</v>
      </c>
      <c r="S1" s="349" t="s">
        <v>59</v>
      </c>
      <c r="T1" s="349" t="s">
        <v>59</v>
      </c>
      <c r="U1" s="349" t="s">
        <v>59</v>
      </c>
      <c r="V1" s="349" t="s">
        <v>59</v>
      </c>
      <c r="W1" s="349" t="s">
        <v>59</v>
      </c>
      <c r="X1" s="349" t="s">
        <v>59</v>
      </c>
      <c r="Y1" s="349" t="s">
        <v>59</v>
      </c>
      <c r="Z1" s="349" t="s">
        <v>59</v>
      </c>
      <c r="AA1" s="349" t="s">
        <v>59</v>
      </c>
      <c r="AB1" s="349" t="s">
        <v>59</v>
      </c>
      <c r="AC1" s="349" t="s">
        <v>59</v>
      </c>
      <c r="AD1" s="349" t="s">
        <v>59</v>
      </c>
      <c r="AE1" s="349" t="s">
        <v>59</v>
      </c>
      <c r="AF1" s="349" t="s">
        <v>59</v>
      </c>
      <c r="AG1" s="349" t="s">
        <v>59</v>
      </c>
      <c r="AH1" s="349" t="s">
        <v>59</v>
      </c>
      <c r="AI1" s="349" t="s">
        <v>59</v>
      </c>
      <c r="AJ1" s="349" t="s">
        <v>59</v>
      </c>
      <c r="AK1" s="349" t="s">
        <v>59</v>
      </c>
      <c r="AL1" s="349" t="s">
        <v>59</v>
      </c>
      <c r="AM1" s="349" t="s">
        <v>59</v>
      </c>
      <c r="AN1" s="349" t="s">
        <v>59</v>
      </c>
      <c r="AO1" s="349" t="s">
        <v>59</v>
      </c>
      <c r="AP1" s="349" t="s">
        <v>59</v>
      </c>
      <c r="AQ1" s="351" t="s">
        <v>59</v>
      </c>
      <c r="AR1" s="351" t="s">
        <v>59</v>
      </c>
      <c r="AS1" s="351" t="s">
        <v>59</v>
      </c>
      <c r="AT1" s="352" t="s">
        <v>59</v>
      </c>
      <c r="AU1" s="351" t="s">
        <v>59</v>
      </c>
      <c r="AV1" s="351" t="s">
        <v>59</v>
      </c>
      <c r="AW1" s="351" t="s">
        <v>59</v>
      </c>
      <c r="AX1" s="351" t="s">
        <v>59</v>
      </c>
      <c r="AY1" s="351" t="s">
        <v>59</v>
      </c>
      <c r="AZ1" s="351" t="s">
        <v>59</v>
      </c>
      <c r="BA1" s="350"/>
      <c r="BB1" s="350"/>
      <c r="BC1" s="350"/>
      <c r="BD1" s="350"/>
      <c r="BE1" s="350"/>
      <c r="BF1" s="349" t="s">
        <v>59</v>
      </c>
      <c r="BG1" s="349" t="s">
        <v>59</v>
      </c>
      <c r="BH1" s="349" t="s">
        <v>59</v>
      </c>
      <c r="BI1" s="349" t="s">
        <v>59</v>
      </c>
      <c r="BJ1" s="349" t="s">
        <v>59</v>
      </c>
      <c r="BK1" s="349" t="s">
        <v>59</v>
      </c>
      <c r="BL1" s="349" t="s">
        <v>59</v>
      </c>
      <c r="BM1" s="349" t="s">
        <v>59</v>
      </c>
      <c r="BN1" s="349" t="s">
        <v>59</v>
      </c>
      <c r="BO1" s="347" t="s">
        <v>59</v>
      </c>
    </row>
    <row x14ac:dyDescent="0.25" r="2" customHeight="1" ht="74.5" customFormat="1" s="6">
      <c r="A2" s="257" t="s">
        <v>65</v>
      </c>
      <c r="B2" s="353" t="s">
        <v>66</v>
      </c>
      <c r="C2" s="259" t="s">
        <v>67</v>
      </c>
      <c r="D2" s="259" t="s">
        <v>68</v>
      </c>
      <c r="E2" s="259" t="s">
        <v>69</v>
      </c>
      <c r="F2" s="259" t="s">
        <v>70</v>
      </c>
      <c r="G2" s="260" t="s">
        <v>71</v>
      </c>
      <c r="H2" s="261" t="s">
        <v>72</v>
      </c>
      <c r="I2" s="261" t="s">
        <v>73</v>
      </c>
      <c r="J2" s="262" t="s">
        <v>74</v>
      </c>
      <c r="K2" s="263" t="s">
        <v>75</v>
      </c>
      <c r="L2" s="262" t="s">
        <v>73</v>
      </c>
      <c r="M2" s="262" t="s">
        <v>76</v>
      </c>
      <c r="N2" s="260" t="s">
        <v>77</v>
      </c>
      <c r="O2" s="260" t="s">
        <v>78</v>
      </c>
      <c r="P2" s="264" t="s">
        <v>79</v>
      </c>
      <c r="Q2" s="263" t="s">
        <v>80</v>
      </c>
      <c r="R2" s="265" t="s">
        <v>81</v>
      </c>
      <c r="S2" s="265" t="s">
        <v>82</v>
      </c>
      <c r="T2" s="266" t="s">
        <v>83</v>
      </c>
      <c r="U2" s="266" t="s">
        <v>84</v>
      </c>
      <c r="V2" s="267" t="s">
        <v>85</v>
      </c>
      <c r="W2" s="267" t="s">
        <v>86</v>
      </c>
      <c r="X2" s="266" t="s">
        <v>87</v>
      </c>
      <c r="Y2" s="266" t="s">
        <v>88</v>
      </c>
      <c r="Z2" s="266" t="s">
        <v>89</v>
      </c>
      <c r="AA2" s="266" t="s">
        <v>90</v>
      </c>
      <c r="AB2" s="267" t="s">
        <v>91</v>
      </c>
      <c r="AC2" s="267" t="s">
        <v>92</v>
      </c>
      <c r="AD2" s="267" t="s">
        <v>93</v>
      </c>
      <c r="AE2" s="267" t="s">
        <v>94</v>
      </c>
      <c r="AF2" s="265" t="s">
        <v>95</v>
      </c>
      <c r="AG2" s="268" t="s">
        <v>96</v>
      </c>
      <c r="AH2" s="268" t="s">
        <v>97</v>
      </c>
      <c r="AI2" s="268" t="s">
        <v>98</v>
      </c>
      <c r="AJ2" s="268" t="s">
        <v>99</v>
      </c>
      <c r="AK2" s="268" t="s">
        <v>100</v>
      </c>
      <c r="AL2" s="268" t="s">
        <v>101</v>
      </c>
      <c r="AM2" s="268" t="s">
        <v>102</v>
      </c>
      <c r="AN2" s="268" t="s">
        <v>103</v>
      </c>
      <c r="AO2" s="268" t="s">
        <v>104</v>
      </c>
      <c r="AP2" s="268" t="s">
        <v>105</v>
      </c>
      <c r="AQ2" s="200" t="s">
        <v>106</v>
      </c>
      <c r="AR2" s="200" t="s">
        <v>107</v>
      </c>
      <c r="AS2" s="200" t="s">
        <v>108</v>
      </c>
      <c r="AT2" s="354" t="s">
        <v>109</v>
      </c>
      <c r="AU2" s="200" t="s">
        <v>110</v>
      </c>
      <c r="AV2" s="200" t="s">
        <v>111</v>
      </c>
      <c r="AW2" s="200" t="s">
        <v>112</v>
      </c>
      <c r="AX2" s="200" t="s">
        <v>113</v>
      </c>
      <c r="AY2" s="200" t="s">
        <v>114</v>
      </c>
      <c r="AZ2" s="200" t="s">
        <v>115</v>
      </c>
      <c r="BA2" s="200" t="s">
        <v>116</v>
      </c>
      <c r="BB2" s="200" t="s">
        <v>117</v>
      </c>
      <c r="BC2" s="270" t="s">
        <v>355</v>
      </c>
      <c r="BD2" s="270" t="s">
        <v>356</v>
      </c>
      <c r="BE2" s="270" t="s">
        <v>357</v>
      </c>
      <c r="BF2" s="267" t="s">
        <v>119</v>
      </c>
      <c r="BG2" s="267" t="s">
        <v>120</v>
      </c>
      <c r="BH2" s="267" t="s">
        <v>121</v>
      </c>
      <c r="BI2" s="267" t="s">
        <v>122</v>
      </c>
      <c r="BJ2" s="267" t="s">
        <v>123</v>
      </c>
      <c r="BK2" s="267" t="s">
        <v>124</v>
      </c>
      <c r="BL2" s="267" t="s">
        <v>125</v>
      </c>
      <c r="BM2" s="175" t="s">
        <v>126</v>
      </c>
      <c r="BN2" s="175" t="s">
        <v>127</v>
      </c>
      <c r="BO2" s="272" t="s">
        <v>128</v>
      </c>
    </row>
    <row x14ac:dyDescent="0.25" r="3" customHeight="1" ht="16">
      <c r="A3" s="273">
        <v>25568.79196759259</v>
      </c>
      <c r="B3" s="274" t="s">
        <v>534</v>
      </c>
      <c r="C3" s="204" t="s">
        <v>535</v>
      </c>
      <c r="D3" s="113" t="s">
        <v>536</v>
      </c>
      <c r="E3" s="113" t="s">
        <v>537</v>
      </c>
      <c r="F3" s="113" t="s">
        <v>138</v>
      </c>
      <c r="G3" s="276">
        <v>709</v>
      </c>
      <c r="H3" s="277">
        <v>1.31</v>
      </c>
      <c r="I3" s="278">
        <v>0.08</v>
      </c>
      <c r="J3" s="279">
        <f>H3+I3</f>
      </c>
      <c r="K3" s="280">
        <v>300000</v>
      </c>
      <c r="L3" s="123">
        <f>K3*I3</f>
      </c>
      <c r="M3" s="123">
        <f>K3*J3</f>
      </c>
      <c r="N3" s="16"/>
      <c r="O3" s="281">
        <v>44</v>
      </c>
      <c r="P3" s="282">
        <f>IF(ISBLANK(N3),O3/4.3,N3/20)</f>
      </c>
      <c r="Q3" s="280">
        <v>10000</v>
      </c>
      <c r="R3" s="283" t="s">
        <v>133</v>
      </c>
      <c r="S3" s="280"/>
      <c r="T3" s="256">
        <f>IF(ISBLANK(R3),0,X3)</f>
      </c>
      <c r="U3" s="256">
        <f>IF(ISBLANK(S3),0,X3)</f>
      </c>
      <c r="V3" s="284">
        <f>IFERROR(Q3/K3,0)</f>
      </c>
      <c r="W3" s="123">
        <f>IFERROR(L3*V3,0)</f>
      </c>
      <c r="X3" s="256">
        <f>IFERROR(Q3+W3,0)</f>
      </c>
      <c r="Y3" s="256">
        <f>IFERROR(M3*V3,0)</f>
      </c>
      <c r="Z3" s="256">
        <f>Y3-(Y3*$B$1)</f>
      </c>
      <c r="AA3" s="285">
        <f>IFERROR(Z3/X3,0)</f>
      </c>
      <c r="AB3" s="286">
        <f>IFERROR((IF(ISBLANK(N3),Y3/O3,Y3/N3)),0)</f>
      </c>
      <c r="AC3" s="286">
        <f>IFERROR(-1*(AB3*B$1),0)</f>
      </c>
      <c r="AD3" s="286">
        <f>IFERROR(SUM(AB3:AC3),0)</f>
      </c>
      <c r="AE3" s="286">
        <f>IF(ISBLANK(N3),AD3,AD3*5)</f>
      </c>
      <c r="AF3" s="287">
        <f>SUM(AG3:BE3)</f>
      </c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78">
        <v>303.27</v>
      </c>
      <c r="AR3" s="278">
        <v>303.27</v>
      </c>
      <c r="AS3" s="278">
        <v>303.27</v>
      </c>
      <c r="AT3" s="278">
        <v>303.28</v>
      </c>
      <c r="AU3" s="278">
        <v>303.27</v>
      </c>
      <c r="AV3" s="278">
        <v>303.27</v>
      </c>
      <c r="AW3" s="278">
        <v>303.27</v>
      </c>
      <c r="AX3" s="278">
        <v>303.28</v>
      </c>
      <c r="AY3" s="278">
        <v>303.27</v>
      </c>
      <c r="AZ3" s="278">
        <v>303.27</v>
      </c>
      <c r="BA3" s="278">
        <v>303.28</v>
      </c>
      <c r="BB3" s="278">
        <v>303.27</v>
      </c>
      <c r="BC3" s="281"/>
      <c r="BD3" s="281"/>
      <c r="BE3" s="281"/>
      <c r="BF3" s="286">
        <f>Z3-AF3</f>
      </c>
      <c r="BG3" s="284">
        <f>IFERROR(AF3/Z3,0)</f>
      </c>
      <c r="BH3" s="214">
        <f>IFERROR(AF3/X3,0)</f>
      </c>
      <c r="BI3" s="284">
        <f>IFERROR((X3/SUM(X$3:X$7)),0)</f>
      </c>
      <c r="BJ3" s="284">
        <f>IFERROR((BF3/SUM(BF$3:BF200)),0)</f>
      </c>
      <c r="BK3" s="288">
        <f>BF3/'R&amp;H Portfolio'!Q$10</f>
      </c>
      <c r="BL3" s="286">
        <f>BI3*P3</f>
      </c>
      <c r="BM3" s="218"/>
      <c r="BN3" s="219">
        <f>IF(BM3="YES", BF3, "")</f>
      </c>
      <c r="BO3" s="17"/>
    </row>
    <row x14ac:dyDescent="0.25" r="4" customHeight="1" ht="16">
      <c r="A4" s="273">
        <v>25568.79196759259</v>
      </c>
      <c r="B4" s="203" t="s">
        <v>538</v>
      </c>
      <c r="C4" s="204" t="s">
        <v>539</v>
      </c>
      <c r="D4" s="113" t="s">
        <v>540</v>
      </c>
      <c r="E4" s="113" t="s">
        <v>339</v>
      </c>
      <c r="F4" s="113" t="s">
        <v>541</v>
      </c>
      <c r="G4" s="276">
        <v>649</v>
      </c>
      <c r="H4" s="277">
        <v>1.32</v>
      </c>
      <c r="I4" s="278">
        <v>0.12</v>
      </c>
      <c r="J4" s="279">
        <f>H4+I4</f>
      </c>
      <c r="K4" s="280">
        <v>75000</v>
      </c>
      <c r="L4" s="123">
        <f>K4*I4</f>
      </c>
      <c r="M4" s="123">
        <f>K4*J4</f>
      </c>
      <c r="N4" s="16"/>
      <c r="O4" s="281">
        <v>36</v>
      </c>
      <c r="P4" s="282">
        <f>IF(ISBLANK(N4),O4/4.3,N4/20)</f>
      </c>
      <c r="Q4" s="280">
        <v>7000</v>
      </c>
      <c r="R4" s="280"/>
      <c r="S4" s="283" t="s">
        <v>82</v>
      </c>
      <c r="T4" s="256">
        <f>IF(ISBLANK(R4),0,X4)</f>
      </c>
      <c r="U4" s="256">
        <f>IF(ISBLANK(S4),0,X4)</f>
      </c>
      <c r="V4" s="284">
        <f>IFERROR(Q4/K4,0)</f>
      </c>
      <c r="W4" s="123">
        <f>IFERROR(L4*V4,0)</f>
      </c>
      <c r="X4" s="256">
        <f>IFERROR(Q4+W4,0)</f>
      </c>
      <c r="Y4" s="256">
        <f>IFERROR(M4*V4,0)</f>
      </c>
      <c r="Z4" s="256">
        <f>Y4-(Y4*$B$1)</f>
      </c>
      <c r="AA4" s="285">
        <f>IFERROR(Z4/X4,0)</f>
      </c>
      <c r="AB4" s="286">
        <f>IFERROR((IF(ISBLANK(N4),Y4/O4,Y4/N4)),0)</f>
      </c>
      <c r="AC4" s="286">
        <f>IFERROR(-1*(AB4*B$1),0)</f>
      </c>
      <c r="AD4" s="286">
        <f>IFERROR(SUM(AB4:AC4),0)</f>
      </c>
      <c r="AE4" s="286">
        <f>IF(ISBLANK(N4),AD4,AD4*5)</f>
      </c>
      <c r="AF4" s="287">
        <f>SUM(AG4:BE4)</f>
      </c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78"/>
      <c r="AR4" s="278">
        <v>268.8</v>
      </c>
      <c r="AS4" s="278">
        <v>268.8</v>
      </c>
      <c r="AT4" s="278">
        <v>268.8</v>
      </c>
      <c r="AU4" s="278">
        <v>268.8</v>
      </c>
      <c r="AV4" s="278">
        <v>268.8</v>
      </c>
      <c r="AW4" s="278">
        <v>268.8</v>
      </c>
      <c r="AX4" s="278">
        <v>268.8</v>
      </c>
      <c r="AY4" s="278">
        <v>268.8</v>
      </c>
      <c r="AZ4" s="278">
        <v>268.8</v>
      </c>
      <c r="BA4" s="278">
        <v>268.8</v>
      </c>
      <c r="BB4" s="278">
        <v>268.8</v>
      </c>
      <c r="BC4" s="281"/>
      <c r="BD4" s="281"/>
      <c r="BE4" s="281"/>
      <c r="BF4" s="286">
        <f>Z4-AF4</f>
      </c>
      <c r="BG4" s="284">
        <f>IFERROR(AF4/Z4,0)</f>
      </c>
      <c r="BH4" s="214">
        <f>IFERROR(AF4/X4,0)</f>
      </c>
      <c r="BI4" s="284">
        <f>IFERROR((X4/SUM(X$3:X$7)),0)</f>
      </c>
      <c r="BJ4" s="284">
        <f>IFERROR((BF4/SUM(BF$3:BF201)),0)</f>
      </c>
      <c r="BK4" s="288">
        <f>BF4/'R&amp;H Portfolio'!Q$10</f>
      </c>
      <c r="BL4" s="286">
        <f>BI4*P4</f>
      </c>
      <c r="BM4" s="73"/>
      <c r="BN4" s="220">
        <f>IF(BM4="YES", BF4, "")</f>
      </c>
      <c r="BO4" s="328">
        <v>25568.79196759259</v>
      </c>
    </row>
    <row x14ac:dyDescent="0.25" r="5" customHeight="1" ht="13">
      <c r="A5" s="273">
        <v>25568.79196759259</v>
      </c>
      <c r="B5" s="274" t="s">
        <v>542</v>
      </c>
      <c r="C5" s="204" t="s">
        <v>543</v>
      </c>
      <c r="D5" s="113" t="s">
        <v>544</v>
      </c>
      <c r="E5" s="113" t="s">
        <v>545</v>
      </c>
      <c r="F5" s="113" t="s">
        <v>197</v>
      </c>
      <c r="G5" s="276">
        <v>600</v>
      </c>
      <c r="H5" s="277">
        <v>1.3</v>
      </c>
      <c r="I5" s="278">
        <v>0.06</v>
      </c>
      <c r="J5" s="279">
        <f>H5+I5</f>
      </c>
      <c r="K5" s="280">
        <v>300000</v>
      </c>
      <c r="L5" s="123">
        <f>K5*I5</f>
      </c>
      <c r="M5" s="123">
        <f>K5*J5</f>
      </c>
      <c r="N5" s="16"/>
      <c r="O5" s="281">
        <v>36</v>
      </c>
      <c r="P5" s="282">
        <f>IF(ISBLANK(N5),O5/4.3,N5/20)</f>
      </c>
      <c r="Q5" s="280">
        <v>6000</v>
      </c>
      <c r="R5" s="283" t="s">
        <v>133</v>
      </c>
      <c r="S5" s="280"/>
      <c r="T5" s="256">
        <f>IF(ISBLANK(R5),0,X5)</f>
      </c>
      <c r="U5" s="256">
        <f>IF(ISBLANK(S5),0,X5)</f>
      </c>
      <c r="V5" s="284">
        <f>IFERROR(Q5/K5,0)</f>
      </c>
      <c r="W5" s="123">
        <f>IFERROR(L5*V5,0)</f>
      </c>
      <c r="X5" s="256">
        <f>IFERROR(Q5+W5,0)</f>
      </c>
      <c r="Y5" s="256">
        <f>IFERROR(M5*V5,0)</f>
      </c>
      <c r="Z5" s="256">
        <f>Y5-(Y5*$B$1)</f>
      </c>
      <c r="AA5" s="285">
        <f>IFERROR(Z5/X5,0)</f>
      </c>
      <c r="AB5" s="286">
        <f>IFERROR((IF(ISBLANK(N5),Y5/O5,Y5/N5)),0)</f>
      </c>
      <c r="AC5" s="286">
        <f>IFERROR(-1*(AB5*B$1),0)</f>
      </c>
      <c r="AD5" s="286">
        <f>IFERROR(SUM(AB5:AC5),0)</f>
      </c>
      <c r="AE5" s="286">
        <f>IF(ISBLANK(N5),AD5,AD5*5)</f>
      </c>
      <c r="AF5" s="287">
        <f>SUM(AG5:BE5)</f>
      </c>
      <c r="AG5" s="283"/>
      <c r="AH5" s="283"/>
      <c r="AI5" s="283"/>
      <c r="AJ5" s="283"/>
      <c r="AK5" s="283"/>
      <c r="AL5" s="283"/>
      <c r="AM5" s="283"/>
      <c r="AN5" s="283"/>
      <c r="AO5" s="283"/>
      <c r="AP5" s="283"/>
      <c r="AQ5" s="278"/>
      <c r="AR5" s="278">
        <v>217.59</v>
      </c>
      <c r="AS5" s="278">
        <v>217.6</v>
      </c>
      <c r="AT5" s="278">
        <v>217.6</v>
      </c>
      <c r="AU5" s="278">
        <v>217.6</v>
      </c>
      <c r="AV5" s="278">
        <v>217.6</v>
      </c>
      <c r="AW5" s="278">
        <v>217.6</v>
      </c>
      <c r="AX5" s="278">
        <v>217.6</v>
      </c>
      <c r="AY5" s="278">
        <v>217.6</v>
      </c>
      <c r="AZ5" s="278">
        <v>217.6</v>
      </c>
      <c r="BA5" s="278">
        <v>217.6</v>
      </c>
      <c r="BB5" s="278">
        <v>217.6</v>
      </c>
      <c r="BC5" s="281"/>
      <c r="BD5" s="281"/>
      <c r="BE5" s="281"/>
      <c r="BF5" s="286">
        <f>Z5-AF5</f>
      </c>
      <c r="BG5" s="284">
        <f>IFERROR(AF5/Z5,0)</f>
      </c>
      <c r="BH5" s="214">
        <f>IFERROR(AF5/X5,0)</f>
      </c>
      <c r="BI5" s="284">
        <f>IFERROR((X5/SUM(X$3:X$7)),0)</f>
      </c>
      <c r="BJ5" s="284">
        <f>IFERROR((BF5/SUM(BF$3:BF202)),0)</f>
      </c>
      <c r="BK5" s="288">
        <f>BF5/'R&amp;H Portfolio'!Q$10</f>
      </c>
      <c r="BL5" s="286">
        <f>BI5*P5</f>
      </c>
      <c r="BM5" s="73"/>
      <c r="BN5" s="220">
        <f>IF(BM5="YES", BF5, "")</f>
      </c>
      <c r="BO5" s="17"/>
    </row>
    <row x14ac:dyDescent="0.25" r="6" customHeight="1" ht="16">
      <c r="A6" s="273">
        <v>25568.79196759259</v>
      </c>
      <c r="B6" s="203" t="s">
        <v>546</v>
      </c>
      <c r="C6" s="204" t="s">
        <v>547</v>
      </c>
      <c r="D6" s="113" t="s">
        <v>548</v>
      </c>
      <c r="E6" s="113" t="s">
        <v>549</v>
      </c>
      <c r="F6" s="113" t="s">
        <v>550</v>
      </c>
      <c r="G6" s="276">
        <v>540</v>
      </c>
      <c r="H6" s="277">
        <v>1.33</v>
      </c>
      <c r="I6" s="278">
        <v>0.12</v>
      </c>
      <c r="J6" s="279">
        <f>H6+I6</f>
      </c>
      <c r="K6" s="280">
        <v>40000</v>
      </c>
      <c r="L6" s="123">
        <f>K6*I6</f>
      </c>
      <c r="M6" s="123">
        <f>K6*J6</f>
      </c>
      <c r="N6" s="281">
        <v>120</v>
      </c>
      <c r="O6" s="16"/>
      <c r="P6" s="282">
        <f>IF(ISBLANK(N6),O6/4.3,N6/20)</f>
      </c>
      <c r="Q6" s="280">
        <v>3000</v>
      </c>
      <c r="R6" s="283" t="s">
        <v>133</v>
      </c>
      <c r="S6" s="280"/>
      <c r="T6" s="256">
        <f>IF(ISBLANK(R6),0,X6)</f>
      </c>
      <c r="U6" s="256">
        <f>IF(ISBLANK(S6),0,X6)</f>
      </c>
      <c r="V6" s="284">
        <f>IFERROR(Q6/K6,0)</f>
      </c>
      <c r="W6" s="123">
        <f>IFERROR(L6*V6,0)</f>
      </c>
      <c r="X6" s="256">
        <f>IFERROR(Q6+W6,0)</f>
      </c>
      <c r="Y6" s="256">
        <f>IFERROR(M6*V6,0)</f>
      </c>
      <c r="Z6" s="256">
        <f>Y6-(Y6*$B$1)</f>
      </c>
      <c r="AA6" s="285">
        <f>IFERROR(Z6/X6,0)</f>
      </c>
      <c r="AB6" s="286">
        <f>IFERROR((IF(ISBLANK(N6),Y6/O6,Y6/N6)),0)</f>
      </c>
      <c r="AC6" s="286">
        <f>IFERROR(-1*(AB6*B$1),0)</f>
      </c>
      <c r="AD6" s="286">
        <f>IFERROR(SUM(AB6:AC6),0)</f>
      </c>
      <c r="AE6" s="286">
        <f>IF(ISBLANK(N6),AD6,AD6*5)</f>
      </c>
      <c r="AF6" s="287">
        <f>SUM(AG6:BE6)</f>
      </c>
      <c r="AG6" s="283"/>
      <c r="AH6" s="283"/>
      <c r="AI6" s="283"/>
      <c r="AJ6" s="283"/>
      <c r="AK6" s="283"/>
      <c r="AL6" s="283"/>
      <c r="AM6" s="283"/>
      <c r="AN6" s="283"/>
      <c r="AO6" s="283"/>
      <c r="AP6" s="283"/>
      <c r="AQ6" s="278"/>
      <c r="AR6" s="278">
        <v>139.19</v>
      </c>
      <c r="AS6" s="280">
        <v>174</v>
      </c>
      <c r="AT6" s="280">
        <v>174</v>
      </c>
      <c r="AU6" s="278">
        <v>139.2</v>
      </c>
      <c r="AV6" s="280">
        <v>174</v>
      </c>
      <c r="AW6" s="280">
        <v>174</v>
      </c>
      <c r="AX6" s="280">
        <v>174</v>
      </c>
      <c r="AY6" s="280">
        <v>174</v>
      </c>
      <c r="AZ6" s="278">
        <v>139.19</v>
      </c>
      <c r="BA6" s="278">
        <v>139.2</v>
      </c>
      <c r="BB6" s="278">
        <v>141.72</v>
      </c>
      <c r="BC6" s="281"/>
      <c r="BD6" s="281"/>
      <c r="BE6" s="281"/>
      <c r="BF6" s="286">
        <f>Z6-AF6</f>
      </c>
      <c r="BG6" s="284">
        <f>IFERROR(AF6/Z6,0)</f>
      </c>
      <c r="BH6" s="214">
        <f>IFERROR(AF6/X6,0)</f>
      </c>
      <c r="BI6" s="284">
        <f>IFERROR((X6/SUM(X$3:X$7)),0)</f>
      </c>
      <c r="BJ6" s="284">
        <f>IFERROR((BF6/SUM(BF$3:BF203)),0)</f>
      </c>
      <c r="BK6" s="288">
        <f>BF6/'R&amp;H Portfolio'!Q$10</f>
      </c>
      <c r="BL6" s="286">
        <f>BI6*P6</f>
      </c>
      <c r="BM6" s="73"/>
      <c r="BN6" s="220">
        <f>IF(BM6="YES", BF6, "")</f>
      </c>
      <c r="BO6" s="17"/>
    </row>
    <row x14ac:dyDescent="0.25" r="7" customHeight="1" ht="16">
      <c r="A7" s="308">
        <v>25568.79196759259</v>
      </c>
      <c r="B7" s="224" t="s">
        <v>551</v>
      </c>
      <c r="C7" s="225" t="s">
        <v>552</v>
      </c>
      <c r="D7" s="310" t="s">
        <v>553</v>
      </c>
      <c r="E7" s="310" t="s">
        <v>554</v>
      </c>
      <c r="F7" s="310" t="s">
        <v>160</v>
      </c>
      <c r="G7" s="311">
        <v>619</v>
      </c>
      <c r="H7" s="312">
        <v>1.31</v>
      </c>
      <c r="I7" s="313">
        <v>0.05</v>
      </c>
      <c r="J7" s="314">
        <f>H7+I7</f>
      </c>
      <c r="K7" s="315">
        <v>400000</v>
      </c>
      <c r="L7" s="316">
        <f>K7*I7</f>
      </c>
      <c r="M7" s="316">
        <f>K7*J7</f>
      </c>
      <c r="N7" s="317"/>
      <c r="O7" s="317">
        <v>44</v>
      </c>
      <c r="P7" s="318">
        <f>IF(ISBLANK(N7),O7/4.3,N7/20)</f>
      </c>
      <c r="Q7" s="315">
        <v>10000</v>
      </c>
      <c r="R7" s="319" t="s">
        <v>133</v>
      </c>
      <c r="S7" s="315"/>
      <c r="T7" s="320">
        <f>IF(ISBLANK(R7),0,X7)</f>
      </c>
      <c r="U7" s="320">
        <f>IF(ISBLANK(S7),0,X7)</f>
      </c>
      <c r="V7" s="321">
        <f>IFERROR(Q7/K7,0)</f>
      </c>
      <c r="W7" s="316">
        <f>IFERROR(L7*V7,0)</f>
      </c>
      <c r="X7" s="320">
        <f>IFERROR(Q7+W7,0)</f>
      </c>
      <c r="Y7" s="320">
        <f>IFERROR(M7*V7,0)</f>
      </c>
      <c r="Z7" s="320">
        <f>Y7-(Y7*$B$1)</f>
      </c>
      <c r="AA7" s="323">
        <f>IFERROR(Z7/X7,0)</f>
      </c>
      <c r="AB7" s="324">
        <f>IFERROR((IF(ISBLANK(N7),Y7/O7,Y7/N7)),0)</f>
      </c>
      <c r="AC7" s="324">
        <f>IFERROR(-1*(AB7*B$1),0)</f>
      </c>
      <c r="AD7" s="324">
        <f>IFERROR(SUM(AB7:AC7),0)</f>
      </c>
      <c r="AE7" s="324">
        <f>IF(ISBLANK(N7),AD7,AD7*5)</f>
      </c>
      <c r="AF7" s="325">
        <f>SUM(AG7:BE7)</f>
      </c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3"/>
      <c r="AR7" s="313"/>
      <c r="AS7" s="313">
        <v>296.72</v>
      </c>
      <c r="AT7" s="313">
        <v>296.73</v>
      </c>
      <c r="AU7" s="313"/>
      <c r="AV7" s="313">
        <v>296.73</v>
      </c>
      <c r="AW7" s="313">
        <v>593.45</v>
      </c>
      <c r="AX7" s="313">
        <v>296.73</v>
      </c>
      <c r="AY7" s="313">
        <v>296.73</v>
      </c>
      <c r="AZ7" s="313"/>
      <c r="BA7" s="313">
        <v>296.72</v>
      </c>
      <c r="BB7" s="313">
        <v>593.46</v>
      </c>
      <c r="BC7" s="317"/>
      <c r="BD7" s="317"/>
      <c r="BE7" s="317"/>
      <c r="BF7" s="324">
        <f>Z7-AF7</f>
      </c>
      <c r="BG7" s="321">
        <f>IFERROR(AF7/Z7,0)</f>
      </c>
      <c r="BH7" s="214">
        <f>IFERROR(AF7/X7,0)</f>
      </c>
      <c r="BI7" s="284">
        <f>IFERROR((X7/SUM(X$3:X$7)),0)</f>
      </c>
      <c r="BJ7" s="321">
        <f>IFERROR((BF7/SUM(BF$3:BF204)),0)</f>
      </c>
      <c r="BK7" s="288">
        <f>BF7/'R&amp;H Portfolio'!Q$10</f>
      </c>
      <c r="BL7" s="324">
        <f>BI7*P7</f>
      </c>
      <c r="BM7" s="218"/>
      <c r="BN7" s="219">
        <f>IF(BM7="YES", BF7, "")</f>
      </c>
      <c r="BO7" s="17"/>
    </row>
    <row x14ac:dyDescent="0.25" r="8" customHeight="1" ht="16">
      <c r="A8" s="273">
        <v>25568.79196759259</v>
      </c>
      <c r="B8" s="203" t="s">
        <v>555</v>
      </c>
      <c r="C8" s="204" t="s">
        <v>556</v>
      </c>
      <c r="D8" s="113" t="s">
        <v>557</v>
      </c>
      <c r="E8" s="113" t="s">
        <v>164</v>
      </c>
      <c r="F8" s="113" t="s">
        <v>165</v>
      </c>
      <c r="G8" s="276">
        <v>653</v>
      </c>
      <c r="H8" s="277">
        <v>1.29</v>
      </c>
      <c r="I8" s="278">
        <v>0.01</v>
      </c>
      <c r="J8" s="279">
        <f>H8+I8</f>
      </c>
      <c r="K8" s="280">
        <v>80000</v>
      </c>
      <c r="L8" s="123">
        <f>K8*I8</f>
      </c>
      <c r="M8" s="123">
        <f>K8*J8</f>
      </c>
      <c r="N8" s="16"/>
      <c r="O8" s="281">
        <v>52</v>
      </c>
      <c r="P8" s="282">
        <f>IF(ISBLANK(N8),O8/4.3,N8/20)</f>
      </c>
      <c r="Q8" s="280">
        <v>5000</v>
      </c>
      <c r="R8" s="283" t="s">
        <v>133</v>
      </c>
      <c r="S8" s="280"/>
      <c r="T8" s="256">
        <f>IF(ISBLANK(R8),0,X8)</f>
      </c>
      <c r="U8" s="256">
        <f>IF(ISBLANK(S8),0,X8)</f>
      </c>
      <c r="V8" s="284">
        <f>IFERROR(Q8/K8,0)</f>
      </c>
      <c r="W8" s="123">
        <f>IFERROR(L8*V8,0)</f>
      </c>
      <c r="X8" s="256">
        <f>IFERROR(Q8+W8,0)</f>
      </c>
      <c r="Y8" s="256">
        <f>IFERROR(M8*V8,0)</f>
      </c>
      <c r="Z8" s="256">
        <f>Y8-(Y8*$B$1)</f>
      </c>
      <c r="AA8" s="285">
        <f>IFERROR(Z8/X8,0)</f>
      </c>
      <c r="AB8" s="286">
        <f>IFERROR((IF(ISBLANK(N8),Y8/O8,Y8/N8)),0)</f>
      </c>
      <c r="AC8" s="286">
        <f>IFERROR(-1*(AB8*B$1),0)</f>
      </c>
      <c r="AD8" s="286">
        <f>IFERROR(SUM(AB8:AC8),0)</f>
      </c>
      <c r="AE8" s="286">
        <f>IF(ISBLANK(N8),AD8,AD8*5)</f>
      </c>
      <c r="AF8" s="287">
        <f>SUM(AG8:BE8)</f>
      </c>
      <c r="AG8" s="283"/>
      <c r="AH8" s="283"/>
      <c r="AI8" s="283"/>
      <c r="AJ8" s="283"/>
      <c r="AK8" s="283"/>
      <c r="AL8" s="283"/>
      <c r="AM8" s="283"/>
      <c r="AN8" s="283"/>
      <c r="AO8" s="283"/>
      <c r="AP8" s="283"/>
      <c r="AQ8" s="278"/>
      <c r="AR8" s="278"/>
      <c r="AS8" s="278"/>
      <c r="AT8" s="280">
        <v>120</v>
      </c>
      <c r="AU8" s="280">
        <v>120</v>
      </c>
      <c r="AV8" s="280">
        <v>120</v>
      </c>
      <c r="AW8" s="280">
        <v>120</v>
      </c>
      <c r="AX8" s="280">
        <v>120</v>
      </c>
      <c r="AY8" s="280">
        <v>120</v>
      </c>
      <c r="AZ8" s="280">
        <v>120</v>
      </c>
      <c r="BA8" s="280">
        <v>120</v>
      </c>
      <c r="BB8" s="280">
        <v>120</v>
      </c>
      <c r="BC8" s="281"/>
      <c r="BD8" s="281"/>
      <c r="BE8" s="281"/>
      <c r="BF8" s="286">
        <f>Z8-AF8</f>
      </c>
      <c r="BG8" s="284">
        <f>IFERROR(AF8/Z8,0)</f>
      </c>
      <c r="BH8" s="214">
        <f>IFERROR(AF8/X8,0)</f>
      </c>
      <c r="BI8" s="284">
        <f>IFERROR((X8/SUM(X$8:X$25)),0)</f>
      </c>
      <c r="BJ8" s="284">
        <f>IFERROR((BF8/SUM(BF$3:BF205)),0)</f>
      </c>
      <c r="BK8" s="288">
        <f>BF8/'R&amp;H Portfolio'!Q$10</f>
      </c>
      <c r="BL8" s="286">
        <f>BI8*P8</f>
      </c>
      <c r="BM8" s="73"/>
      <c r="BN8" s="220">
        <f>IF(BM8="YES", BF8, "")</f>
      </c>
      <c r="BO8" s="17"/>
    </row>
    <row x14ac:dyDescent="0.25" r="9" customHeight="1" ht="16">
      <c r="A9" s="273">
        <v>25568.79196759259</v>
      </c>
      <c r="B9" s="203" t="s">
        <v>558</v>
      </c>
      <c r="C9" s="204" t="s">
        <v>559</v>
      </c>
      <c r="D9" s="113" t="s">
        <v>560</v>
      </c>
      <c r="E9" s="113" t="s">
        <v>164</v>
      </c>
      <c r="F9" s="113" t="s">
        <v>335</v>
      </c>
      <c r="G9" s="276">
        <v>709</v>
      </c>
      <c r="H9" s="277">
        <v>1.31</v>
      </c>
      <c r="I9" s="278">
        <v>0.12</v>
      </c>
      <c r="J9" s="279">
        <f>H9+I9</f>
      </c>
      <c r="K9" s="280">
        <v>30000</v>
      </c>
      <c r="L9" s="123">
        <f>K9*I9</f>
      </c>
      <c r="M9" s="123">
        <f>K9*J9</f>
      </c>
      <c r="N9" s="16"/>
      <c r="O9" s="281">
        <v>38</v>
      </c>
      <c r="P9" s="282">
        <f>IF(ISBLANK(N9),O9/4.3,N9/20)</f>
      </c>
      <c r="Q9" s="280">
        <v>3000</v>
      </c>
      <c r="R9" s="283" t="s">
        <v>133</v>
      </c>
      <c r="S9" s="280"/>
      <c r="T9" s="256">
        <f>IF(ISBLANK(R9),0,X9)</f>
      </c>
      <c r="U9" s="256">
        <f>IF(ISBLANK(S9),0,X9)</f>
      </c>
      <c r="V9" s="284">
        <f>IFERROR(Q9/K9,0)</f>
      </c>
      <c r="W9" s="123">
        <f>IFERROR(L9*V9,0)</f>
      </c>
      <c r="X9" s="256">
        <f>IFERROR(Q9+W9,0)</f>
      </c>
      <c r="Y9" s="256">
        <f>IFERROR(M9*V9,0)</f>
      </c>
      <c r="Z9" s="256">
        <f>Y9-(Y9*$B$1)</f>
      </c>
      <c r="AA9" s="285">
        <f>IFERROR(Z9/X9,0)</f>
      </c>
      <c r="AB9" s="286">
        <f>IFERROR((IF(ISBLANK(N9),Y9/O9,Y9/N9)),0)</f>
      </c>
      <c r="AC9" s="286">
        <f>IFERROR(-1*(AB9*B$1),0)</f>
      </c>
      <c r="AD9" s="286">
        <f>IFERROR(SUM(AB9:AC9),0)</f>
      </c>
      <c r="AE9" s="286">
        <f>IF(ISBLANK(N9),AD9,AD9*5)</f>
      </c>
      <c r="AF9" s="287">
        <f>SUM(AG9:BE9)</f>
      </c>
      <c r="AG9" s="283"/>
      <c r="AH9" s="283"/>
      <c r="AI9" s="283"/>
      <c r="AJ9" s="283"/>
      <c r="AK9" s="283"/>
      <c r="AL9" s="283"/>
      <c r="AM9" s="283"/>
      <c r="AN9" s="283"/>
      <c r="AO9" s="283"/>
      <c r="AP9" s="283"/>
      <c r="AQ9" s="278"/>
      <c r="AR9" s="278"/>
      <c r="AS9" s="278"/>
      <c r="AT9" s="280"/>
      <c r="AU9" s="278">
        <v>108.37</v>
      </c>
      <c r="AV9" s="278">
        <v>108.38</v>
      </c>
      <c r="AW9" s="278">
        <v>108.38</v>
      </c>
      <c r="AX9" s="278">
        <v>108.38</v>
      </c>
      <c r="AY9" s="278">
        <v>108.38</v>
      </c>
      <c r="AZ9" s="278">
        <v>108.38</v>
      </c>
      <c r="BA9" s="278">
        <v>108.38</v>
      </c>
      <c r="BB9" s="278">
        <v>108.38</v>
      </c>
      <c r="BC9" s="281"/>
      <c r="BD9" s="281"/>
      <c r="BE9" s="281"/>
      <c r="BF9" s="286">
        <f>Z9-AF9</f>
      </c>
      <c r="BG9" s="284">
        <f>IFERROR(AF9/Z9,0)</f>
      </c>
      <c r="BH9" s="214">
        <f>IFERROR(AF9/X9,0)</f>
      </c>
      <c r="BI9" s="284">
        <f>IFERROR((X9/SUM(X$8:X$25)),0)</f>
      </c>
      <c r="BJ9" s="284">
        <f>IFERROR((BF9/SUM(BF$3:BF206)),0)</f>
      </c>
      <c r="BK9" s="288">
        <f>BF9/'R&amp;H Portfolio'!Q$10</f>
      </c>
      <c r="BL9" s="286">
        <f>BI9*P9</f>
      </c>
      <c r="BM9" s="73"/>
      <c r="BN9" s="220">
        <f>IF(BM9="YES", BF9, "")</f>
      </c>
      <c r="BO9" s="17"/>
    </row>
    <row x14ac:dyDescent="0.25" r="10" customHeight="1" ht="16">
      <c r="A10" s="273">
        <v>25568.79196759259</v>
      </c>
      <c r="B10" s="203" t="s">
        <v>561</v>
      </c>
      <c r="C10" s="275"/>
      <c r="D10" s="113" t="s">
        <v>562</v>
      </c>
      <c r="E10" s="113" t="s">
        <v>563</v>
      </c>
      <c r="F10" s="113" t="s">
        <v>352</v>
      </c>
      <c r="G10" s="276">
        <v>732</v>
      </c>
      <c r="H10" s="277">
        <v>1.3</v>
      </c>
      <c r="I10" s="278">
        <v>0.05</v>
      </c>
      <c r="J10" s="279">
        <f>H10+I10</f>
      </c>
      <c r="K10" s="280">
        <v>80000</v>
      </c>
      <c r="L10" s="123">
        <f>K10*I10</f>
      </c>
      <c r="M10" s="123">
        <f>K10*J10</f>
      </c>
      <c r="N10" s="16"/>
      <c r="O10" s="281">
        <v>44</v>
      </c>
      <c r="P10" s="282">
        <f>IF(ISBLANK(N10),O10/4.3,N10/20)</f>
      </c>
      <c r="Q10" s="280">
        <v>6000</v>
      </c>
      <c r="R10" s="283" t="s">
        <v>133</v>
      </c>
      <c r="S10" s="280"/>
      <c r="T10" s="256">
        <f>IF(ISBLANK(R10),0,X10)</f>
      </c>
      <c r="U10" s="256">
        <f>IF(ISBLANK(S10),0,X10)</f>
      </c>
      <c r="V10" s="284">
        <f>IFERROR(Q10/K10,0)</f>
      </c>
      <c r="W10" s="123">
        <f>IFERROR(L10*V10,0)</f>
      </c>
      <c r="X10" s="256">
        <f>IFERROR(Q10+W10,0)</f>
      </c>
      <c r="Y10" s="256">
        <f>IFERROR(M10*V10,0)</f>
      </c>
      <c r="Z10" s="256">
        <f>Y10-(Y10*$B$1)</f>
      </c>
      <c r="AA10" s="285">
        <f>IFERROR(Z10/X10,0)</f>
      </c>
      <c r="AB10" s="286">
        <f>IFERROR((IF(ISBLANK(N10),Y10/O10,Y10/N10)),0)</f>
      </c>
      <c r="AC10" s="286">
        <f>IFERROR(-1*(AB10*B$1),0)</f>
      </c>
      <c r="AD10" s="286">
        <f>IFERROR(SUM(AB10:AC10),0)</f>
      </c>
      <c r="AE10" s="286">
        <f>IF(ISBLANK(N10),AD10,AD10*5)</f>
      </c>
      <c r="AF10" s="287">
        <f>SUM(AG10:BE10)</f>
      </c>
      <c r="AG10" s="283"/>
      <c r="AH10" s="283"/>
      <c r="AI10" s="283"/>
      <c r="AJ10" s="283"/>
      <c r="AK10" s="283"/>
      <c r="AL10" s="283"/>
      <c r="AM10" s="283"/>
      <c r="AN10" s="283"/>
      <c r="AO10" s="283"/>
      <c r="AP10" s="283"/>
      <c r="AQ10" s="278"/>
      <c r="AR10" s="278"/>
      <c r="AS10" s="278"/>
      <c r="AT10" s="280"/>
      <c r="AU10" s="278">
        <v>176.72</v>
      </c>
      <c r="AV10" s="278">
        <v>176.73</v>
      </c>
      <c r="AW10" s="278">
        <v>176.73</v>
      </c>
      <c r="AX10" s="278">
        <v>176.73</v>
      </c>
      <c r="AY10" s="278">
        <v>176.72</v>
      </c>
      <c r="AZ10" s="278">
        <v>176.73</v>
      </c>
      <c r="BA10" s="278">
        <v>176.73</v>
      </c>
      <c r="BB10" s="278">
        <v>176.73</v>
      </c>
      <c r="BC10" s="281"/>
      <c r="BD10" s="281"/>
      <c r="BE10" s="281"/>
      <c r="BF10" s="286">
        <f>Z10-AF10</f>
      </c>
      <c r="BG10" s="284">
        <f>IFERROR(AF10/Z10,0)</f>
      </c>
      <c r="BH10" s="214">
        <f>IFERROR(AF10/X10,0)</f>
      </c>
      <c r="BI10" s="284">
        <f>IFERROR((X10/SUM(X$8:X$25)),0)</f>
      </c>
      <c r="BJ10" s="284">
        <f>IFERROR((BF10/SUM(BF$3:BF207)),0)</f>
      </c>
      <c r="BK10" s="288">
        <f>BF10/'R&amp;H Portfolio'!Q$10</f>
      </c>
      <c r="BL10" s="286">
        <f>BI10*P10</f>
      </c>
      <c r="BM10" s="73"/>
      <c r="BN10" s="220">
        <f>IF(BM10="YES", BF10, "")</f>
      </c>
      <c r="BO10" s="17"/>
    </row>
    <row x14ac:dyDescent="0.25" r="11" customHeight="1" ht="16">
      <c r="A11" s="273">
        <v>25568.79196759259</v>
      </c>
      <c r="B11" s="203" t="s">
        <v>564</v>
      </c>
      <c r="C11" s="204" t="s">
        <v>556</v>
      </c>
      <c r="D11" s="113" t="s">
        <v>565</v>
      </c>
      <c r="E11" s="113" t="s">
        <v>164</v>
      </c>
      <c r="F11" s="113" t="s">
        <v>165</v>
      </c>
      <c r="G11" s="276">
        <v>653</v>
      </c>
      <c r="H11" s="277">
        <v>1.29</v>
      </c>
      <c r="I11" s="278">
        <v>0.01</v>
      </c>
      <c r="J11" s="279">
        <f>H11+I11</f>
      </c>
      <c r="K11" s="280">
        <v>80000</v>
      </c>
      <c r="L11" s="123">
        <f>K11*I11</f>
      </c>
      <c r="M11" s="123">
        <f>K11*J11</f>
      </c>
      <c r="N11" s="16"/>
      <c r="O11" s="281">
        <v>52</v>
      </c>
      <c r="P11" s="282">
        <f>IF(ISBLANK(N11),O11/4.3,N11/20)</f>
      </c>
      <c r="Q11" s="280">
        <v>5000</v>
      </c>
      <c r="R11" s="283" t="s">
        <v>133</v>
      </c>
      <c r="S11" s="280"/>
      <c r="T11" s="256">
        <f>IF(ISBLANK(R11),0,X11)</f>
      </c>
      <c r="U11" s="256">
        <f>IF(ISBLANK(S11),0,X11)</f>
      </c>
      <c r="V11" s="284">
        <f>IFERROR(Q11/K11,0)</f>
      </c>
      <c r="W11" s="123">
        <f>IFERROR(L11*V11,0)</f>
      </c>
      <c r="X11" s="256">
        <f>IFERROR(Q11+W11,0)</f>
      </c>
      <c r="Y11" s="256">
        <f>IFERROR(M11*V11,0)</f>
      </c>
      <c r="Z11" s="256">
        <f>Y11-(Y11*$B$1)</f>
      </c>
      <c r="AA11" s="285">
        <f>IFERROR(Z11/X11,0)</f>
      </c>
      <c r="AB11" s="286">
        <f>IFERROR((IF(ISBLANK(N11),Y11/O11,Y11/N11)),0)</f>
      </c>
      <c r="AC11" s="286">
        <f>IFERROR(-1*(AB11*B$1),0)</f>
      </c>
      <c r="AD11" s="286">
        <f>IFERROR(SUM(AB11:AC11),0)</f>
      </c>
      <c r="AE11" s="286">
        <f>IF(ISBLANK(N11),AD11,AD11*5)</f>
      </c>
      <c r="AF11" s="287">
        <f>SUM(AG11:BE11)</f>
      </c>
      <c r="AG11" s="283"/>
      <c r="AH11" s="283"/>
      <c r="AI11" s="283"/>
      <c r="AJ11" s="283"/>
      <c r="AK11" s="283"/>
      <c r="AL11" s="283"/>
      <c r="AM11" s="283"/>
      <c r="AN11" s="283"/>
      <c r="AO11" s="283"/>
      <c r="AP11" s="283"/>
      <c r="AQ11" s="278"/>
      <c r="AR11" s="278"/>
      <c r="AS11" s="278"/>
      <c r="AT11" s="280"/>
      <c r="AU11" s="280">
        <v>120</v>
      </c>
      <c r="AV11" s="280">
        <v>120</v>
      </c>
      <c r="AW11" s="280">
        <v>120</v>
      </c>
      <c r="AX11" s="280">
        <v>120</v>
      </c>
      <c r="AY11" s="280">
        <v>120</v>
      </c>
      <c r="AZ11" s="280">
        <v>120</v>
      </c>
      <c r="BA11" s="280">
        <v>120</v>
      </c>
      <c r="BB11" s="280">
        <v>120</v>
      </c>
      <c r="BC11" s="281"/>
      <c r="BD11" s="281"/>
      <c r="BE11" s="281"/>
      <c r="BF11" s="286">
        <f>Z11-AF11</f>
      </c>
      <c r="BG11" s="284">
        <f>IFERROR(AF11/Z11,0)</f>
      </c>
      <c r="BH11" s="214">
        <f>IFERROR(AF11/X11,0)</f>
      </c>
      <c r="BI11" s="284">
        <f>IFERROR((X11/SUM(X$8:X$25)),0)</f>
      </c>
      <c r="BJ11" s="284">
        <f>IFERROR((BF11/SUM(BF$3:BF208)),0)</f>
      </c>
      <c r="BK11" s="288">
        <f>BF11/'R&amp;H Portfolio'!Q$10</f>
      </c>
      <c r="BL11" s="286">
        <f>BI11*P11</f>
      </c>
      <c r="BM11" s="73"/>
      <c r="BN11" s="220">
        <f>IF(BM11="YES", BF11, "")</f>
      </c>
      <c r="BO11" s="17"/>
    </row>
    <row x14ac:dyDescent="0.25" r="12" customHeight="1" ht="16">
      <c r="A12" s="273">
        <v>25568.79196759259</v>
      </c>
      <c r="B12" s="203" t="s">
        <v>566</v>
      </c>
      <c r="C12" s="204" t="s">
        <v>567</v>
      </c>
      <c r="D12" s="113" t="s">
        <v>568</v>
      </c>
      <c r="E12" s="113" t="s">
        <v>569</v>
      </c>
      <c r="F12" s="113" t="s">
        <v>206</v>
      </c>
      <c r="G12" s="276">
        <v>744</v>
      </c>
      <c r="H12" s="277">
        <v>1.3</v>
      </c>
      <c r="I12" s="278">
        <v>0.12</v>
      </c>
      <c r="J12" s="279">
        <f>H12+I12</f>
      </c>
      <c r="K12" s="280">
        <v>150000</v>
      </c>
      <c r="L12" s="123">
        <f>K12*I12</f>
      </c>
      <c r="M12" s="123">
        <f>K12*J12</f>
      </c>
      <c r="N12" s="16"/>
      <c r="O12" s="281">
        <v>44</v>
      </c>
      <c r="P12" s="282">
        <f>IF(ISBLANK(N12),O12/4.3,N12/20)</f>
      </c>
      <c r="Q12" s="280">
        <v>7000</v>
      </c>
      <c r="R12" s="280"/>
      <c r="S12" s="283" t="s">
        <v>82</v>
      </c>
      <c r="T12" s="256">
        <f>IF(ISBLANK(R12),0,X12)</f>
      </c>
      <c r="U12" s="256">
        <f>IF(ISBLANK(S12),0,X12)</f>
      </c>
      <c r="V12" s="284">
        <f>IFERROR(Q12/K12,0)</f>
      </c>
      <c r="W12" s="123">
        <f>IFERROR(L12*V12,0)</f>
      </c>
      <c r="X12" s="256">
        <f>IFERROR(Q12+W12,0)</f>
      </c>
      <c r="Y12" s="256">
        <f>IFERROR(M12*V12,0)</f>
      </c>
      <c r="Z12" s="256">
        <f>Y12-(Y12*$B$1)</f>
      </c>
      <c r="AA12" s="285">
        <f>IFERROR(Z12/X12,0)</f>
      </c>
      <c r="AB12" s="286">
        <f>IFERROR((IF(ISBLANK(N12),Y12/O12,Y12/N12)),0)</f>
      </c>
      <c r="AC12" s="286">
        <f>IFERROR(-1*(AB12*B$1),0)</f>
      </c>
      <c r="AD12" s="286">
        <f>IFERROR(SUM(AB12:AC12),0)</f>
      </c>
      <c r="AE12" s="286">
        <f>IF(ISBLANK(N12),AD12,AD12*5)</f>
      </c>
      <c r="AF12" s="287">
        <f>SUM(AG12:BE12)</f>
      </c>
      <c r="AG12" s="283"/>
      <c r="AH12" s="283"/>
      <c r="AI12" s="283"/>
      <c r="AJ12" s="283"/>
      <c r="AK12" s="283"/>
      <c r="AL12" s="283"/>
      <c r="AM12" s="283"/>
      <c r="AN12" s="283"/>
      <c r="AO12" s="283"/>
      <c r="AP12" s="283"/>
      <c r="AQ12" s="278"/>
      <c r="AR12" s="278"/>
      <c r="AS12" s="278"/>
      <c r="AT12" s="280"/>
      <c r="AU12" s="278">
        <v>216.87</v>
      </c>
      <c r="AV12" s="278">
        <v>216.87</v>
      </c>
      <c r="AW12" s="278">
        <v>216.87</v>
      </c>
      <c r="AX12" s="278">
        <v>216.88</v>
      </c>
      <c r="AY12" s="278">
        <v>216.87</v>
      </c>
      <c r="AZ12" s="278">
        <v>216.87</v>
      </c>
      <c r="BA12" s="278">
        <v>216.87</v>
      </c>
      <c r="BB12" s="278">
        <v>216.88</v>
      </c>
      <c r="BC12" s="281"/>
      <c r="BD12" s="281"/>
      <c r="BE12" s="281"/>
      <c r="BF12" s="286">
        <f>Z12-AF12</f>
      </c>
      <c r="BG12" s="284">
        <f>IFERROR(AF12/Z12,0)</f>
      </c>
      <c r="BH12" s="214">
        <f>IFERROR(AF12/X12,0)</f>
      </c>
      <c r="BI12" s="284">
        <f>IFERROR((X12/SUM(X$8:X$25)),0)</f>
      </c>
      <c r="BJ12" s="284">
        <f>IFERROR((BF12/SUM(BF$3:BF209)),0)</f>
      </c>
      <c r="BK12" s="288">
        <f>BF12/'R&amp;H Portfolio'!Q$10</f>
      </c>
      <c r="BL12" s="286">
        <f>BI12*P12</f>
      </c>
      <c r="BM12" s="73"/>
      <c r="BN12" s="220">
        <f>IF(BM12="YES", BF12, "")</f>
      </c>
      <c r="BO12" s="17"/>
    </row>
    <row x14ac:dyDescent="0.25" r="13" customHeight="1" ht="16">
      <c r="A13" s="273">
        <v>25568.79196759259</v>
      </c>
      <c r="B13" s="203" t="s">
        <v>570</v>
      </c>
      <c r="C13" s="204" t="s">
        <v>571</v>
      </c>
      <c r="D13" s="113" t="s">
        <v>572</v>
      </c>
      <c r="E13" s="113" t="s">
        <v>573</v>
      </c>
      <c r="F13" s="113" t="s">
        <v>226</v>
      </c>
      <c r="G13" s="276">
        <v>728</v>
      </c>
      <c r="H13" s="277">
        <v>1.13</v>
      </c>
      <c r="I13" s="278">
        <v>0.01</v>
      </c>
      <c r="J13" s="279">
        <f>H13+I13</f>
      </c>
      <c r="K13" s="280">
        <v>300000</v>
      </c>
      <c r="L13" s="123">
        <f>K13*I13</f>
      </c>
      <c r="M13" s="123">
        <f>K13*J13</f>
      </c>
      <c r="N13" s="16"/>
      <c r="O13" s="281">
        <v>20</v>
      </c>
      <c r="P13" s="282">
        <f>IF(ISBLANK(N13),O13/4.3,N13/20)</f>
      </c>
      <c r="Q13" s="280">
        <v>6000</v>
      </c>
      <c r="R13" s="283" t="s">
        <v>133</v>
      </c>
      <c r="S13" s="280"/>
      <c r="T13" s="256">
        <f>IF(ISBLANK(R13),0,X13)</f>
      </c>
      <c r="U13" s="256">
        <f>IF(ISBLANK(S13),0,X13)</f>
      </c>
      <c r="V13" s="284">
        <f>IFERROR(Q13/K13,0)</f>
      </c>
      <c r="W13" s="123">
        <f>IFERROR(L13*V13,0)</f>
      </c>
      <c r="X13" s="256">
        <f>IFERROR(Q13+W13,0)</f>
      </c>
      <c r="Y13" s="256">
        <f>IFERROR(M13*V13,0)</f>
      </c>
      <c r="Z13" s="355">
        <f>Y13-(Y13*0.02)</f>
      </c>
      <c r="AA13" s="285">
        <f>IFERROR(Z13/X13,0)</f>
      </c>
      <c r="AB13" s="286">
        <f>IFERROR((IF(ISBLANK(N13),Y13/O13,Y13/N13)),0)</f>
      </c>
      <c r="AC13" s="286">
        <f>IFERROR(-1*(AB13*B$1),0)</f>
      </c>
      <c r="AD13" s="286">
        <f>IFERROR(SUM(AB13:AC13),0)</f>
      </c>
      <c r="AE13" s="286">
        <f>IF(ISBLANK(N13),AD13,AD13*5)</f>
      </c>
      <c r="AF13" s="287">
        <f>SUM(AG13:BE13)</f>
      </c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78"/>
      <c r="AR13" s="278"/>
      <c r="AS13" s="278"/>
      <c r="AT13" s="280"/>
      <c r="AU13" s="278">
        <v>335.16</v>
      </c>
      <c r="AV13" s="278">
        <v>335.16</v>
      </c>
      <c r="AW13" s="278">
        <v>335.16</v>
      </c>
      <c r="AX13" s="278">
        <v>335.16</v>
      </c>
      <c r="AY13" s="278">
        <v>335.16</v>
      </c>
      <c r="AZ13" s="278">
        <v>335.16</v>
      </c>
      <c r="BA13" s="278">
        <v>335.16</v>
      </c>
      <c r="BB13" s="278">
        <v>335.16</v>
      </c>
      <c r="BC13" s="281"/>
      <c r="BD13" s="281"/>
      <c r="BE13" s="281"/>
      <c r="BF13" s="286">
        <f>Z13-AF13</f>
      </c>
      <c r="BG13" s="284">
        <f>IFERROR(AF13/Z13,0)</f>
      </c>
      <c r="BH13" s="214">
        <f>IFERROR(AF13/X13,0)</f>
      </c>
      <c r="BI13" s="284">
        <f>IFERROR((X13/SUM(X$8:X$25)),0)</f>
      </c>
      <c r="BJ13" s="284">
        <f>IFERROR((BF13/SUM(BF$3:BF210)),0)</f>
      </c>
      <c r="BK13" s="288">
        <f>BF13/'R&amp;H Portfolio'!Q$10</f>
      </c>
      <c r="BL13" s="286">
        <f>BI13*P13</f>
      </c>
      <c r="BM13" s="73"/>
      <c r="BN13" s="220">
        <f>IF(BM13="YES", BF13, "")</f>
      </c>
      <c r="BO13" s="17"/>
    </row>
    <row x14ac:dyDescent="0.25" r="14" customHeight="1" ht="16">
      <c r="A14" s="273">
        <v>25568.79196759259</v>
      </c>
      <c r="B14" s="203" t="s">
        <v>574</v>
      </c>
      <c r="C14" s="204" t="s">
        <v>575</v>
      </c>
      <c r="D14" s="113" t="s">
        <v>576</v>
      </c>
      <c r="E14" s="113" t="s">
        <v>164</v>
      </c>
      <c r="F14" s="113" t="s">
        <v>469</v>
      </c>
      <c r="G14" s="276">
        <v>539</v>
      </c>
      <c r="H14" s="277">
        <v>1.3</v>
      </c>
      <c r="I14" s="278">
        <v>0.12</v>
      </c>
      <c r="J14" s="279">
        <f>H14+I14</f>
      </c>
      <c r="K14" s="280">
        <v>100000</v>
      </c>
      <c r="L14" s="123">
        <f>K14*I14</f>
      </c>
      <c r="M14" s="123">
        <f>K14*J14</f>
      </c>
      <c r="N14" s="16"/>
      <c r="O14" s="281">
        <v>40</v>
      </c>
      <c r="P14" s="282">
        <f>IF(ISBLANK(N14),O14/4.3,N14/20)</f>
      </c>
      <c r="Q14" s="280">
        <v>2500</v>
      </c>
      <c r="R14" s="283" t="s">
        <v>133</v>
      </c>
      <c r="S14" s="280"/>
      <c r="T14" s="256">
        <f>IF(ISBLANK(R14),0,X14)</f>
      </c>
      <c r="U14" s="256">
        <f>IF(ISBLANK(S14),0,X14)</f>
      </c>
      <c r="V14" s="284">
        <f>IFERROR(Q14/K14,0)</f>
      </c>
      <c r="W14" s="123">
        <f>IFERROR(L14*V14,0)</f>
      </c>
      <c r="X14" s="256">
        <f>IFERROR(Q14+W14,0)</f>
      </c>
      <c r="Y14" s="256">
        <f>IFERROR(M14*V14,0)</f>
      </c>
      <c r="Z14" s="256">
        <f>Y14-(Y14*$B$1)</f>
      </c>
      <c r="AA14" s="285">
        <f>IFERROR(Z14/X14,0)</f>
      </c>
      <c r="AB14" s="286">
        <f>IFERROR((IF(ISBLANK(N14),Y14/O14,Y14/N14)),0)</f>
      </c>
      <c r="AC14" s="286">
        <f>IFERROR(-1*(AB14*B$1),0)</f>
      </c>
      <c r="AD14" s="286">
        <f>IFERROR(SUM(AB14:AC14),0)</f>
      </c>
      <c r="AE14" s="286">
        <f>IF(ISBLANK(N14),AD14,AD14*5)</f>
      </c>
      <c r="AF14" s="287">
        <f>SUM(AG14:BE14)</f>
      </c>
      <c r="AG14" s="283"/>
      <c r="AH14" s="283"/>
      <c r="AI14" s="283"/>
      <c r="AJ14" s="283"/>
      <c r="AK14" s="283"/>
      <c r="AL14" s="283"/>
      <c r="AM14" s="283"/>
      <c r="AN14" s="283"/>
      <c r="AO14" s="283"/>
      <c r="AP14" s="283"/>
      <c r="AQ14" s="278"/>
      <c r="AR14" s="278"/>
      <c r="AS14" s="278"/>
      <c r="AT14" s="280"/>
      <c r="AU14" s="278"/>
      <c r="AV14" s="278">
        <v>85.2</v>
      </c>
      <c r="AW14" s="278">
        <v>85.2</v>
      </c>
      <c r="AX14" s="278">
        <v>85.2</v>
      </c>
      <c r="AY14" s="278">
        <v>85.2</v>
      </c>
      <c r="AZ14" s="278">
        <v>85.2</v>
      </c>
      <c r="BA14" s="278">
        <v>85.2</v>
      </c>
      <c r="BB14" s="278">
        <v>85.2</v>
      </c>
      <c r="BC14" s="281"/>
      <c r="BD14" s="281"/>
      <c r="BE14" s="281"/>
      <c r="BF14" s="286">
        <f>Z14-AF14</f>
      </c>
      <c r="BG14" s="284">
        <f>IFERROR(AF14/Z14,0)</f>
      </c>
      <c r="BH14" s="214">
        <f>IFERROR(AF14/X14,0)</f>
      </c>
      <c r="BI14" s="284">
        <f>IFERROR((X14/SUM(X$8:X$25)),0)</f>
      </c>
      <c r="BJ14" s="284">
        <f>IFERROR((BF14/SUM(BF$3:BF211)),0)</f>
      </c>
      <c r="BK14" s="288">
        <f>BF14/'R&amp;H Portfolio'!Q$10</f>
      </c>
      <c r="BL14" s="286">
        <f>BI14*P14</f>
      </c>
      <c r="BM14" s="73"/>
      <c r="BN14" s="220">
        <f>IF(BM14="YES", BF14, "")</f>
      </c>
      <c r="BO14" s="17"/>
    </row>
    <row x14ac:dyDescent="0.25" r="15" customHeight="1" ht="16">
      <c r="A15" s="273">
        <v>25568.79196759259</v>
      </c>
      <c r="B15" s="203" t="s">
        <v>577</v>
      </c>
      <c r="C15" s="204" t="s">
        <v>575</v>
      </c>
      <c r="D15" s="113" t="s">
        <v>578</v>
      </c>
      <c r="E15" s="113" t="s">
        <v>164</v>
      </c>
      <c r="F15" s="113" t="s">
        <v>469</v>
      </c>
      <c r="G15" s="276">
        <v>539</v>
      </c>
      <c r="H15" s="277">
        <v>1.3</v>
      </c>
      <c r="I15" s="278">
        <v>0.12</v>
      </c>
      <c r="J15" s="279">
        <f>H15+I15</f>
      </c>
      <c r="K15" s="280">
        <v>100000</v>
      </c>
      <c r="L15" s="123">
        <f>K15*I15</f>
      </c>
      <c r="M15" s="123">
        <f>K15*J15</f>
      </c>
      <c r="N15" s="16"/>
      <c r="O15" s="281">
        <v>40</v>
      </c>
      <c r="P15" s="282">
        <f>IF(ISBLANK(N15),O15/4.3,N15/20)</f>
      </c>
      <c r="Q15" s="280">
        <v>2500</v>
      </c>
      <c r="R15" s="283" t="s">
        <v>133</v>
      </c>
      <c r="S15" s="280"/>
      <c r="T15" s="256">
        <f>IF(ISBLANK(R15),0,X15)</f>
      </c>
      <c r="U15" s="256">
        <f>IF(ISBLANK(S15),0,X15)</f>
      </c>
      <c r="V15" s="284">
        <f>IFERROR(Q15/K15,0)</f>
      </c>
      <c r="W15" s="123">
        <f>IFERROR(L15*V15,0)</f>
      </c>
      <c r="X15" s="256">
        <f>IFERROR(Q15+W15,0)</f>
      </c>
      <c r="Y15" s="256">
        <f>IFERROR(M15*V15,0)</f>
      </c>
      <c r="Z15" s="256">
        <f>Y15-(Y15*$B$1)</f>
      </c>
      <c r="AA15" s="285">
        <f>IFERROR(Z15/X15,0)</f>
      </c>
      <c r="AB15" s="286">
        <f>IFERROR((IF(ISBLANK(N15),Y15/O15,Y15/N15)),0)</f>
      </c>
      <c r="AC15" s="286">
        <f>IFERROR(-1*(AB15*B$1),0)</f>
      </c>
      <c r="AD15" s="286">
        <f>IFERROR(SUM(AB15:AC15),0)</f>
      </c>
      <c r="AE15" s="286">
        <f>IF(ISBLANK(N15),AD15,AD15*5)</f>
      </c>
      <c r="AF15" s="287">
        <f>SUM(AG15:BE15)</f>
      </c>
      <c r="AG15" s="283"/>
      <c r="AH15" s="283"/>
      <c r="AI15" s="283"/>
      <c r="AJ15" s="283"/>
      <c r="AK15" s="283"/>
      <c r="AL15" s="283"/>
      <c r="AM15" s="283"/>
      <c r="AN15" s="283"/>
      <c r="AO15" s="283"/>
      <c r="AP15" s="283"/>
      <c r="AQ15" s="278"/>
      <c r="AR15" s="278"/>
      <c r="AS15" s="278"/>
      <c r="AT15" s="280"/>
      <c r="AU15" s="278"/>
      <c r="AV15" s="278">
        <v>85.2</v>
      </c>
      <c r="AW15" s="278">
        <v>85.2</v>
      </c>
      <c r="AX15" s="278">
        <v>85.2</v>
      </c>
      <c r="AY15" s="278">
        <v>85.2</v>
      </c>
      <c r="AZ15" s="278">
        <v>85.2</v>
      </c>
      <c r="BA15" s="278">
        <v>85.2</v>
      </c>
      <c r="BB15" s="278">
        <v>85.2</v>
      </c>
      <c r="BC15" s="281"/>
      <c r="BD15" s="281"/>
      <c r="BE15" s="281"/>
      <c r="BF15" s="286">
        <f>Z15-AF15</f>
      </c>
      <c r="BG15" s="284">
        <f>IFERROR(AF15/Z15,0)</f>
      </c>
      <c r="BH15" s="214">
        <f>IFERROR(AF15/X15,0)</f>
      </c>
      <c r="BI15" s="284">
        <f>IFERROR((X15/SUM(X$8:X$25)),0)</f>
      </c>
      <c r="BJ15" s="284">
        <f>IFERROR((BF15/SUM(BF$3:BF212)),0)</f>
      </c>
      <c r="BK15" s="288">
        <f>BF15/'R&amp;H Portfolio'!Q$10</f>
      </c>
      <c r="BL15" s="286">
        <f>BI15*P15</f>
      </c>
      <c r="BM15" s="73"/>
      <c r="BN15" s="220">
        <f>IF(BM15="YES", BF15, "")</f>
      </c>
      <c r="BO15" s="17"/>
    </row>
    <row x14ac:dyDescent="0.25" r="16" customHeight="1" ht="16">
      <c r="A16" s="273">
        <v>25568.79196759259</v>
      </c>
      <c r="B16" s="203" t="s">
        <v>579</v>
      </c>
      <c r="C16" s="204" t="s">
        <v>575</v>
      </c>
      <c r="D16" s="113" t="s">
        <v>580</v>
      </c>
      <c r="E16" s="113" t="s">
        <v>164</v>
      </c>
      <c r="F16" s="113" t="s">
        <v>469</v>
      </c>
      <c r="G16" s="276">
        <v>539</v>
      </c>
      <c r="H16" s="277">
        <v>1.3</v>
      </c>
      <c r="I16" s="278">
        <v>0.12</v>
      </c>
      <c r="J16" s="279">
        <f>H16+I16</f>
      </c>
      <c r="K16" s="280">
        <v>70000</v>
      </c>
      <c r="L16" s="123">
        <f>K16*I16</f>
      </c>
      <c r="M16" s="123">
        <f>K16*J16</f>
      </c>
      <c r="N16" s="281">
        <v>210</v>
      </c>
      <c r="O16" s="16"/>
      <c r="P16" s="282">
        <f>IF(ISBLANK(N16),O16/4.3,N16/20)</f>
      </c>
      <c r="Q16" s="280">
        <v>2500</v>
      </c>
      <c r="R16" s="283" t="s">
        <v>133</v>
      </c>
      <c r="S16" s="280"/>
      <c r="T16" s="256">
        <f>IF(ISBLANK(R16),0,X16)</f>
      </c>
      <c r="U16" s="256">
        <f>IF(ISBLANK(S16),0,X16)</f>
      </c>
      <c r="V16" s="284">
        <f>IFERROR(Q16/K16,0)</f>
      </c>
      <c r="W16" s="123">
        <f>IFERROR(L16*V16,0)</f>
      </c>
      <c r="X16" s="256">
        <f>IFERROR(Q16+W16,0)</f>
      </c>
      <c r="Y16" s="256">
        <f>IFERROR(M16*V16,0)</f>
      </c>
      <c r="Z16" s="256">
        <f>Y16-(Y16*$B$1)</f>
      </c>
      <c r="AA16" s="285">
        <f>IFERROR(Z16/X16,0)</f>
      </c>
      <c r="AB16" s="286">
        <f>IFERROR((IF(ISBLANK(N16),Y16/O16,Y16/N16)),0)</f>
      </c>
      <c r="AC16" s="286">
        <f>IFERROR(-1*(AB16*B$1),0)</f>
      </c>
      <c r="AD16" s="286">
        <f>IFERROR(SUM(AB16:AC16),0)</f>
      </c>
      <c r="AE16" s="286">
        <f>IF(ISBLANK(N16),AD16,AD16*5)</f>
      </c>
      <c r="AF16" s="287">
        <f>SUM(AG16:BE16)</f>
      </c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78"/>
      <c r="AR16" s="278"/>
      <c r="AS16" s="278"/>
      <c r="AT16" s="280"/>
      <c r="AU16" s="278"/>
      <c r="AV16" s="278">
        <v>16.22</v>
      </c>
      <c r="AW16" s="278">
        <v>81.15</v>
      </c>
      <c r="AX16" s="278">
        <v>81.14000000000001</v>
      </c>
      <c r="AY16" s="278">
        <v>81.14000000000001</v>
      </c>
      <c r="AZ16" s="278">
        <v>64.91</v>
      </c>
      <c r="BA16" s="278">
        <v>64.92</v>
      </c>
      <c r="BB16" s="278">
        <v>81.14000000000001</v>
      </c>
      <c r="BC16" s="281"/>
      <c r="BD16" s="281"/>
      <c r="BE16" s="281"/>
      <c r="BF16" s="286">
        <f>Z16-AF16</f>
      </c>
      <c r="BG16" s="284">
        <f>IFERROR(AF16/Y16,0)</f>
      </c>
      <c r="BH16" s="214">
        <f>IFERROR(AF16/X16,0)</f>
      </c>
      <c r="BI16" s="284">
        <f>IFERROR((X16/SUM(X$8:X$25)),0)</f>
      </c>
      <c r="BJ16" s="284">
        <f>IFERROR((BF16/SUM(BF$3:BF213)),0)</f>
      </c>
      <c r="BK16" s="288">
        <f>BF16/'R&amp;H Portfolio'!Q$10</f>
      </c>
      <c r="BL16" s="286">
        <f>BI16*P16</f>
      </c>
      <c r="BM16" s="73"/>
      <c r="BN16" s="220">
        <f>IF(BM16="YES", BF16, "")</f>
      </c>
      <c r="BO16" s="17"/>
    </row>
    <row x14ac:dyDescent="0.25" r="17" customHeight="1" ht="16">
      <c r="A17" s="273">
        <v>25568.79196759259</v>
      </c>
      <c r="B17" s="203" t="s">
        <v>581</v>
      </c>
      <c r="C17" s="204" t="s">
        <v>575</v>
      </c>
      <c r="D17" s="113" t="s">
        <v>582</v>
      </c>
      <c r="E17" s="113" t="s">
        <v>164</v>
      </c>
      <c r="F17" s="113" t="s">
        <v>469</v>
      </c>
      <c r="G17" s="276">
        <v>539</v>
      </c>
      <c r="H17" s="277">
        <v>1.3</v>
      </c>
      <c r="I17" s="278">
        <v>0.12</v>
      </c>
      <c r="J17" s="279">
        <f>H17+I17</f>
      </c>
      <c r="K17" s="280">
        <v>100000</v>
      </c>
      <c r="L17" s="123">
        <f>K17*I17</f>
      </c>
      <c r="M17" s="123">
        <f>K17*J17</f>
      </c>
      <c r="N17" s="16"/>
      <c r="O17" s="281">
        <v>40</v>
      </c>
      <c r="P17" s="282">
        <f>IF(ISBLANK(N17),O17/4.3,N17/20)</f>
      </c>
      <c r="Q17" s="280">
        <v>2500</v>
      </c>
      <c r="R17" s="283" t="s">
        <v>133</v>
      </c>
      <c r="S17" s="280"/>
      <c r="T17" s="256">
        <f>IF(ISBLANK(R17),0,X17)</f>
      </c>
      <c r="U17" s="256">
        <f>IF(ISBLANK(S17),0,X17)</f>
      </c>
      <c r="V17" s="284">
        <f>IFERROR(Q17/K17,0)</f>
      </c>
      <c r="W17" s="123">
        <f>IFERROR(L17*V17,0)</f>
      </c>
      <c r="X17" s="256">
        <f>IFERROR(Q17+W17,0)</f>
      </c>
      <c r="Y17" s="256">
        <f>IFERROR(M17*V17,0)</f>
      </c>
      <c r="Z17" s="256">
        <f>Y17-(Y17*$B$1)</f>
      </c>
      <c r="AA17" s="285">
        <f>IFERROR(Z17/X17,0)</f>
      </c>
      <c r="AB17" s="286">
        <f>IFERROR((IF(ISBLANK(N17),Y17/O17,Y17/N17)),0)</f>
      </c>
      <c r="AC17" s="286">
        <f>IFERROR(-1*(AB17*B$1),0)</f>
      </c>
      <c r="AD17" s="286">
        <f>IFERROR(SUM(AB17:AC17),0)</f>
      </c>
      <c r="AE17" s="286">
        <f>IF(ISBLANK(N17),AD17,AD17*5)</f>
      </c>
      <c r="AF17" s="287">
        <f>SUM(AG17:BE17)</f>
      </c>
      <c r="AG17" s="283"/>
      <c r="AH17" s="283"/>
      <c r="AI17" s="283"/>
      <c r="AJ17" s="283"/>
      <c r="AK17" s="283"/>
      <c r="AL17" s="283"/>
      <c r="AM17" s="283"/>
      <c r="AN17" s="283"/>
      <c r="AO17" s="283"/>
      <c r="AP17" s="283"/>
      <c r="AQ17" s="278"/>
      <c r="AR17" s="278"/>
      <c r="AS17" s="278"/>
      <c r="AT17" s="280"/>
      <c r="AU17" s="278"/>
      <c r="AV17" s="278">
        <v>85.2</v>
      </c>
      <c r="AW17" s="278">
        <v>85.2</v>
      </c>
      <c r="AX17" s="278">
        <v>85.2</v>
      </c>
      <c r="AY17" s="278">
        <v>85.2</v>
      </c>
      <c r="AZ17" s="278">
        <v>85.2</v>
      </c>
      <c r="BA17" s="278">
        <v>85.2</v>
      </c>
      <c r="BB17" s="278">
        <v>85.2</v>
      </c>
      <c r="BC17" s="281"/>
      <c r="BD17" s="281"/>
      <c r="BE17" s="281"/>
      <c r="BF17" s="286">
        <f>Z17-AF17</f>
      </c>
      <c r="BG17" s="284">
        <f>IFERROR(AF17/Y17,0)</f>
      </c>
      <c r="BH17" s="214">
        <f>IFERROR(AF17/X17,0)</f>
      </c>
      <c r="BI17" s="284">
        <f>IFERROR((X17/SUM(X$8:X$25)),0)</f>
      </c>
      <c r="BJ17" s="284">
        <f>IFERROR((BF17/SUM(BF$3:BF214)),0)</f>
      </c>
      <c r="BK17" s="288">
        <f>BF17/'R&amp;H Portfolio'!Q$10</f>
      </c>
      <c r="BL17" s="286">
        <f>BI17*P17</f>
      </c>
      <c r="BM17" s="73"/>
      <c r="BN17" s="220">
        <f>IF(BM17="YES", BF17, "")</f>
      </c>
      <c r="BO17" s="17"/>
    </row>
    <row x14ac:dyDescent="0.25" r="18" customHeight="1" ht="16">
      <c r="A18" s="273">
        <v>25568.79196759259</v>
      </c>
      <c r="B18" s="203" t="s">
        <v>583</v>
      </c>
      <c r="C18" s="275"/>
      <c r="D18" s="113" t="s">
        <v>584</v>
      </c>
      <c r="E18" s="113" t="s">
        <v>585</v>
      </c>
      <c r="F18" s="113" t="s">
        <v>160</v>
      </c>
      <c r="G18" s="276">
        <v>634</v>
      </c>
      <c r="H18" s="277">
        <v>1.35</v>
      </c>
      <c r="I18" s="278">
        <v>0.12</v>
      </c>
      <c r="J18" s="279">
        <f>H18+I18</f>
      </c>
      <c r="K18" s="280">
        <v>42000</v>
      </c>
      <c r="L18" s="123">
        <f>K18*I18</f>
      </c>
      <c r="M18" s="123">
        <f>K18*J18</f>
      </c>
      <c r="N18" s="281">
        <v>140</v>
      </c>
      <c r="O18" s="16"/>
      <c r="P18" s="282">
        <f>IF(ISBLANK(N18),O18/4.3,N18/20)</f>
      </c>
      <c r="Q18" s="280">
        <v>4000</v>
      </c>
      <c r="R18" s="283" t="s">
        <v>133</v>
      </c>
      <c r="S18" s="280"/>
      <c r="T18" s="256">
        <f>IF(ISBLANK(R18),0,X18)</f>
      </c>
      <c r="U18" s="256">
        <f>IF(ISBLANK(S18),0,X18)</f>
      </c>
      <c r="V18" s="284">
        <f>IFERROR(Q18/K18,0)</f>
      </c>
      <c r="W18" s="123">
        <f>IFERROR(L18*V18,0)</f>
      </c>
      <c r="X18" s="256">
        <f>IFERROR(Q18+W18,0)</f>
      </c>
      <c r="Y18" s="256">
        <f>IFERROR(M18*V18,0)</f>
      </c>
      <c r="Z18" s="256">
        <f>Y18-(Y18*$B$1)</f>
      </c>
      <c r="AA18" s="285">
        <f>IFERROR(Z18/X18,0)</f>
      </c>
      <c r="AB18" s="286">
        <f>IFERROR((IF(ISBLANK(N18),Y18/O18,Y18/N18)),0)</f>
      </c>
      <c r="AC18" s="286">
        <f>IFERROR(-1*(AB18*B$1),0)</f>
      </c>
      <c r="AD18" s="286">
        <f>IFERROR(SUM(AB18:AC18),0)</f>
      </c>
      <c r="AE18" s="286">
        <f>IF(ISBLANK(N18),AD18,AD18*5)</f>
      </c>
      <c r="AF18" s="287">
        <f>SUM(AG18:BE18)</f>
      </c>
      <c r="AG18" s="283"/>
      <c r="AH18" s="283"/>
      <c r="AI18" s="283"/>
      <c r="AJ18" s="283"/>
      <c r="AK18" s="283"/>
      <c r="AL18" s="283"/>
      <c r="AM18" s="283"/>
      <c r="AN18" s="283"/>
      <c r="AO18" s="283"/>
      <c r="AP18" s="283"/>
      <c r="AQ18" s="278"/>
      <c r="AR18" s="278"/>
      <c r="AS18" s="278"/>
      <c r="AT18" s="280"/>
      <c r="AU18" s="278">
        <v>40.32</v>
      </c>
      <c r="AV18" s="278">
        <v>201.6</v>
      </c>
      <c r="AW18" s="278">
        <v>161.28</v>
      </c>
      <c r="AX18" s="278">
        <v>241.92</v>
      </c>
      <c r="AY18" s="278">
        <v>201.6</v>
      </c>
      <c r="AZ18" s="278">
        <v>161.28</v>
      </c>
      <c r="BA18" s="278">
        <v>161.28</v>
      </c>
      <c r="BB18" s="278">
        <v>80.64</v>
      </c>
      <c r="BC18" s="281"/>
      <c r="BD18" s="281"/>
      <c r="BE18" s="281"/>
      <c r="BF18" s="286">
        <f>Z18-AF18</f>
      </c>
      <c r="BG18" s="321">
        <f>IFERROR(AF18/Y18,0)</f>
      </c>
      <c r="BH18" s="214">
        <f>IFERROR(AF18/X18,0)</f>
      </c>
      <c r="BI18" s="284">
        <f>IFERROR((X18/SUM(X$8:X$25)),0)</f>
      </c>
      <c r="BJ18" s="284">
        <f>IFERROR((BF18/SUM(BF$3:BF215)),0)</f>
      </c>
      <c r="BK18" s="288">
        <f>BF18/'R&amp;H Portfolio'!Q$10</f>
      </c>
      <c r="BL18" s="286">
        <f>BI18*P18</f>
      </c>
      <c r="BM18" s="73"/>
      <c r="BN18" s="220">
        <f>IF(BM18="YES", BF18, "")</f>
      </c>
      <c r="BO18" s="17"/>
    </row>
    <row x14ac:dyDescent="0.25" r="19" customHeight="1" ht="16">
      <c r="A19" s="273">
        <v>25568.79196759259</v>
      </c>
      <c r="B19" s="203" t="s">
        <v>586</v>
      </c>
      <c r="C19" s="204" t="s">
        <v>587</v>
      </c>
      <c r="D19" s="113" t="s">
        <v>588</v>
      </c>
      <c r="E19" s="113" t="s">
        <v>589</v>
      </c>
      <c r="F19" s="113" t="s">
        <v>206</v>
      </c>
      <c r="G19" s="276">
        <v>632</v>
      </c>
      <c r="H19" s="277">
        <v>1.3</v>
      </c>
      <c r="I19" s="278">
        <v>0.03</v>
      </c>
      <c r="J19" s="279">
        <f>H19+I19</f>
      </c>
      <c r="K19" s="280">
        <v>150000</v>
      </c>
      <c r="L19" s="123">
        <f>K19*I19</f>
      </c>
      <c r="M19" s="123">
        <f>K19*J19</f>
      </c>
      <c r="N19" s="16"/>
      <c r="O19" s="281">
        <v>44</v>
      </c>
      <c r="P19" s="282">
        <f>IF(ISBLANK(N19),O19/4.3,N19/20)</f>
      </c>
      <c r="Q19" s="280">
        <v>7000</v>
      </c>
      <c r="R19" s="283" t="s">
        <v>133</v>
      </c>
      <c r="S19" s="280"/>
      <c r="T19" s="256">
        <f>IF(ISBLANK(R19),0,X19)</f>
      </c>
      <c r="U19" s="256">
        <f>IF(ISBLANK(S19),0,X19)</f>
      </c>
      <c r="V19" s="284">
        <f>IFERROR(Q19/K19,0)</f>
      </c>
      <c r="W19" s="123">
        <f>IFERROR(L19*V19,0)</f>
      </c>
      <c r="X19" s="256">
        <f>IFERROR(Q19+W19,0)</f>
      </c>
      <c r="Y19" s="256">
        <f>IFERROR(M19*V19,0)</f>
      </c>
      <c r="Z19" s="256">
        <f>Y19-(Y19*$B$1)</f>
      </c>
      <c r="AA19" s="285">
        <f>IFERROR(Z19/X19,0)</f>
      </c>
      <c r="AB19" s="286">
        <f>IFERROR(IF(ISBLANK(N19),Y19/O19,Y19/N19),0)</f>
      </c>
      <c r="AC19" s="286">
        <f>IFERROR(-1*(AB19*B$1),0)</f>
      </c>
      <c r="AD19" s="286">
        <f>IFERROR(SUM(AB19:AC19),0)</f>
      </c>
      <c r="AE19" s="286">
        <f>IF(ISBLANK(N19),AD19,AD19*5)</f>
      </c>
      <c r="AF19" s="287">
        <f>SUM(AG19:BE19)</f>
      </c>
      <c r="AG19" s="283"/>
      <c r="AH19" s="283"/>
      <c r="AI19" s="283"/>
      <c r="AJ19" s="283"/>
      <c r="AK19" s="283"/>
      <c r="AL19" s="283"/>
      <c r="AM19" s="283"/>
      <c r="AN19" s="283"/>
      <c r="AO19" s="283"/>
      <c r="AP19" s="283"/>
      <c r="AQ19" s="278"/>
      <c r="AR19" s="278"/>
      <c r="AS19" s="278"/>
      <c r="AT19" s="280"/>
      <c r="AU19" s="278"/>
      <c r="AV19" s="278"/>
      <c r="AW19" s="278">
        <v>406.25</v>
      </c>
      <c r="AX19" s="278">
        <v>203.13</v>
      </c>
      <c r="AY19" s="278">
        <v>203.12</v>
      </c>
      <c r="AZ19" s="278"/>
      <c r="BA19" s="278">
        <v>203.13</v>
      </c>
      <c r="BB19" s="278">
        <v>406.26</v>
      </c>
      <c r="BC19" s="281"/>
      <c r="BD19" s="281"/>
      <c r="BE19" s="281"/>
      <c r="BF19" s="286">
        <f>Z19-AF19</f>
      </c>
      <c r="BG19" s="321">
        <f>IFERROR(AF19/Y19,0)</f>
      </c>
      <c r="BH19" s="214">
        <f>IFERROR(AF19/X19,0)</f>
      </c>
      <c r="BI19" s="284">
        <f>IFERROR((X19/SUM(X$8:X$25)),0)</f>
      </c>
      <c r="BJ19" s="284">
        <f>IFERROR((BF19/SUM(BF$3:BF216)),0)</f>
      </c>
      <c r="BK19" s="288">
        <f>BF19/'R&amp;H Portfolio'!Q$10</f>
      </c>
      <c r="BL19" s="286">
        <f>BI19*P19</f>
      </c>
      <c r="BM19" s="73"/>
      <c r="BN19" s="220">
        <f>IF(BM19="YES", BF19, "")</f>
      </c>
      <c r="BO19" s="17"/>
    </row>
    <row x14ac:dyDescent="0.25" r="20" customHeight="1" ht="16">
      <c r="A20" s="273">
        <v>25568.79196759259</v>
      </c>
      <c r="B20" s="203" t="s">
        <v>590</v>
      </c>
      <c r="C20" s="204" t="s">
        <v>591</v>
      </c>
      <c r="D20" s="113" t="s">
        <v>592</v>
      </c>
      <c r="E20" s="113" t="s">
        <v>593</v>
      </c>
      <c r="F20" s="113" t="s">
        <v>160</v>
      </c>
      <c r="G20" s="276">
        <v>684</v>
      </c>
      <c r="H20" s="277">
        <v>1.3</v>
      </c>
      <c r="I20" s="278">
        <v>0.1</v>
      </c>
      <c r="J20" s="279">
        <f>H20+I20</f>
      </c>
      <c r="K20" s="280">
        <v>35000</v>
      </c>
      <c r="L20" s="123">
        <f>K20*I20</f>
      </c>
      <c r="M20" s="123">
        <f>K20*J20</f>
      </c>
      <c r="N20" s="16"/>
      <c r="O20" s="281">
        <v>30</v>
      </c>
      <c r="P20" s="282">
        <f>IF(ISBLANK(N20),O20/4.3,N20/20)</f>
      </c>
      <c r="Q20" s="280">
        <v>3500</v>
      </c>
      <c r="R20" s="283" t="s">
        <v>133</v>
      </c>
      <c r="S20" s="280"/>
      <c r="T20" s="256">
        <f>IF(ISBLANK(R20),0,X20)</f>
      </c>
      <c r="U20" s="256">
        <f>IF(ISBLANK(S20),0,X20)</f>
      </c>
      <c r="V20" s="284">
        <f>IFERROR(Q20/K20,0)</f>
      </c>
      <c r="W20" s="123">
        <f>IFERROR(L20*V20,0)</f>
      </c>
      <c r="X20" s="256">
        <f>IFERROR(Q20+W20,0)</f>
      </c>
      <c r="Y20" s="256">
        <f>IFERROR(M20*V20,0)</f>
      </c>
      <c r="Z20" s="256">
        <f>Y20-(Y20*$B$1)</f>
      </c>
      <c r="AA20" s="285">
        <f>IFERROR(Z20/X20,0)</f>
      </c>
      <c r="AB20" s="286">
        <f>IFERROR(IF(ISBLANK(N20),Y20/O20,Y20/N20),0)</f>
      </c>
      <c r="AC20" s="286">
        <f>IFERROR(-1*(AB20*B$1),0)</f>
      </c>
      <c r="AD20" s="286">
        <f>IFERROR(SUM(AB20:AC20),0)</f>
      </c>
      <c r="AE20" s="286">
        <f>IF(ISBLANK(N20),AD20,AD20*5)</f>
      </c>
      <c r="AF20" s="287">
        <f>SUM(AG20:BE20)</f>
      </c>
      <c r="AG20" s="283"/>
      <c r="AH20" s="283"/>
      <c r="AI20" s="283"/>
      <c r="AJ20" s="283"/>
      <c r="AK20" s="283"/>
      <c r="AL20" s="283"/>
      <c r="AM20" s="283"/>
      <c r="AN20" s="283"/>
      <c r="AO20" s="283"/>
      <c r="AP20" s="283"/>
      <c r="AQ20" s="278"/>
      <c r="AR20" s="278"/>
      <c r="AS20" s="278"/>
      <c r="AT20" s="280"/>
      <c r="AU20" s="278"/>
      <c r="AV20" s="278"/>
      <c r="AW20" s="278"/>
      <c r="AX20" s="278"/>
      <c r="AY20" s="278">
        <v>313.59</v>
      </c>
      <c r="AZ20" s="278"/>
      <c r="BA20" s="278">
        <v>156.8</v>
      </c>
      <c r="BB20" s="278">
        <v>313.6</v>
      </c>
      <c r="BC20" s="281"/>
      <c r="BD20" s="281"/>
      <c r="BE20" s="281"/>
      <c r="BF20" s="286">
        <f>Z20-AF20</f>
      </c>
      <c r="BG20" s="321">
        <f>IFERROR(AF20/Y20,0)</f>
      </c>
      <c r="BH20" s="214">
        <f>IFERROR(AF20/X20,0)</f>
      </c>
      <c r="BI20" s="284">
        <f>IFERROR((X20/SUM(X$8:X$25)),0)</f>
      </c>
      <c r="BJ20" s="284">
        <f>IFERROR((BF20/SUM(BF$3:BF217)),0)</f>
      </c>
      <c r="BK20" s="288">
        <f>BF20/'R&amp;H Portfolio'!Q$10</f>
      </c>
      <c r="BL20" s="286">
        <f>BI20*P20</f>
      </c>
      <c r="BM20" s="73"/>
      <c r="BN20" s="220">
        <f>IF(BM20="YES", BF20, "")</f>
      </c>
      <c r="BO20" s="17"/>
    </row>
    <row x14ac:dyDescent="0.25" r="21" customHeight="1" ht="16">
      <c r="A21" s="273">
        <v>25568.79196759259</v>
      </c>
      <c r="B21" s="203" t="s">
        <v>594</v>
      </c>
      <c r="C21" s="204" t="s">
        <v>595</v>
      </c>
      <c r="D21" s="113" t="s">
        <v>596</v>
      </c>
      <c r="E21" s="113" t="s">
        <v>597</v>
      </c>
      <c r="F21" s="113" t="s">
        <v>274</v>
      </c>
      <c r="G21" s="276">
        <v>689</v>
      </c>
      <c r="H21" s="277">
        <v>1.32</v>
      </c>
      <c r="I21" s="278">
        <v>0.1</v>
      </c>
      <c r="J21" s="279">
        <f>H21+I21</f>
      </c>
      <c r="K21" s="280">
        <v>85000</v>
      </c>
      <c r="L21" s="123">
        <f>K21*I21</f>
      </c>
      <c r="M21" s="123">
        <f>K21*J21</f>
      </c>
      <c r="N21" s="16"/>
      <c r="O21" s="281">
        <v>42</v>
      </c>
      <c r="P21" s="282">
        <f>IF(ISBLANK(N21),O21/4.3,N21/20)</f>
      </c>
      <c r="Q21" s="280">
        <v>5000</v>
      </c>
      <c r="R21" s="3"/>
      <c r="S21" s="283" t="s">
        <v>82</v>
      </c>
      <c r="T21" s="256">
        <f>IF(ISBLANK(R21),0,X21)</f>
      </c>
      <c r="U21" s="256">
        <f>IF(ISBLANK(S21),0,X21)</f>
      </c>
      <c r="V21" s="284">
        <f>IFERROR(Q21/K21,0)</f>
      </c>
      <c r="W21" s="123">
        <f>IFERROR(L21*V21,0)</f>
      </c>
      <c r="X21" s="256">
        <f>IFERROR(Q21+W21,0)</f>
      </c>
      <c r="Y21" s="256">
        <f>IFERROR(M21*V21,0)</f>
      </c>
      <c r="Z21" s="256">
        <f>Y21-(Y21*$B$1)</f>
      </c>
      <c r="AA21" s="285">
        <f>IFERROR(Z21/X21,0)</f>
      </c>
      <c r="AB21" s="286">
        <f>IFERROR(IF(ISBLANK(N21),Y21/O21,Y21/N21),0)</f>
      </c>
      <c r="AC21" s="286">
        <f>IFERROR(-1*(AB21*B$1),0)</f>
      </c>
      <c r="AD21" s="286">
        <f>IFERROR(SUM(AB21:AC21),0)</f>
      </c>
      <c r="AE21" s="286">
        <f>IF(ISBLANK(N21),AD21,AD21*5)</f>
      </c>
      <c r="AF21" s="287">
        <f>SUM(AG21:BE21)</f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18"/>
      <c r="AR21" s="18"/>
      <c r="AS21" s="18"/>
      <c r="AT21" s="1"/>
      <c r="AU21" s="18"/>
      <c r="AV21" s="18"/>
      <c r="AW21" s="18"/>
      <c r="AX21" s="278">
        <v>162.28</v>
      </c>
      <c r="AY21" s="278">
        <v>162.29</v>
      </c>
      <c r="AZ21" s="278">
        <v>162.28</v>
      </c>
      <c r="BA21" s="278">
        <v>162.29</v>
      </c>
      <c r="BB21" s="278">
        <v>162.28</v>
      </c>
      <c r="BC21" s="16"/>
      <c r="BD21" s="16"/>
      <c r="BE21" s="16"/>
      <c r="BF21" s="286">
        <f>Z21-AF21</f>
      </c>
      <c r="BG21" s="321">
        <f>IFERROR(AF21/Y21,0)</f>
      </c>
      <c r="BH21" s="214">
        <f>IFERROR(AF21/X21,0)</f>
      </c>
      <c r="BI21" s="284">
        <f>IFERROR((X21/SUM(X$8:X$25)),0)</f>
      </c>
      <c r="BJ21" s="284">
        <f>IFERROR((BF21/SUM(BF$3:BF218)),0)</f>
      </c>
      <c r="BK21" s="288">
        <f>BF21/'R&amp;H Portfolio'!Q$10</f>
      </c>
      <c r="BL21" s="286">
        <f>BI21*P21</f>
      </c>
      <c r="BM21" s="73"/>
      <c r="BN21" s="220">
        <f>IF(BM21="YES", BF21, "")</f>
      </c>
      <c r="BO21" s="17"/>
    </row>
    <row x14ac:dyDescent="0.25" r="22" customHeight="1" ht="15">
      <c r="A22" s="273">
        <v>25568.79196759259</v>
      </c>
      <c r="B22" s="203" t="s">
        <v>598</v>
      </c>
      <c r="C22" s="204" t="s">
        <v>599</v>
      </c>
      <c r="D22" s="113" t="s">
        <v>600</v>
      </c>
      <c r="E22" s="113" t="s">
        <v>164</v>
      </c>
      <c r="F22" s="113" t="s">
        <v>160</v>
      </c>
      <c r="G22" s="276">
        <v>694</v>
      </c>
      <c r="H22" s="277">
        <v>1.31</v>
      </c>
      <c r="I22" s="278">
        <v>0.05</v>
      </c>
      <c r="J22" s="279">
        <f>H22+I22</f>
      </c>
      <c r="K22" s="280">
        <v>100000</v>
      </c>
      <c r="L22" s="123">
        <f>K22*I22</f>
      </c>
      <c r="M22" s="123">
        <f>K22*J22</f>
      </c>
      <c r="N22" s="16"/>
      <c r="O22" s="281">
        <v>38</v>
      </c>
      <c r="P22" s="282">
        <f>IF(ISBLANK(N22),O22/4.3,N22/20)</f>
      </c>
      <c r="Q22" s="280">
        <v>10000</v>
      </c>
      <c r="R22" s="283" t="s">
        <v>133</v>
      </c>
      <c r="S22" s="3"/>
      <c r="T22" s="256">
        <f>IF(ISBLANK(R22),0,X22)</f>
      </c>
      <c r="U22" s="256">
        <f>IF(ISBLANK(S22),0,X22)</f>
      </c>
      <c r="V22" s="284">
        <f>IFERROR(Q22/K22,0)</f>
      </c>
      <c r="W22" s="123">
        <f>IFERROR(L22*V22,0)</f>
      </c>
      <c r="X22" s="256">
        <f>IFERROR(Q22+W22,0)</f>
      </c>
      <c r="Y22" s="256">
        <f>IFERROR(M22*V22,0)</f>
      </c>
      <c r="Z22" s="256">
        <f>Y22-(Y22*$B$1)</f>
      </c>
      <c r="AA22" s="285">
        <f>IFERROR(Z22/X22,0)</f>
      </c>
      <c r="AB22" s="286">
        <f>IFERROR(IF(ISBLANK(N22),Y22/O22,Y22/N22),0)</f>
      </c>
      <c r="AC22" s="286">
        <f>IFERROR(-1*(AB22*B$1),0)</f>
      </c>
      <c r="AD22" s="286">
        <f>IFERROR(SUM(AB22:AC22),0)</f>
      </c>
      <c r="AE22" s="286">
        <f>IF(ISBLANK(N22),AD22,AD22*5)</f>
      </c>
      <c r="AF22" s="287">
        <f>SUM(AG22:BE22)</f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8"/>
      <c r="AR22" s="18"/>
      <c r="AS22" s="18"/>
      <c r="AT22" s="1"/>
      <c r="AU22" s="18"/>
      <c r="AV22" s="18"/>
      <c r="AW22" s="278">
        <v>343.57</v>
      </c>
      <c r="AX22" s="18"/>
      <c r="AY22" s="278">
        <v>343.58</v>
      </c>
      <c r="AZ22" s="278">
        <v>343.58</v>
      </c>
      <c r="BA22" s="278">
        <v>343.58</v>
      </c>
      <c r="BB22" s="278">
        <v>343.58</v>
      </c>
      <c r="BC22" s="16"/>
      <c r="BD22" s="16"/>
      <c r="BE22" s="16"/>
      <c r="BF22" s="286">
        <f>Z22-AF22</f>
      </c>
      <c r="BG22" s="321">
        <f>IFERROR(AF22/Y22,0)</f>
      </c>
      <c r="BH22" s="214">
        <f>IFERROR(AF22/X22,0)</f>
      </c>
      <c r="BI22" s="284">
        <f>IFERROR((X22/SUM(X$8:X$25)),0)</f>
      </c>
      <c r="BJ22" s="284">
        <f>IFERROR((BF22/SUM(BF$3:BF219)),0)</f>
      </c>
      <c r="BK22" s="288">
        <f>BF22/'R&amp;H Portfolio'!Q$10</f>
      </c>
      <c r="BL22" s="286">
        <f>BI22*P22</f>
      </c>
      <c r="BM22" s="73"/>
      <c r="BN22" s="220">
        <f>IF(BM22="YES", BF22, "")</f>
      </c>
      <c r="BO22" s="17"/>
    </row>
    <row x14ac:dyDescent="0.25" r="23" customHeight="1" ht="15">
      <c r="A23" s="273">
        <v>25568.79196759259</v>
      </c>
      <c r="B23" s="203" t="s">
        <v>601</v>
      </c>
      <c r="C23" s="204" t="s">
        <v>602</v>
      </c>
      <c r="D23" s="113" t="s">
        <v>603</v>
      </c>
      <c r="E23" s="113" t="s">
        <v>164</v>
      </c>
      <c r="F23" s="113" t="s">
        <v>160</v>
      </c>
      <c r="G23" s="276">
        <v>645</v>
      </c>
      <c r="H23" s="277">
        <v>1.28</v>
      </c>
      <c r="I23" s="278">
        <v>0.07</v>
      </c>
      <c r="J23" s="279">
        <f>H23+I23</f>
      </c>
      <c r="K23" s="280">
        <v>50000</v>
      </c>
      <c r="L23" s="123">
        <f>K23*I23</f>
      </c>
      <c r="M23" s="123">
        <f>K23*J23</f>
      </c>
      <c r="N23" s="16"/>
      <c r="O23" s="281">
        <v>52</v>
      </c>
      <c r="P23" s="282">
        <f>IF(ISBLANK(N23),O23/4.3,N23/20)</f>
      </c>
      <c r="Q23" s="280">
        <v>4000</v>
      </c>
      <c r="R23" s="283" t="s">
        <v>133</v>
      </c>
      <c r="S23" s="3"/>
      <c r="T23" s="256">
        <f>IF(ISBLANK(R23),0,X23)</f>
      </c>
      <c r="U23" s="256">
        <f>IF(ISBLANK(S23),0,X23)</f>
      </c>
      <c r="V23" s="284">
        <f>IFERROR(Q23/K23,0)</f>
      </c>
      <c r="W23" s="123">
        <f>IFERROR(L23*V23,0)</f>
      </c>
      <c r="X23" s="256">
        <f>IFERROR(Q23+W23,0)</f>
      </c>
      <c r="Y23" s="256">
        <f>IFERROR(M23*V23,0)</f>
      </c>
      <c r="Z23" s="256">
        <f>Y23-(Y23*$B$1)</f>
      </c>
      <c r="AA23" s="285">
        <f>IFERROR(Z23/X23,0)</f>
      </c>
      <c r="AB23" s="286">
        <f>IFERROR(IF(ISBLANK(N23),Y23/O23,Y23/N23),0)</f>
      </c>
      <c r="AC23" s="286">
        <f>IFERROR(-1*(AB23*B$1),0)</f>
      </c>
      <c r="AD23" s="286">
        <f>IFERROR(SUM(AB23:AC23),0)</f>
      </c>
      <c r="AE23" s="286">
        <f>IF(ISBLANK(N23),AD23,AD23*5)</f>
      </c>
      <c r="AF23" s="287">
        <f>SUM(AG23:BE23)</f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18"/>
      <c r="AR23" s="18"/>
      <c r="AS23" s="18"/>
      <c r="AT23" s="1"/>
      <c r="AU23" s="18"/>
      <c r="AV23" s="18"/>
      <c r="AW23" s="18"/>
      <c r="AX23" s="278">
        <v>99.69</v>
      </c>
      <c r="AY23" s="278">
        <v>99.69</v>
      </c>
      <c r="AZ23" s="18"/>
      <c r="BA23" s="278">
        <v>99.69</v>
      </c>
      <c r="BB23" s="278">
        <v>199.39</v>
      </c>
      <c r="BC23" s="16"/>
      <c r="BD23" s="16"/>
      <c r="BE23" s="16"/>
      <c r="BF23" s="286">
        <f>Z23-AF23</f>
      </c>
      <c r="BG23" s="321">
        <f>IFERROR(AF23/Y23,0)</f>
      </c>
      <c r="BH23" s="214">
        <f>IFERROR(AF23/X23,0)</f>
      </c>
      <c r="BI23" s="284">
        <f>IFERROR((X23/SUM(X$8:X$25)),0)</f>
      </c>
      <c r="BJ23" s="284">
        <f>IFERROR((BF23/SUM(BF$3:BF220)),0)</f>
      </c>
      <c r="BK23" s="288">
        <f>BF23/'R&amp;H Portfolio'!Q$10</f>
      </c>
      <c r="BL23" s="286">
        <f>BI23*P23</f>
      </c>
      <c r="BM23" s="73"/>
      <c r="BN23" s="220">
        <f>IF(BM23="YES", BF23, "")</f>
      </c>
      <c r="BO23" s="17"/>
    </row>
    <row x14ac:dyDescent="0.25" r="24" customHeight="1" ht="15">
      <c r="A24" s="273">
        <v>25568.79196759259</v>
      </c>
      <c r="B24" s="203" t="s">
        <v>604</v>
      </c>
      <c r="C24" s="204" t="s">
        <v>605</v>
      </c>
      <c r="D24" s="113" t="s">
        <v>606</v>
      </c>
      <c r="E24" s="113" t="s">
        <v>164</v>
      </c>
      <c r="F24" s="113" t="s">
        <v>235</v>
      </c>
      <c r="G24" s="276">
        <v>628</v>
      </c>
      <c r="H24" s="277">
        <v>1.32</v>
      </c>
      <c r="I24" s="278">
        <v>0.1</v>
      </c>
      <c r="J24" s="279">
        <f>H24+I24</f>
      </c>
      <c r="K24" s="280">
        <v>35000</v>
      </c>
      <c r="L24" s="123">
        <f>K24*I24</f>
      </c>
      <c r="M24" s="123">
        <f>K24*J24</f>
      </c>
      <c r="N24" s="281">
        <v>168</v>
      </c>
      <c r="O24" s="16"/>
      <c r="P24" s="282">
        <f>IF(ISBLANK(N24),O24/4.3,N24/20)</f>
      </c>
      <c r="Q24" s="280">
        <v>3000</v>
      </c>
      <c r="R24" s="3"/>
      <c r="S24" s="283" t="s">
        <v>82</v>
      </c>
      <c r="T24" s="256">
        <f>IF(ISBLANK(R24),0,X24)</f>
      </c>
      <c r="U24" s="256">
        <f>IF(ISBLANK(S24),0,X24)</f>
      </c>
      <c r="V24" s="284">
        <f>IFERROR(Q24/K24,0)</f>
      </c>
      <c r="W24" s="123">
        <f>IFERROR(L24*V24,0)</f>
      </c>
      <c r="X24" s="256">
        <f>IFERROR(Q24+W24,0)</f>
      </c>
      <c r="Y24" s="256">
        <f>IFERROR(M24*V24,0)</f>
      </c>
      <c r="Z24" s="256">
        <f>Y24-(Y24*$B$1)</f>
      </c>
      <c r="AA24" s="285">
        <f>IFERROR(Z24/X24,0)</f>
      </c>
      <c r="AB24" s="286">
        <f>IFERROR(IF(ISBLANK(N24),Y24/O24,Y24/N24),0)</f>
      </c>
      <c r="AC24" s="286">
        <f>IFERROR(-1*(AB24*B$1),0)</f>
      </c>
      <c r="AD24" s="286">
        <f>IFERROR(SUM(AB24:AC24),0)</f>
      </c>
      <c r="AE24" s="286">
        <f>IF(ISBLANK(N24),AD24,AD24*5)</f>
      </c>
      <c r="AF24" s="287">
        <f>SUM(AG24:BE24)</f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18"/>
      <c r="AR24" s="18"/>
      <c r="AS24" s="18"/>
      <c r="AT24" s="1"/>
      <c r="AU24" s="18"/>
      <c r="AV24" s="18"/>
      <c r="AW24" s="18"/>
      <c r="AX24" s="278">
        <v>121.71</v>
      </c>
      <c r="AY24" s="278">
        <v>121.71</v>
      </c>
      <c r="AZ24" s="278">
        <v>97.37</v>
      </c>
      <c r="BA24" s="278">
        <v>97.37</v>
      </c>
      <c r="BB24" s="278">
        <v>121.71</v>
      </c>
      <c r="BC24" s="16"/>
      <c r="BD24" s="16"/>
      <c r="BE24" s="16"/>
      <c r="BF24" s="286">
        <f>Z24-AF24</f>
      </c>
      <c r="BG24" s="321">
        <f>IFERROR(AF24/Y24,0)</f>
      </c>
      <c r="BH24" s="214">
        <f>IFERROR(AF24/X24,0)</f>
      </c>
      <c r="BI24" s="284">
        <f>IFERROR((X24/SUM(X$8:X$25)),0)</f>
      </c>
      <c r="BJ24" s="284">
        <f>IFERROR((BF24/SUM(BF$3:BF221)),0)</f>
      </c>
      <c r="BK24" s="288">
        <f>BF24/'R&amp;H Portfolio'!Q$10</f>
      </c>
      <c r="BL24" s="286">
        <f>BI24*P24</f>
      </c>
      <c r="BM24" s="73"/>
      <c r="BN24" s="220">
        <f>IF(BM24="YES", BF24, "")</f>
      </c>
      <c r="BO24" s="17"/>
    </row>
    <row x14ac:dyDescent="0.25" r="25" customHeight="1" ht="15">
      <c r="A25" s="308">
        <v>25568.79196759259</v>
      </c>
      <c r="B25" s="224" t="s">
        <v>607</v>
      </c>
      <c r="C25" s="225" t="s">
        <v>608</v>
      </c>
      <c r="D25" s="310" t="s">
        <v>609</v>
      </c>
      <c r="E25" s="310" t="s">
        <v>402</v>
      </c>
      <c r="F25" s="310" t="s">
        <v>335</v>
      </c>
      <c r="G25" s="311">
        <v>715</v>
      </c>
      <c r="H25" s="312">
        <v>1.3</v>
      </c>
      <c r="I25" s="313">
        <v>0.1</v>
      </c>
      <c r="J25" s="314">
        <f>H25+I25</f>
      </c>
      <c r="K25" s="315">
        <v>200000</v>
      </c>
      <c r="L25" s="316">
        <f>K25*I25</f>
      </c>
      <c r="M25" s="316">
        <f>K25*J25</f>
      </c>
      <c r="N25" s="317"/>
      <c r="O25" s="317">
        <v>32</v>
      </c>
      <c r="P25" s="318">
        <f>IF(ISBLANK(N25),O25/4.3,N25/20)</f>
      </c>
      <c r="Q25" s="315">
        <v>10000</v>
      </c>
      <c r="R25" s="319" t="s">
        <v>301</v>
      </c>
      <c r="S25" s="319"/>
      <c r="T25" s="320">
        <f>IF(ISBLANK(R25),0,X25)</f>
      </c>
      <c r="U25" s="320">
        <f>IF(ISBLANK(S25),0,X25)</f>
      </c>
      <c r="V25" s="321">
        <f>IFERROR(Q25/K25,0)</f>
      </c>
      <c r="W25" s="316">
        <f>IFERROR(L25*V25,0)</f>
      </c>
      <c r="X25" s="320">
        <f>IFERROR(Q25+W25,0)</f>
      </c>
      <c r="Y25" s="320">
        <f>IFERROR(M25*V25,0)</f>
      </c>
      <c r="Z25" s="320">
        <f>Y25-(Y25*$B$1)</f>
      </c>
      <c r="AA25" s="323">
        <f>IFERROR(Z25/X25,0)</f>
      </c>
      <c r="AB25" s="324">
        <f>IFERROR(IF(ISBLANK(N25),Y25/O25,Y25/N25),0)</f>
      </c>
      <c r="AC25" s="324">
        <f>IFERROR(-1*(AB25*B$1),0)</f>
      </c>
      <c r="AD25" s="324">
        <f>IFERROR(SUM(AB25:AC25),0)</f>
      </c>
      <c r="AE25" s="324">
        <f>IF(ISBLANK(N25),AD25,AD25*5)</f>
      </c>
      <c r="AF25" s="325">
        <f>SUM(AG25:BE25)</f>
      </c>
      <c r="AG25" s="319"/>
      <c r="AH25" s="319"/>
      <c r="AI25" s="319"/>
      <c r="AJ25" s="319"/>
      <c r="AK25" s="319"/>
      <c r="AL25" s="319"/>
      <c r="AM25" s="319"/>
      <c r="AN25" s="319"/>
      <c r="AO25" s="319"/>
      <c r="AP25" s="319"/>
      <c r="AQ25" s="313"/>
      <c r="AR25" s="313"/>
      <c r="AS25" s="313"/>
      <c r="AT25" s="315"/>
      <c r="AU25" s="313"/>
      <c r="AV25" s="313"/>
      <c r="AW25" s="313"/>
      <c r="AX25" s="313">
        <v>424.37</v>
      </c>
      <c r="AY25" s="313">
        <v>424.38</v>
      </c>
      <c r="AZ25" s="313">
        <v>424.37</v>
      </c>
      <c r="BA25" s="313">
        <v>424.38</v>
      </c>
      <c r="BB25" s="313">
        <v>424.37</v>
      </c>
      <c r="BC25" s="317"/>
      <c r="BD25" s="317"/>
      <c r="BE25" s="317"/>
      <c r="BF25" s="324">
        <f>Z25-AF25</f>
      </c>
      <c r="BG25" s="321">
        <f>IFERROR(AF25/Y25,0)</f>
      </c>
      <c r="BH25" s="238">
        <f>IFERROR(AF25/X25,0)</f>
      </c>
      <c r="BI25" s="284">
        <f>IFERROR((X25/SUM(X$8:X$25)),0)</f>
      </c>
      <c r="BJ25" s="321">
        <f>IFERROR((BF25/SUM(BF$3:BF222)),0)</f>
      </c>
      <c r="BK25" s="288">
        <f>BF25/'R&amp;H Portfolio'!Q$10</f>
      </c>
      <c r="BL25" s="324">
        <f>BI25*P25</f>
      </c>
      <c r="BM25" s="218"/>
      <c r="BN25" s="219">
        <f>IF(BM25="YES", BF25, "")</f>
      </c>
      <c r="BO25" s="17"/>
    </row>
    <row x14ac:dyDescent="0.25" r="26" customHeight="1" ht="15">
      <c r="A26" s="273">
        <v>25568.79196759259</v>
      </c>
      <c r="B26" s="203" t="s">
        <v>610</v>
      </c>
      <c r="C26" s="113" t="s">
        <v>611</v>
      </c>
      <c r="D26" s="113" t="s">
        <v>612</v>
      </c>
      <c r="E26" s="113" t="s">
        <v>613</v>
      </c>
      <c r="F26" s="113" t="s">
        <v>170</v>
      </c>
      <c r="G26" s="276">
        <v>664</v>
      </c>
      <c r="H26" s="277">
        <v>1.35</v>
      </c>
      <c r="I26" s="278">
        <v>0.1</v>
      </c>
      <c r="J26" s="279">
        <f>H26+I26</f>
      </c>
      <c r="K26" s="280">
        <v>60000</v>
      </c>
      <c r="L26" s="123">
        <f>K26*I26</f>
      </c>
      <c r="M26" s="123">
        <f>K26*J26</f>
      </c>
      <c r="N26" s="281">
        <v>147</v>
      </c>
      <c r="O26" s="16"/>
      <c r="P26" s="282">
        <f>IF(ISBLANK(N26),O26/4.3,N26/20)</f>
      </c>
      <c r="Q26" s="280">
        <v>5000</v>
      </c>
      <c r="R26" s="3"/>
      <c r="S26" s="283" t="s">
        <v>82</v>
      </c>
      <c r="T26" s="256">
        <f>IF(ISBLANK(R26),0,X26)</f>
      </c>
      <c r="U26" s="256">
        <f>IF(ISBLANK(S26),0,X26)</f>
      </c>
      <c r="V26" s="284">
        <f>IFERROR(Q26/K26,0)</f>
      </c>
      <c r="W26" s="123">
        <f>IFERROR(L26*V26,0)</f>
      </c>
      <c r="X26" s="256">
        <f>IFERROR(Q26+W26,0)</f>
      </c>
      <c r="Y26" s="256">
        <f>IFERROR(M26*V26,0)</f>
      </c>
      <c r="Z26" s="256">
        <f>Y26-(Y26*$B$1)</f>
      </c>
      <c r="AA26" s="285">
        <f>IFERROR(Z26/X26,0)</f>
      </c>
      <c r="AB26" s="286">
        <f>IFERROR(IF(ISBLANK(N26),Y26/O26,Y26/N26),0)</f>
      </c>
      <c r="AC26" s="286">
        <f>IFERROR(-1*(AB26*B$1),0)</f>
      </c>
      <c r="AD26" s="286">
        <f>IFERROR(SUM(AB26:AC26),0)</f>
      </c>
      <c r="AE26" s="286">
        <f>IF(ISBLANK(N26),AD26,AD26*5)</f>
      </c>
      <c r="AF26" s="287">
        <f>SUM(AG26:BE26)</f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18"/>
      <c r="AR26" s="18"/>
      <c r="AS26" s="18"/>
      <c r="AT26" s="1"/>
      <c r="AU26" s="18"/>
      <c r="AV26" s="18"/>
      <c r="AW26" s="18"/>
      <c r="AX26" s="278">
        <v>94.69</v>
      </c>
      <c r="AY26" s="278">
        <v>236.74</v>
      </c>
      <c r="AZ26" s="278">
        <v>189.38</v>
      </c>
      <c r="BA26" s="278">
        <v>189.39</v>
      </c>
      <c r="BB26" s="278">
        <v>236.74</v>
      </c>
      <c r="BC26" s="16"/>
      <c r="BD26" s="16"/>
      <c r="BE26" s="16"/>
      <c r="BF26" s="286">
        <f>Z26-AF26</f>
      </c>
      <c r="BG26" s="321">
        <f>IFERROR(AF26/Y26,0)</f>
      </c>
      <c r="BH26" s="214">
        <f>IFERROR(AF26/X26,0)</f>
      </c>
      <c r="BI26" s="284">
        <f>IFERROR((X26/SUM(X$26:X$40)),0)</f>
      </c>
      <c r="BJ26" s="284">
        <f>IFERROR((BF26/SUM(BF$3:BF223)),0)</f>
      </c>
      <c r="BK26" s="288">
        <f>BF26/'R&amp;H Portfolio'!Q$10</f>
      </c>
      <c r="BL26" s="286">
        <f>BI26*P26</f>
      </c>
      <c r="BM26" s="73"/>
      <c r="BN26" s="220">
        <f>IF(BM26="YES", BF26, "")</f>
      </c>
      <c r="BO26" s="17"/>
    </row>
    <row x14ac:dyDescent="0.25" r="27" customHeight="1" ht="15">
      <c r="A27" s="273">
        <v>25568.79196759259</v>
      </c>
      <c r="B27" s="203" t="s">
        <v>614</v>
      </c>
      <c r="C27" s="204" t="s">
        <v>615</v>
      </c>
      <c r="D27" s="113" t="s">
        <v>616</v>
      </c>
      <c r="E27" s="113" t="s">
        <v>537</v>
      </c>
      <c r="F27" s="113" t="s">
        <v>274</v>
      </c>
      <c r="G27" s="276">
        <v>659</v>
      </c>
      <c r="H27" s="277">
        <v>1.27</v>
      </c>
      <c r="I27" s="278">
        <v>0.06</v>
      </c>
      <c r="J27" s="279">
        <f>H27+I27</f>
      </c>
      <c r="K27" s="280">
        <v>40000</v>
      </c>
      <c r="L27" s="123">
        <f>K27*I27</f>
      </c>
      <c r="M27" s="123">
        <f>K27*J27</f>
      </c>
      <c r="N27" s="16"/>
      <c r="O27" s="281">
        <v>32</v>
      </c>
      <c r="P27" s="282">
        <f>IF(ISBLANK(N27),O27/4.3,N27/20)</f>
      </c>
      <c r="Q27" s="280">
        <v>3000</v>
      </c>
      <c r="R27" s="3"/>
      <c r="S27" s="283" t="s">
        <v>82</v>
      </c>
      <c r="T27" s="256">
        <f>IF(ISBLANK(R27),0,X27)</f>
      </c>
      <c r="U27" s="256">
        <f>IF(ISBLANK(S27),0,X27)</f>
      </c>
      <c r="V27" s="284">
        <f>IFERROR(Q27/K27,0)</f>
      </c>
      <c r="W27" s="123">
        <f>IFERROR(L27*V27,0)</f>
      </c>
      <c r="X27" s="256">
        <f>IFERROR(Q27+W27,0)</f>
      </c>
      <c r="Y27" s="256">
        <f>IFERROR(M27*V27,0)</f>
      </c>
      <c r="Z27" s="256">
        <f>Y27-(Y27*$B$1)</f>
      </c>
      <c r="AA27" s="285">
        <f>IFERROR(Z27/X27,0)</f>
      </c>
      <c r="AB27" s="286">
        <f>IFERROR(IF(ISBLANK(N27),Y27/O27,Y27/N27),0)</f>
      </c>
      <c r="AC27" s="286">
        <f>IFERROR(-1*(AB27*B$1),0)</f>
      </c>
      <c r="AD27" s="286">
        <f>IFERROR(SUM(AB27:AC27),0)</f>
      </c>
      <c r="AE27" s="286">
        <f>IF(ISBLANK(N27),AD27,AD27*5)</f>
      </c>
      <c r="AF27" s="287">
        <f>SUM(AG27:BE27)</f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18"/>
      <c r="AR27" s="18"/>
      <c r="AS27" s="18"/>
      <c r="AT27" s="1"/>
      <c r="AU27" s="18"/>
      <c r="AV27" s="18"/>
      <c r="AW27" s="18"/>
      <c r="AX27" s="18"/>
      <c r="AY27" s="18"/>
      <c r="AZ27" s="18"/>
      <c r="BA27" s="278">
        <v>119.7</v>
      </c>
      <c r="BB27" s="278">
        <v>119.7</v>
      </c>
      <c r="BC27" s="16"/>
      <c r="BD27" s="16"/>
      <c r="BE27" s="16"/>
      <c r="BF27" s="286">
        <f>Z27-AF27</f>
      </c>
      <c r="BG27" s="321">
        <f>IFERROR(AF27/Y27,0)</f>
      </c>
      <c r="BH27" s="214">
        <f>IFERROR(AF27/X27,0)</f>
      </c>
      <c r="BI27" s="284">
        <f>IFERROR((X27/SUM(X$26:X$40)),0)</f>
      </c>
      <c r="BJ27" s="284">
        <f>IFERROR((BF27/SUM(BF$3:BF224)),0)</f>
      </c>
      <c r="BK27" s="288">
        <f>BF27/'R&amp;H Portfolio'!Q$10</f>
      </c>
      <c r="BL27" s="286">
        <f>BI27*P27</f>
      </c>
      <c r="BM27" s="73"/>
      <c r="BN27" s="220">
        <f>IF(BM27="YES", BF27, "")</f>
      </c>
      <c r="BO27" s="17"/>
    </row>
    <row x14ac:dyDescent="0.25" r="28" customHeight="1" ht="15">
      <c r="A28" s="308">
        <v>25568.79196759259</v>
      </c>
      <c r="B28" s="224" t="s">
        <v>617</v>
      </c>
      <c r="C28" s="310"/>
      <c r="D28" s="310" t="s">
        <v>618</v>
      </c>
      <c r="E28" s="310" t="s">
        <v>293</v>
      </c>
      <c r="F28" s="310" t="s">
        <v>235</v>
      </c>
      <c r="G28" s="311">
        <v>701</v>
      </c>
      <c r="H28" s="312">
        <v>1.31</v>
      </c>
      <c r="I28" s="313">
        <v>0.12</v>
      </c>
      <c r="J28" s="314">
        <f>H28+I28</f>
      </c>
      <c r="K28" s="315">
        <v>150000</v>
      </c>
      <c r="L28" s="316">
        <f>K28*I28</f>
      </c>
      <c r="M28" s="316">
        <f>K28*J28</f>
      </c>
      <c r="N28" s="317"/>
      <c r="O28" s="317">
        <v>36</v>
      </c>
      <c r="P28" s="318">
        <f>IF(ISBLANK(N28),O28/4.3,N28/20)</f>
      </c>
      <c r="Q28" s="315">
        <v>5000</v>
      </c>
      <c r="R28" s="319" t="s">
        <v>133</v>
      </c>
      <c r="S28" s="319"/>
      <c r="T28" s="320">
        <f>IF(ISBLANK(R28),0,X28)</f>
      </c>
      <c r="U28" s="320">
        <f>IF(ISBLANK(S28),0,X28)</f>
      </c>
      <c r="V28" s="321">
        <f>IFERROR(Q28/K28,0)</f>
      </c>
      <c r="W28" s="316">
        <f>IFERROR(L28*V28,0)</f>
      </c>
      <c r="X28" s="320">
        <f>IFERROR(Q28+W28,0)</f>
      </c>
      <c r="Y28" s="320">
        <f>IFERROR(M28*V28,0)</f>
      </c>
      <c r="Z28" s="320">
        <f>Y28-(Y28*$B$1)</f>
      </c>
      <c r="AA28" s="323">
        <f>IFERROR(Z28/X28,0)</f>
      </c>
      <c r="AB28" s="324">
        <f>IFERROR(IF(ISBLANK(N28),Y28/O28,Y28/N28),0)</f>
      </c>
      <c r="AC28" s="324">
        <f>IFERROR(-1*(AB28*B$1),0)</f>
      </c>
      <c r="AD28" s="324">
        <f>IFERROR(SUM(AB28:AC28),0)</f>
      </c>
      <c r="AE28" s="324">
        <f>IF(ISBLANK(N28),AD28,AD28*5)</f>
      </c>
      <c r="AF28" s="325">
        <f>SUM(AG28:BE28)</f>
      </c>
      <c r="AG28" s="319"/>
      <c r="AH28" s="319"/>
      <c r="AI28" s="319"/>
      <c r="AJ28" s="319"/>
      <c r="AK28" s="319"/>
      <c r="AL28" s="319"/>
      <c r="AM28" s="319"/>
      <c r="AN28" s="319"/>
      <c r="AO28" s="319"/>
      <c r="AP28" s="319"/>
      <c r="AQ28" s="313"/>
      <c r="AR28" s="313"/>
      <c r="AS28" s="313"/>
      <c r="AT28" s="315"/>
      <c r="AU28" s="313"/>
      <c r="AV28" s="313"/>
      <c r="AW28" s="313"/>
      <c r="AX28" s="313"/>
      <c r="AY28" s="313"/>
      <c r="AZ28" s="313"/>
      <c r="BA28" s="313"/>
      <c r="BB28" s="313">
        <v>190.66</v>
      </c>
      <c r="BC28" s="317"/>
      <c r="BD28" s="317"/>
      <c r="BE28" s="317"/>
      <c r="BF28" s="324">
        <f>Z28-AF28</f>
      </c>
      <c r="BG28" s="321">
        <f>IFERROR(AF28/Y28,0)</f>
      </c>
      <c r="BH28" s="238">
        <f>IFERROR(AF28/X28,0)</f>
      </c>
      <c r="BI28" s="321">
        <f>IFERROR((X28/SUM(X$26:X$40)),0)</f>
      </c>
      <c r="BJ28" s="321">
        <f>IFERROR((BF28/SUM(BF$3:BF225)),0)</f>
      </c>
      <c r="BK28" s="288">
        <f>BF28/'R&amp;H Portfolio'!Q$10</f>
      </c>
      <c r="BL28" s="324">
        <f>BI28*P28</f>
      </c>
      <c r="BM28" s="218"/>
      <c r="BN28" s="219">
        <f>IF(BM28="YES", BF28, "")</f>
      </c>
      <c r="BO28" s="17"/>
    </row>
    <row x14ac:dyDescent="0.25" r="29" customHeight="1" ht="15">
      <c r="A29" s="273">
        <v>25568.79196759259</v>
      </c>
      <c r="B29" s="203" t="s">
        <v>619</v>
      </c>
      <c r="C29" s="3"/>
      <c r="D29" s="113" t="s">
        <v>620</v>
      </c>
      <c r="E29" s="113" t="s">
        <v>621</v>
      </c>
      <c r="F29" s="113" t="s">
        <v>160</v>
      </c>
      <c r="G29" s="276">
        <v>655</v>
      </c>
      <c r="H29" s="277">
        <v>1.34</v>
      </c>
      <c r="I29" s="278">
        <v>0.1</v>
      </c>
      <c r="J29" s="279">
        <f>H29+I29</f>
      </c>
      <c r="K29" s="280">
        <v>50000</v>
      </c>
      <c r="L29" s="123">
        <f>K29*I29</f>
      </c>
      <c r="M29" s="123">
        <f>K29*J29</f>
      </c>
      <c r="N29" s="281">
        <v>105</v>
      </c>
      <c r="O29" s="16"/>
      <c r="P29" s="282">
        <f>IF(ISBLANK(N29),O29/4.3,N29/20)</f>
      </c>
      <c r="Q29" s="280">
        <v>5000</v>
      </c>
      <c r="R29" s="3"/>
      <c r="S29" s="283" t="s">
        <v>82</v>
      </c>
      <c r="T29" s="256">
        <f>IF(ISBLANK(R29),0,X29)</f>
      </c>
      <c r="U29" s="256">
        <f>IF(ISBLANK(S29),0,X29)</f>
      </c>
      <c r="V29" s="284">
        <f>IFERROR(Q29/K29,0)</f>
      </c>
      <c r="W29" s="123">
        <f>IFERROR(L29*V29,0)</f>
      </c>
      <c r="X29" s="256">
        <f>IFERROR(Q29+W29,0)</f>
      </c>
      <c r="Y29" s="256">
        <f>IFERROR(M29*V29,0)</f>
      </c>
      <c r="Z29" s="256">
        <f>Y29-(Y29*$B$1)</f>
      </c>
      <c r="AA29" s="285">
        <f>IFERROR(Z29/X29,0)</f>
      </c>
      <c r="AB29" s="286">
        <f>IFERROR(IF(ISBLANK(N29),Y29/O29,Y29/N29),0)</f>
      </c>
      <c r="AC29" s="286">
        <f>IFERROR(-1*(AB29*B$1),0)</f>
      </c>
      <c r="AD29" s="286">
        <f>IFERROR(SUM(AB29:AC29),0)</f>
      </c>
      <c r="AE29" s="286">
        <f>IF(ISBLANK(N29),AD29,AD29*5)</f>
      </c>
      <c r="AF29" s="287">
        <f>SUM(AG29:BE29)</f>
      </c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18"/>
      <c r="AR29" s="18"/>
      <c r="AS29" s="18"/>
      <c r="AT29" s="1"/>
      <c r="AU29" s="18"/>
      <c r="AV29" s="18"/>
      <c r="AW29" s="18"/>
      <c r="AX29" s="18"/>
      <c r="AY29" s="18"/>
      <c r="AZ29" s="18"/>
      <c r="BA29" s="18"/>
      <c r="BB29" s="18"/>
      <c r="BC29" s="16"/>
      <c r="BD29" s="16"/>
      <c r="BE29" s="16"/>
      <c r="BF29" s="286">
        <f>Z29-AF29</f>
      </c>
      <c r="BG29" s="321">
        <f>IFERROR(AF29/Y29,0)</f>
      </c>
      <c r="BH29" s="214">
        <f>IFERROR(AF29/X29,0)</f>
      </c>
      <c r="BI29" s="284">
        <f>IFERROR((X29/SUM(X$26:X$40)),0)</f>
      </c>
      <c r="BJ29" s="284">
        <f>IFERROR((BF29/SUM(BF$3:BF226)),0)</f>
      </c>
      <c r="BK29" s="288">
        <f>BF29/'R&amp;H Portfolio'!Q$10</f>
      </c>
      <c r="BL29" s="286">
        <f>BI29*P29</f>
      </c>
      <c r="BM29" s="73"/>
      <c r="BN29" s="220">
        <f>IF(BM29="YES", BF29, "")</f>
      </c>
      <c r="BO29" s="17"/>
    </row>
    <row x14ac:dyDescent="0.25" r="30" customHeight="1" ht="15">
      <c r="A30" s="273">
        <v>25568.79196759259</v>
      </c>
      <c r="B30" s="203" t="s">
        <v>622</v>
      </c>
      <c r="C30" s="3"/>
      <c r="D30" s="113" t="s">
        <v>623</v>
      </c>
      <c r="E30" s="113" t="s">
        <v>164</v>
      </c>
      <c r="F30" s="113" t="s">
        <v>226</v>
      </c>
      <c r="G30" s="276">
        <v>672</v>
      </c>
      <c r="H30" s="277">
        <v>1.32</v>
      </c>
      <c r="I30" s="278">
        <v>0.12</v>
      </c>
      <c r="J30" s="279">
        <f>H30+I30</f>
      </c>
      <c r="K30" s="280">
        <v>75000</v>
      </c>
      <c r="L30" s="123">
        <f>K30*I30</f>
      </c>
      <c r="M30" s="123">
        <f>K30*J30</f>
      </c>
      <c r="N30" s="16"/>
      <c r="O30" s="281">
        <v>36</v>
      </c>
      <c r="P30" s="282">
        <f>IF(ISBLANK(N30),O30/4.3,N30/20)</f>
      </c>
      <c r="Q30" s="280">
        <v>8000</v>
      </c>
      <c r="R30" s="283" t="s">
        <v>133</v>
      </c>
      <c r="S30" s="3"/>
      <c r="T30" s="256">
        <f>IF(ISBLANK(R30),0,X30)</f>
      </c>
      <c r="U30" s="256">
        <f>IF(ISBLANK(S30),0,X30)</f>
      </c>
      <c r="V30" s="284">
        <f>IFERROR(Q30/K30,0)</f>
      </c>
      <c r="W30" s="123">
        <f>IFERROR(L30*V30,0)</f>
      </c>
      <c r="X30" s="256">
        <f>IFERROR(Q30+W30,0)</f>
      </c>
      <c r="Y30" s="256">
        <f>IFERROR(M30*V30,0)</f>
      </c>
      <c r="Z30" s="256">
        <f>Y30-(Y30*$B$1)</f>
      </c>
      <c r="AA30" s="285">
        <f>IFERROR(Z30/X30,0)</f>
      </c>
      <c r="AB30" s="286">
        <f>IFERROR(IF(ISBLANK(N30),Y30/O30,Y30/N30),0)</f>
      </c>
      <c r="AC30" s="286">
        <f>IFERROR(-1*(AB30*B$1),0)</f>
      </c>
      <c r="AD30" s="286">
        <f>IFERROR(SUM(AB30:AC30),0)</f>
      </c>
      <c r="AE30" s="286">
        <f>IF(ISBLANK(N30),AD30,AD30*5)</f>
      </c>
      <c r="AF30" s="287">
        <f>SUM(AG30:BE30)</f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18"/>
      <c r="AR30" s="18"/>
      <c r="AS30" s="18"/>
      <c r="AT30" s="1"/>
      <c r="AU30" s="18"/>
      <c r="AV30" s="18"/>
      <c r="AW30" s="18"/>
      <c r="AX30" s="18"/>
      <c r="AY30" s="18"/>
      <c r="AZ30" s="18"/>
      <c r="BA30" s="18"/>
      <c r="BB30" s="18"/>
      <c r="BC30" s="16"/>
      <c r="BD30" s="16"/>
      <c r="BE30" s="16"/>
      <c r="BF30" s="286">
        <f>Z30-AF30</f>
      </c>
      <c r="BG30" s="321">
        <f>IFERROR(AF30/Y30,0)</f>
      </c>
      <c r="BH30" s="214">
        <f>IFERROR(AF30/X30,0)</f>
      </c>
      <c r="BI30" s="284">
        <f>IFERROR((X30/SUM(X$26:X$40)),0)</f>
      </c>
      <c r="BJ30" s="284">
        <f>IFERROR((BF30/SUM(BF$3:BF227)),0)</f>
      </c>
      <c r="BK30" s="288">
        <f>BF30/'R&amp;H Portfolio'!Q$10</f>
      </c>
      <c r="BL30" s="286">
        <f>BI30*P30</f>
      </c>
      <c r="BM30" s="73"/>
      <c r="BN30" s="220">
        <f>IF(BM30="YES", BF30, "")</f>
      </c>
      <c r="BO30" s="17"/>
    </row>
    <row x14ac:dyDescent="0.25" r="31" customHeight="1" ht="15">
      <c r="A31" s="273">
        <v>25568.79196759259</v>
      </c>
      <c r="B31" s="203" t="s">
        <v>624</v>
      </c>
      <c r="C31" s="204" t="s">
        <v>625</v>
      </c>
      <c r="D31" s="113" t="s">
        <v>626</v>
      </c>
      <c r="E31" s="113" t="s">
        <v>164</v>
      </c>
      <c r="F31" s="113" t="s">
        <v>274</v>
      </c>
      <c r="G31" s="276">
        <v>730</v>
      </c>
      <c r="H31" s="277">
        <v>1.3</v>
      </c>
      <c r="I31" s="278">
        <v>0.12</v>
      </c>
      <c r="J31" s="279">
        <f>H31+I31</f>
      </c>
      <c r="K31" s="280">
        <v>45000</v>
      </c>
      <c r="L31" s="123">
        <f>K31*I31</f>
      </c>
      <c r="M31" s="123">
        <f>K31*J31</f>
      </c>
      <c r="N31" s="281">
        <v>189</v>
      </c>
      <c r="O31" s="16"/>
      <c r="P31" s="282">
        <f>IF(ISBLANK(N31),O31/4.3,N31/20)</f>
      </c>
      <c r="Q31" s="280">
        <v>5000</v>
      </c>
      <c r="R31" s="3"/>
      <c r="S31" s="283" t="s">
        <v>82</v>
      </c>
      <c r="T31" s="256">
        <f>IF(ISBLANK(R31),0,X31)</f>
      </c>
      <c r="U31" s="256">
        <f>IF(ISBLANK(S31),0,X31)</f>
      </c>
      <c r="V31" s="284">
        <f>IFERROR(Q31/K31,0)</f>
      </c>
      <c r="W31" s="123">
        <f>IFERROR(L31*V31,0)</f>
      </c>
      <c r="X31" s="256">
        <f>IFERROR(Q31+W31,0)</f>
      </c>
      <c r="Y31" s="256">
        <f>IFERROR(M31*V31,0)</f>
      </c>
      <c r="Z31" s="256">
        <f>Y31-(Y31*$B$1)</f>
      </c>
      <c r="AA31" s="285">
        <f>IFERROR(Z31/X31,0)</f>
      </c>
      <c r="AB31" s="286">
        <f>IFERROR(IF(ISBLANK(N31),Y31/O31,Y31/N31),0)</f>
      </c>
      <c r="AC31" s="286">
        <f>IFERROR(-1*(AB31*B$1),0)</f>
      </c>
      <c r="AD31" s="286">
        <f>IFERROR(SUM(AB31:AC31),0)</f>
      </c>
      <c r="AE31" s="286">
        <f>IF(ISBLANK(N31),AD31,AD31*5)</f>
      </c>
      <c r="AF31" s="287">
        <f>SUM(AG31:BE31)</f>
      </c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18"/>
      <c r="AR31" s="18"/>
      <c r="AS31" s="18"/>
      <c r="AT31" s="1"/>
      <c r="AU31" s="18"/>
      <c r="AV31" s="18"/>
      <c r="AW31" s="18"/>
      <c r="AX31" s="18"/>
      <c r="AY31" s="18"/>
      <c r="AZ31" s="18"/>
      <c r="BA31" s="18"/>
      <c r="BB31" s="18"/>
      <c r="BC31" s="16"/>
      <c r="BD31" s="16"/>
      <c r="BE31" s="16"/>
      <c r="BF31" s="286">
        <f>Z31-AF31</f>
      </c>
      <c r="BG31" s="321">
        <f>IFERROR(AF31/Y31,0)</f>
      </c>
      <c r="BH31" s="214">
        <f>IFERROR(AF31/X31,0)</f>
      </c>
      <c r="BI31" s="284">
        <f>IFERROR((X31/SUM(X$26:X$40)),0)</f>
      </c>
      <c r="BJ31" s="284">
        <f>IFERROR((BF31/SUM(BF$3:BF228)),0)</f>
      </c>
      <c r="BK31" s="288">
        <f>BF31/'R&amp;H Portfolio'!Q$10</f>
      </c>
      <c r="BL31" s="286">
        <f>BI31*P31</f>
      </c>
      <c r="BM31" s="3"/>
      <c r="BN31" s="3"/>
      <c r="BO31" s="17"/>
    </row>
    <row x14ac:dyDescent="0.25" r="32" customHeight="1" ht="15">
      <c r="A32" s="273">
        <v>25568.79196759259</v>
      </c>
      <c r="B32" s="203" t="s">
        <v>627</v>
      </c>
      <c r="C32" s="3"/>
      <c r="D32" s="113" t="s">
        <v>628</v>
      </c>
      <c r="E32" s="113" t="s">
        <v>629</v>
      </c>
      <c r="F32" s="113" t="s">
        <v>192</v>
      </c>
      <c r="G32" s="276">
        <v>701</v>
      </c>
      <c r="H32" s="277">
        <v>1.29</v>
      </c>
      <c r="I32" s="278">
        <v>0.12</v>
      </c>
      <c r="J32" s="279">
        <f>H32+I32</f>
      </c>
      <c r="K32" s="280">
        <v>90000</v>
      </c>
      <c r="L32" s="123">
        <f>K32*I32</f>
      </c>
      <c r="M32" s="123">
        <f>K32*J32</f>
      </c>
      <c r="N32" s="281">
        <v>168</v>
      </c>
      <c r="O32" s="16"/>
      <c r="P32" s="282">
        <f>IF(ISBLANK(N32),O32/4.3,N32/20)</f>
      </c>
      <c r="Q32" s="280">
        <v>9000</v>
      </c>
      <c r="R32" s="283" t="s">
        <v>133</v>
      </c>
      <c r="S32" s="3"/>
      <c r="T32" s="256">
        <f>IF(ISBLANK(R32),0,X32)</f>
      </c>
      <c r="U32" s="256">
        <f>IF(ISBLANK(S32),0,X32)</f>
      </c>
      <c r="V32" s="284">
        <f>IFERROR(Q32/K32,0)</f>
      </c>
      <c r="W32" s="123">
        <f>IFERROR(L32*V32,0)</f>
      </c>
      <c r="X32" s="256">
        <f>IFERROR(Q32+W32,0)</f>
      </c>
      <c r="Y32" s="256">
        <f>IFERROR(M32*V32,0)</f>
      </c>
      <c r="Z32" s="256">
        <f>Y32-(Y32*$B$1)</f>
      </c>
      <c r="AA32" s="285">
        <f>IFERROR(Z32/X32,0)</f>
      </c>
      <c r="AB32" s="286">
        <f>IFERROR(IF(ISBLANK(N32),Y32/O32,Y32/N32),0)</f>
      </c>
      <c r="AC32" s="286">
        <f>IFERROR(-1*(AB32*B$1),0)</f>
      </c>
      <c r="AD32" s="286">
        <f>IFERROR(SUM(AB32:AC32),0)</f>
      </c>
      <c r="AE32" s="286">
        <f>IF(ISBLANK(N32),AD32,AD32*5)</f>
      </c>
      <c r="AF32" s="287">
        <f>SUM(AG32:BE32)</f>
      </c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18"/>
      <c r="AR32" s="18"/>
      <c r="AS32" s="18"/>
      <c r="AT32" s="1"/>
      <c r="AU32" s="18"/>
      <c r="AV32" s="18"/>
      <c r="AW32" s="18"/>
      <c r="AX32" s="18"/>
      <c r="AY32" s="18"/>
      <c r="AZ32" s="18"/>
      <c r="BA32" s="18"/>
      <c r="BB32" s="18"/>
      <c r="BC32" s="16"/>
      <c r="BD32" s="16"/>
      <c r="BE32" s="16"/>
      <c r="BF32" s="286">
        <f>Z32-AF32</f>
      </c>
      <c r="BG32" s="321">
        <f>IFERROR(AF32/Y32,0)</f>
      </c>
      <c r="BH32" s="214">
        <f>IFERROR(AF32/X32,0)</f>
      </c>
      <c r="BI32" s="284">
        <f>IFERROR((X32/SUM(X$26:X$40)),0)</f>
      </c>
      <c r="BJ32" s="284">
        <f>IFERROR((BF32/SUM(BF$3:BF229)),0)</f>
      </c>
      <c r="BK32" s="288">
        <f>BF32/'R&amp;H Portfolio'!Q$10</f>
      </c>
      <c r="BL32" s="286">
        <f>BI32*P32</f>
      </c>
      <c r="BM32" s="3"/>
      <c r="BN32" s="3"/>
      <c r="BO32" s="17"/>
    </row>
    <row x14ac:dyDescent="0.25" r="33" customHeight="1" ht="15">
      <c r="A33" s="17"/>
      <c r="B33" s="14"/>
      <c r="C33" s="3"/>
      <c r="D33" s="3"/>
      <c r="E33" s="3"/>
      <c r="F33" s="3"/>
      <c r="G33" s="276"/>
      <c r="H33" s="18"/>
      <c r="I33" s="18"/>
      <c r="J33" s="279">
        <f>H33+I33</f>
      </c>
      <c r="K33" s="280"/>
      <c r="L33" s="123">
        <f>K33*I33</f>
      </c>
      <c r="M33" s="123">
        <f>K33*J33</f>
      </c>
      <c r="N33" s="16"/>
      <c r="O33" s="16"/>
      <c r="P33" s="282">
        <f>IF(ISBLANK(N33),O33/4.3,N33/20)</f>
      </c>
      <c r="Q33" s="280"/>
      <c r="R33" s="3"/>
      <c r="S33" s="3"/>
      <c r="T33" s="256">
        <f>IF(ISBLANK(R33),0,X33)</f>
      </c>
      <c r="U33" s="256">
        <f>IF(ISBLANK(S33),0,X33)</f>
      </c>
      <c r="V33" s="284">
        <f>IFERROR(Q33/K33,0)</f>
      </c>
      <c r="W33" s="123">
        <f>IFERROR(L33*V33,0)</f>
      </c>
      <c r="X33" s="256">
        <f>IFERROR(Q33+W33,0)</f>
      </c>
      <c r="Y33" s="256">
        <f>IFERROR(M33*V33,0)</f>
      </c>
      <c r="Z33" s="256">
        <f>Y33-(Y33*$B$1)</f>
      </c>
      <c r="AA33" s="285">
        <f>IFERROR(Z33/X33,0)</f>
      </c>
      <c r="AB33" s="286">
        <f>IFERROR(IF(ISBLANK(N33),Y33/O33,Y33/N33),0)</f>
      </c>
      <c r="AC33" s="286">
        <f>IFERROR(-1*(AB33*B$1),0)</f>
      </c>
      <c r="AD33" s="286">
        <f>IFERROR(SUM(AB33:AC33),0)</f>
      </c>
      <c r="AE33" s="286">
        <f>IF(ISBLANK(N33),AD33,AD33*5)</f>
      </c>
      <c r="AF33" s="287">
        <f>SUM(AG33:BE33)</f>
      </c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18"/>
      <c r="AR33" s="18"/>
      <c r="AS33" s="18"/>
      <c r="AT33" s="1"/>
      <c r="AU33" s="18"/>
      <c r="AV33" s="18"/>
      <c r="AW33" s="18"/>
      <c r="AX33" s="18"/>
      <c r="AY33" s="18"/>
      <c r="AZ33" s="18"/>
      <c r="BA33" s="18"/>
      <c r="BB33" s="18"/>
      <c r="BC33" s="16"/>
      <c r="BD33" s="16"/>
      <c r="BE33" s="16"/>
      <c r="BF33" s="286">
        <f>Z33-AF33</f>
      </c>
      <c r="BG33" s="321">
        <f>IFERROR(AF33/Y33,0)</f>
      </c>
      <c r="BH33" s="214">
        <f>IFERROR(AF33/X33,0)</f>
      </c>
      <c r="BI33" s="284">
        <f>IFERROR((X33/SUM(X$26:X$40)),0)</f>
      </c>
      <c r="BJ33" s="284">
        <f>IFERROR((BF33/SUM(BF$3:BF230)),0)</f>
      </c>
      <c r="BK33" s="288">
        <f>BF33/'R&amp;H Portfolio'!Q$10</f>
      </c>
      <c r="BL33" s="286">
        <f>BI33*P33</f>
      </c>
      <c r="BM33" s="3"/>
      <c r="BN33" s="3"/>
      <c r="BO33" s="17"/>
    </row>
    <row x14ac:dyDescent="0.25" r="34" customHeight="1" ht="15">
      <c r="A34" s="17"/>
      <c r="B34" s="14"/>
      <c r="C34" s="3"/>
      <c r="D34" s="3"/>
      <c r="E34" s="3"/>
      <c r="F34" s="3"/>
      <c r="G34" s="276"/>
      <c r="H34" s="18"/>
      <c r="I34" s="18"/>
      <c r="J34" s="279">
        <f>H34+I34</f>
      </c>
      <c r="K34" s="280"/>
      <c r="L34" s="123">
        <f>K34*I34</f>
      </c>
      <c r="M34" s="123">
        <f>K34*J34</f>
      </c>
      <c r="N34" s="16"/>
      <c r="O34" s="16"/>
      <c r="P34" s="282">
        <f>IF(ISBLANK(N34),O34/4.3,N34/20)</f>
      </c>
      <c r="Q34" s="280"/>
      <c r="R34" s="3"/>
      <c r="S34" s="3"/>
      <c r="T34" s="256">
        <f>IF(ISBLANK(R34),0,X34)</f>
      </c>
      <c r="U34" s="256">
        <f>IF(ISBLANK(S34),0,X34)</f>
      </c>
      <c r="V34" s="284">
        <f>IFERROR(Q34/K34,0)</f>
      </c>
      <c r="W34" s="123">
        <f>IFERROR(L34*V34,0)</f>
      </c>
      <c r="X34" s="256">
        <f>IFERROR(Q34+W34,0)</f>
      </c>
      <c r="Y34" s="256">
        <f>IFERROR(M34*V34,0)</f>
      </c>
      <c r="Z34" s="256">
        <f>Y34-(Y34*$B$1)</f>
      </c>
      <c r="AA34" s="285">
        <f>IFERROR(Z34/X34,0)</f>
      </c>
      <c r="AB34" s="286">
        <f>IFERROR(IF(ISBLANK(N34),Y34/O34,Y34/N34),0)</f>
      </c>
      <c r="AC34" s="286">
        <f>IFERROR(-1*(AB34*B$1),0)</f>
      </c>
      <c r="AD34" s="286">
        <f>IFERROR(SUM(AB34:AC34),0)</f>
      </c>
      <c r="AE34" s="286">
        <f>IF(ISBLANK(N34),AD34,AD34*5)</f>
      </c>
      <c r="AF34" s="287">
        <f>SUM(AG34:BE34)</f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18"/>
      <c r="AR34" s="18"/>
      <c r="AS34" s="18"/>
      <c r="AT34" s="1"/>
      <c r="AU34" s="18"/>
      <c r="AV34" s="18"/>
      <c r="AW34" s="18"/>
      <c r="AX34" s="18"/>
      <c r="AY34" s="18"/>
      <c r="AZ34" s="18"/>
      <c r="BA34" s="18"/>
      <c r="BB34" s="18"/>
      <c r="BC34" s="16"/>
      <c r="BD34" s="16"/>
      <c r="BE34" s="16"/>
      <c r="BF34" s="286">
        <f>Z34-AF34</f>
      </c>
      <c r="BG34" s="321">
        <f>IFERROR(AF34/Y34,0)</f>
      </c>
      <c r="BH34" s="214">
        <f>IFERROR(AF34/X34,0)</f>
      </c>
      <c r="BI34" s="284">
        <f>IFERROR((X34/SUM(X$26:X$40)),0)</f>
      </c>
      <c r="BJ34" s="284">
        <f>IFERROR((BF34/SUM(BF$3:BF231)),0)</f>
      </c>
      <c r="BK34" s="288">
        <f>BF34/'R&amp;H Portfolio'!Q$10</f>
      </c>
      <c r="BL34" s="286">
        <f>BI34*P34</f>
      </c>
      <c r="BM34" s="3"/>
      <c r="BN34" s="3"/>
      <c r="BO34" s="17"/>
    </row>
    <row x14ac:dyDescent="0.25" r="35" customHeight="1" ht="15">
      <c r="A35" s="17"/>
      <c r="B35" s="14"/>
      <c r="C35" s="3"/>
      <c r="D35" s="3"/>
      <c r="E35" s="3"/>
      <c r="F35" s="3"/>
      <c r="G35" s="276"/>
      <c r="H35" s="18"/>
      <c r="I35" s="18"/>
      <c r="J35" s="279">
        <f>H35+I35</f>
      </c>
      <c r="K35" s="280"/>
      <c r="L35" s="123">
        <f>K35*I35</f>
      </c>
      <c r="M35" s="123">
        <f>K35*J35</f>
      </c>
      <c r="N35" s="16"/>
      <c r="O35" s="16"/>
      <c r="P35" s="282">
        <f>IF(ISBLANK(N35),O35/4.3,N35/20)</f>
      </c>
      <c r="Q35" s="280"/>
      <c r="R35" s="3"/>
      <c r="S35" s="3"/>
      <c r="T35" s="256">
        <f>IF(ISBLANK(R35),0,X35)</f>
      </c>
      <c r="U35" s="256">
        <f>IF(ISBLANK(S35),0,X35)</f>
      </c>
      <c r="V35" s="284">
        <f>IFERROR(Q35/K35,0)</f>
      </c>
      <c r="W35" s="123">
        <f>IFERROR(L35*V35,0)</f>
      </c>
      <c r="X35" s="256">
        <f>IFERROR(Q35+W35,0)</f>
      </c>
      <c r="Y35" s="256">
        <f>IFERROR(M35*V35,0)</f>
      </c>
      <c r="Z35" s="256">
        <f>Y35-(Y35*$B$1)</f>
      </c>
      <c r="AA35" s="285">
        <f>IFERROR(Z35/X35,0)</f>
      </c>
      <c r="AB35" s="286">
        <f>IFERROR(IF(ISBLANK(N35),Y35/O35,Y35/N35),0)</f>
      </c>
      <c r="AC35" s="286">
        <f>IFERROR(-1*(AB35*B$1),0)</f>
      </c>
      <c r="AD35" s="286">
        <f>IFERROR(SUM(AB35:AC35),0)</f>
      </c>
      <c r="AE35" s="286">
        <f>IF(ISBLANK(N35),AD35,AD35*5)</f>
      </c>
      <c r="AF35" s="287">
        <f>SUM(AG35:BE35)</f>
      </c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8"/>
      <c r="AR35" s="18"/>
      <c r="AS35" s="18"/>
      <c r="AT35" s="1"/>
      <c r="AU35" s="18"/>
      <c r="AV35" s="18"/>
      <c r="AW35" s="18"/>
      <c r="AX35" s="18"/>
      <c r="AY35" s="18"/>
      <c r="AZ35" s="18"/>
      <c r="BA35" s="18"/>
      <c r="BB35" s="18"/>
      <c r="BC35" s="16"/>
      <c r="BD35" s="16"/>
      <c r="BE35" s="16"/>
      <c r="BF35" s="286">
        <f>Z35-AF35</f>
      </c>
      <c r="BG35" s="321">
        <f>IFERROR(AF35/Y35,0)</f>
      </c>
      <c r="BH35" s="214">
        <f>IFERROR(AF35/X35,0)</f>
      </c>
      <c r="BI35" s="284">
        <f>IFERROR((X35/SUM(X$26:X$40)),0)</f>
      </c>
      <c r="BJ35" s="284">
        <f>IFERROR((BF35/SUM(BF$3:BF232)),0)</f>
      </c>
      <c r="BK35" s="288">
        <f>BF35/'R&amp;H Portfolio'!Q$10</f>
      </c>
      <c r="BL35" s="286">
        <f>BI35*P35</f>
      </c>
      <c r="BM35" s="3"/>
      <c r="BN35" s="3"/>
      <c r="BO35" s="17"/>
    </row>
    <row x14ac:dyDescent="0.25" r="36" customHeight="1" ht="15">
      <c r="A36" s="17"/>
      <c r="B36" s="14"/>
      <c r="C36" s="3"/>
      <c r="D36" s="3"/>
      <c r="E36" s="3"/>
      <c r="F36" s="3"/>
      <c r="G36" s="276"/>
      <c r="H36" s="18"/>
      <c r="I36" s="18"/>
      <c r="J36" s="279">
        <f>H36+I36</f>
      </c>
      <c r="K36" s="280"/>
      <c r="L36" s="123">
        <f>K36*I36</f>
      </c>
      <c r="M36" s="123">
        <f>K36*J36</f>
      </c>
      <c r="N36" s="16"/>
      <c r="O36" s="16"/>
      <c r="P36" s="282">
        <f>IF(ISBLANK(N36),O36/4.3,N36/20)</f>
      </c>
      <c r="Q36" s="280"/>
      <c r="R36" s="3"/>
      <c r="S36" s="3"/>
      <c r="T36" s="256">
        <f>IF(ISBLANK(R36),0,X36)</f>
      </c>
      <c r="U36" s="256">
        <f>IF(ISBLANK(S36),0,X36)</f>
      </c>
      <c r="V36" s="284">
        <f>IFERROR(Q36/K36,0)</f>
      </c>
      <c r="W36" s="123">
        <f>IFERROR(L36*V36,0)</f>
      </c>
      <c r="X36" s="256">
        <f>IFERROR(Q36+W36,0)</f>
      </c>
      <c r="Y36" s="256">
        <f>IFERROR(M36*V36,0)</f>
      </c>
      <c r="Z36" s="256">
        <f>Y36-(Y36*$B$1)</f>
      </c>
      <c r="AA36" s="285">
        <f>IFERROR(Z36/X36,0)</f>
      </c>
      <c r="AB36" s="286">
        <f>IFERROR(IF(ISBLANK(N36),Y36/O36,Y36/N36),0)</f>
      </c>
      <c r="AC36" s="286">
        <f>IFERROR(-1*(AB36*B$1),0)</f>
      </c>
      <c r="AD36" s="286">
        <f>IFERROR(SUM(AB36:AC36),0)</f>
      </c>
      <c r="AE36" s="286">
        <f>IF(ISBLANK(N36),AD36,AD36*5)</f>
      </c>
      <c r="AF36" s="287">
        <f>SUM(AG36:BE36)</f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18"/>
      <c r="AR36" s="18"/>
      <c r="AS36" s="18"/>
      <c r="AT36" s="1"/>
      <c r="AU36" s="18"/>
      <c r="AV36" s="18"/>
      <c r="AW36" s="18"/>
      <c r="AX36" s="18"/>
      <c r="AY36" s="18"/>
      <c r="AZ36" s="18"/>
      <c r="BA36" s="18"/>
      <c r="BB36" s="18"/>
      <c r="BC36" s="16"/>
      <c r="BD36" s="16"/>
      <c r="BE36" s="16"/>
      <c r="BF36" s="286">
        <f>Z36-AF36</f>
      </c>
      <c r="BG36" s="321">
        <f>IFERROR(AF36/Y36,0)</f>
      </c>
      <c r="BH36" s="214">
        <f>IFERROR(AF36/X36,0)</f>
      </c>
      <c r="BI36" s="284">
        <f>IFERROR((X36/SUM(X$26:X$40)),0)</f>
      </c>
      <c r="BJ36" s="284">
        <f>IFERROR((BF36/SUM(BF$3:BF233)),0)</f>
      </c>
      <c r="BK36" s="288">
        <f>BF36/'R&amp;H Portfolio'!Q$10</f>
      </c>
      <c r="BL36" s="286">
        <f>BI36*P36</f>
      </c>
      <c r="BM36" s="3"/>
      <c r="BN36" s="3"/>
      <c r="BO36" s="17"/>
    </row>
    <row x14ac:dyDescent="0.25" r="37" customHeight="1" ht="15">
      <c r="A37" s="17"/>
      <c r="B37" s="14"/>
      <c r="C37" s="3"/>
      <c r="D37" s="3"/>
      <c r="E37" s="3"/>
      <c r="F37" s="3"/>
      <c r="G37" s="276"/>
      <c r="H37" s="18"/>
      <c r="I37" s="18"/>
      <c r="J37" s="279">
        <f>H37+I37</f>
      </c>
      <c r="K37" s="280"/>
      <c r="L37" s="123">
        <f>K37*I37</f>
      </c>
      <c r="M37" s="123">
        <f>K37*J37</f>
      </c>
      <c r="N37" s="16"/>
      <c r="O37" s="16"/>
      <c r="P37" s="282">
        <f>IF(ISBLANK(N37),O37/4.3,N37/20)</f>
      </c>
      <c r="Q37" s="280"/>
      <c r="R37" s="3"/>
      <c r="S37" s="3"/>
      <c r="T37" s="256">
        <f>IF(ISBLANK(R37),0,X37)</f>
      </c>
      <c r="U37" s="256">
        <f>IF(ISBLANK(S37),0,X37)</f>
      </c>
      <c r="V37" s="284">
        <f>IFERROR(Q37/K37,0)</f>
      </c>
      <c r="W37" s="123">
        <f>IFERROR(L37*V37,0)</f>
      </c>
      <c r="X37" s="256">
        <f>IFERROR(Q37+W37,0)</f>
      </c>
      <c r="Y37" s="256">
        <f>IFERROR(M37*V37,0)</f>
      </c>
      <c r="Z37" s="256">
        <f>Y37-(Y37*$B$1)</f>
      </c>
      <c r="AA37" s="285">
        <f>IFERROR(Z37/X37,0)</f>
      </c>
      <c r="AB37" s="286">
        <f>IFERROR(IF(ISBLANK(N37),Y37/O37,Y37/N37),0)</f>
      </c>
      <c r="AC37" s="286">
        <f>IFERROR(-1*(AB37*B$1),0)</f>
      </c>
      <c r="AD37" s="286">
        <f>IFERROR(SUM(AB37:AC37),0)</f>
      </c>
      <c r="AE37" s="286">
        <f>IF(ISBLANK(N37),AD37,AD37*5)</f>
      </c>
      <c r="AF37" s="287">
        <f>SUM(AG37:BE37)</f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18"/>
      <c r="AR37" s="18"/>
      <c r="AS37" s="18"/>
      <c r="AT37" s="1"/>
      <c r="AU37" s="18"/>
      <c r="AV37" s="18"/>
      <c r="AW37" s="18"/>
      <c r="AX37" s="18"/>
      <c r="AY37" s="18"/>
      <c r="AZ37" s="18"/>
      <c r="BA37" s="18"/>
      <c r="BB37" s="18"/>
      <c r="BC37" s="16"/>
      <c r="BD37" s="16"/>
      <c r="BE37" s="16"/>
      <c r="BF37" s="286">
        <f>Z37-AF37</f>
      </c>
      <c r="BG37" s="321">
        <f>IFERROR(AF37/Y37,0)</f>
      </c>
      <c r="BH37" s="214">
        <f>IFERROR(AF37/X37,0)</f>
      </c>
      <c r="BI37" s="284">
        <f>IFERROR((X37/SUM(X$26:X$40)),0)</f>
      </c>
      <c r="BJ37" s="284">
        <f>IFERROR((BF37/SUM(BF$3:BF234)),0)</f>
      </c>
      <c r="BK37" s="288">
        <f>BF37/'R&amp;H Portfolio'!Q$10</f>
      </c>
      <c r="BL37" s="286">
        <f>BI37*P37</f>
      </c>
      <c r="BM37" s="3"/>
      <c r="BN37" s="3"/>
      <c r="BO37" s="17"/>
    </row>
    <row x14ac:dyDescent="0.25" r="38" customHeight="1" ht="15">
      <c r="A38" s="17"/>
      <c r="B38" s="14"/>
      <c r="C38" s="3"/>
      <c r="D38" s="3"/>
      <c r="E38" s="3"/>
      <c r="F38" s="3"/>
      <c r="G38" s="276"/>
      <c r="H38" s="18"/>
      <c r="I38" s="18"/>
      <c r="J38" s="279">
        <f>H38+I38</f>
      </c>
      <c r="K38" s="280"/>
      <c r="L38" s="123">
        <f>K38*I38</f>
      </c>
      <c r="M38" s="123">
        <f>K38*J38</f>
      </c>
      <c r="N38" s="16"/>
      <c r="O38" s="16"/>
      <c r="P38" s="282">
        <f>IF(ISBLANK(N38),O38/4.3,N38/20)</f>
      </c>
      <c r="Q38" s="280"/>
      <c r="R38" s="3"/>
      <c r="S38" s="3"/>
      <c r="T38" s="256">
        <f>IF(ISBLANK(R38),0,X38)</f>
      </c>
      <c r="U38" s="256">
        <f>IF(ISBLANK(S38),0,X38)</f>
      </c>
      <c r="V38" s="284">
        <f>IFERROR(Q38/K38,0)</f>
      </c>
      <c r="W38" s="123">
        <f>IFERROR(L38*V38,0)</f>
      </c>
      <c r="X38" s="256">
        <f>IFERROR(Q38+W38,0)</f>
      </c>
      <c r="Y38" s="256">
        <f>IFERROR(M38*V38,0)</f>
      </c>
      <c r="Z38" s="256">
        <f>Y38-(Y38*$B$1)</f>
      </c>
      <c r="AA38" s="285">
        <f>IFERROR(Z38/X38,0)</f>
      </c>
      <c r="AB38" s="286">
        <f>IFERROR(IF(ISBLANK(N38),Y38/O38,Y38/N38),0)</f>
      </c>
      <c r="AC38" s="286">
        <f>IFERROR(-1*(AB38*B$1),0)</f>
      </c>
      <c r="AD38" s="286">
        <f>IFERROR(SUM(AB38:AC38),0)</f>
      </c>
      <c r="AE38" s="286">
        <f>IF(ISBLANK(N38),AD38,AD38*5)</f>
      </c>
      <c r="AF38" s="287">
        <f>SUM(AG38:BE38)</f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18"/>
      <c r="AR38" s="18"/>
      <c r="AS38" s="18"/>
      <c r="AT38" s="1"/>
      <c r="AU38" s="18"/>
      <c r="AV38" s="18"/>
      <c r="AW38" s="18"/>
      <c r="AX38" s="18"/>
      <c r="AY38" s="18"/>
      <c r="AZ38" s="18"/>
      <c r="BA38" s="18"/>
      <c r="BB38" s="18"/>
      <c r="BC38" s="16"/>
      <c r="BD38" s="16"/>
      <c r="BE38" s="16"/>
      <c r="BF38" s="286">
        <f>Z38-AF38</f>
      </c>
      <c r="BG38" s="321">
        <f>IFERROR(AF38/Y38,0)</f>
      </c>
      <c r="BH38" s="214">
        <f>IFERROR(AF38/X38,0)</f>
      </c>
      <c r="BI38" s="284">
        <f>IFERROR((X38/SUM(X$26:X$40)),0)</f>
      </c>
      <c r="BJ38" s="284">
        <f>IFERROR((BF38/SUM(BF$3:BF235)),0)</f>
      </c>
      <c r="BK38" s="288">
        <f>BF38/'R&amp;H Portfolio'!Q$10</f>
      </c>
      <c r="BL38" s="286">
        <f>BI38*P38</f>
      </c>
      <c r="BM38" s="3"/>
      <c r="BN38" s="3"/>
      <c r="BO38" s="17"/>
    </row>
    <row x14ac:dyDescent="0.25" r="39" customHeight="1" ht="15">
      <c r="A39" s="17"/>
      <c r="B39" s="14"/>
      <c r="C39" s="3"/>
      <c r="D39" s="3"/>
      <c r="E39" s="3"/>
      <c r="F39" s="3"/>
      <c r="G39" s="276"/>
      <c r="H39" s="18"/>
      <c r="I39" s="18"/>
      <c r="J39" s="279">
        <f>H39+I39</f>
      </c>
      <c r="K39" s="280"/>
      <c r="L39" s="123">
        <f>K39*I39</f>
      </c>
      <c r="M39" s="123">
        <f>K39*J39</f>
      </c>
      <c r="N39" s="16"/>
      <c r="O39" s="16"/>
      <c r="P39" s="282">
        <f>IF(ISBLANK(N39),O39/4.3,N39/20)</f>
      </c>
      <c r="Q39" s="280"/>
      <c r="R39" s="3"/>
      <c r="S39" s="3"/>
      <c r="T39" s="256">
        <f>IF(ISBLANK(R39),0,X39)</f>
      </c>
      <c r="U39" s="256">
        <f>IF(ISBLANK(S39),0,X39)</f>
      </c>
      <c r="V39" s="284">
        <f>IFERROR(Q39/K39,0)</f>
      </c>
      <c r="W39" s="123">
        <f>IFERROR(L39*V39,0)</f>
      </c>
      <c r="X39" s="256">
        <f>IFERROR(Q39+W39,0)</f>
      </c>
      <c r="Y39" s="256">
        <f>IFERROR(M39*V39,0)</f>
      </c>
      <c r="Z39" s="256">
        <f>Y39-(Y39*$B$1)</f>
      </c>
      <c r="AA39" s="285">
        <f>IFERROR(Z39/X39,0)</f>
      </c>
      <c r="AB39" s="286">
        <f>IFERROR(IF(ISBLANK(N39),Y39/O39,Y39/N39),0)</f>
      </c>
      <c r="AC39" s="286">
        <f>IFERROR(-1*(AB39*B$1),0)</f>
      </c>
      <c r="AD39" s="286">
        <f>IFERROR(SUM(AB39:AC39),0)</f>
      </c>
      <c r="AE39" s="286">
        <f>IF(ISBLANK(N39),AD39,AD39*5)</f>
      </c>
      <c r="AF39" s="287">
        <f>SUM(AG39:BE39)</f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18"/>
      <c r="AR39" s="18"/>
      <c r="AS39" s="18"/>
      <c r="AT39" s="1"/>
      <c r="AU39" s="18"/>
      <c r="AV39" s="18"/>
      <c r="AW39" s="18"/>
      <c r="AX39" s="18"/>
      <c r="AY39" s="18"/>
      <c r="AZ39" s="18"/>
      <c r="BA39" s="18"/>
      <c r="BB39" s="18"/>
      <c r="BC39" s="16"/>
      <c r="BD39" s="16"/>
      <c r="BE39" s="16"/>
      <c r="BF39" s="286">
        <f>Z39-AF39</f>
      </c>
      <c r="BG39" s="321">
        <f>IFERROR(AF39/Y39,0)</f>
      </c>
      <c r="BH39" s="214">
        <f>IFERROR(AF39/X39,0)</f>
      </c>
      <c r="BI39" s="284">
        <f>IFERROR((X39/SUM(X$26:X$40)),0)</f>
      </c>
      <c r="BJ39" s="284">
        <f>IFERROR((BF39/SUM(BF$3:BF236)),0)</f>
      </c>
      <c r="BK39" s="288">
        <f>BF39/'R&amp;H Portfolio'!Q$10</f>
      </c>
      <c r="BL39" s="286">
        <f>BI39*P39</f>
      </c>
      <c r="BM39" s="3"/>
      <c r="BN39" s="3"/>
      <c r="BO39" s="17"/>
    </row>
    <row x14ac:dyDescent="0.25" r="40" customHeight="1" ht="15">
      <c r="A40" s="17"/>
      <c r="B40" s="14"/>
      <c r="C40" s="3"/>
      <c r="D40" s="3"/>
      <c r="E40" s="3"/>
      <c r="F40" s="3"/>
      <c r="G40" s="276"/>
      <c r="H40" s="18"/>
      <c r="I40" s="18"/>
      <c r="J40" s="279">
        <f>H40+I40</f>
      </c>
      <c r="K40" s="1"/>
      <c r="L40" s="123">
        <f>K40*I40</f>
      </c>
      <c r="M40" s="123">
        <f>K40*J40</f>
      </c>
      <c r="N40" s="16"/>
      <c r="O40" s="16"/>
      <c r="P40" s="282">
        <f>IF(ISBLANK(N40),O40/4.3,N40/20)</f>
      </c>
      <c r="Q40" s="1"/>
      <c r="R40" s="3"/>
      <c r="S40" s="3"/>
      <c r="T40" s="256">
        <f>IF(ISBLANK(R40),0,X40)</f>
      </c>
      <c r="U40" s="256">
        <f>IF(ISBLANK(S40),0,X40)</f>
      </c>
      <c r="V40" s="284">
        <f>IFERROR(Q40/K40,0)</f>
      </c>
      <c r="W40" s="123">
        <f>IFERROR(L40*V40,0)</f>
      </c>
      <c r="X40" s="256">
        <f>IFERROR(Q40+W40,0)</f>
      </c>
      <c r="Y40" s="256">
        <f>IFERROR(M40*V40,0)</f>
      </c>
      <c r="Z40" s="256">
        <f>Y40-(Y40*$B$1)</f>
      </c>
      <c r="AA40" s="285">
        <f>IFERROR(Z40/X40,0)</f>
      </c>
      <c r="AB40" s="286">
        <f>IFERROR(IF(ISBLANK(N40),Y40/O40,Y40/N40),0)</f>
      </c>
      <c r="AC40" s="286">
        <f>IFERROR(-1*(AB40*B$1),0)</f>
      </c>
      <c r="AD40" s="286">
        <f>IFERROR(SUM(AB40:AC40),0)</f>
      </c>
      <c r="AE40" s="286">
        <f>IF(ISBLANK(N40),AD40,AD40*5)</f>
      </c>
      <c r="AF40" s="287">
        <f>SUM(AG40:BE40)</f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18"/>
      <c r="AR40" s="18"/>
      <c r="AS40" s="18"/>
      <c r="AT40" s="1"/>
      <c r="AU40" s="18"/>
      <c r="AV40" s="18"/>
      <c r="AW40" s="18"/>
      <c r="AX40" s="18"/>
      <c r="AY40" s="18"/>
      <c r="AZ40" s="18"/>
      <c r="BA40" s="18"/>
      <c r="BB40" s="18"/>
      <c r="BC40" s="16"/>
      <c r="BD40" s="16"/>
      <c r="BE40" s="16"/>
      <c r="BF40" s="286">
        <f>Z40-AF40</f>
      </c>
      <c r="BG40" s="321">
        <f>IFERROR(AF40/Y40,0)</f>
      </c>
      <c r="BH40" s="214">
        <f>IFERROR(AF40/X40,0)</f>
      </c>
      <c r="BI40" s="284">
        <f>IFERROR((X40/SUM(X$26:X$40)),0)</f>
      </c>
      <c r="BJ40" s="284">
        <f>IFERROR((BF40/SUM(BF$3:BF237)),0)</f>
      </c>
      <c r="BK40" s="288">
        <f>BF40/'R&amp;H Portfolio'!Q$10</f>
      </c>
      <c r="BL40" s="286">
        <f>BI40*P40</f>
      </c>
      <c r="BM40" s="3"/>
      <c r="BN40" s="3"/>
      <c r="BO40" s="17"/>
    </row>
    <row x14ac:dyDescent="0.25" r="41" customHeight="1" ht="15">
      <c r="A41" s="17"/>
      <c r="B41" s="14"/>
      <c r="C41" s="3"/>
      <c r="D41" s="3"/>
      <c r="E41" s="3"/>
      <c r="F41" s="3"/>
      <c r="G41" s="276"/>
      <c r="H41" s="18"/>
      <c r="I41" s="18"/>
      <c r="J41" s="279">
        <f>H41+I41</f>
      </c>
      <c r="K41" s="1"/>
      <c r="L41" s="123">
        <f>K41*I41</f>
      </c>
      <c r="M41" s="123">
        <f>K41*J41</f>
      </c>
      <c r="N41" s="16"/>
      <c r="O41" s="16"/>
      <c r="P41" s="282">
        <f>IF(ISBLANK(N41),O41/4.3,N41/20)</f>
      </c>
      <c r="Q41" s="1"/>
      <c r="R41" s="3"/>
      <c r="S41" s="3"/>
      <c r="T41" s="256">
        <f>IF(ISBLANK(R41),0,X41)</f>
      </c>
      <c r="U41" s="256">
        <f>IF(ISBLANK(S41),0,X41)</f>
      </c>
      <c r="V41" s="284">
        <f>IFERROR(Q41/K41,0)</f>
      </c>
      <c r="W41" s="123">
        <f>IFERROR(L41*V41,0)</f>
      </c>
      <c r="X41" s="256">
        <f>IFERROR(Q41+W41,0)</f>
      </c>
      <c r="Y41" s="256">
        <f>IFERROR(M41*V41,0)</f>
      </c>
      <c r="Z41" s="256">
        <f>Y41-(Y41*$B$1)</f>
      </c>
      <c r="AA41" s="285">
        <f>IFERROR(Z41/X41,0)</f>
      </c>
      <c r="AB41" s="286">
        <f>IFERROR(IF(ISBLANK(N41),Y41/O41,Y41/N41),0)</f>
      </c>
      <c r="AC41" s="286">
        <f>IFERROR(-1*(AB41*B$1),0)</f>
      </c>
      <c r="AD41" s="286">
        <f>IFERROR(SUM(AB41:AC41),0)</f>
      </c>
      <c r="AE41" s="286">
        <f>IF(ISBLANK(N41),AD41,AD41*5)</f>
      </c>
      <c r="AF41" s="287">
        <f>SUM(AG41:BE41)</f>
      </c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18"/>
      <c r="AR41" s="18"/>
      <c r="AS41" s="18"/>
      <c r="AT41" s="1"/>
      <c r="AU41" s="18"/>
      <c r="AV41" s="18"/>
      <c r="AW41" s="18"/>
      <c r="AX41" s="18"/>
      <c r="AY41" s="18"/>
      <c r="AZ41" s="18"/>
      <c r="BA41" s="18"/>
      <c r="BB41" s="18"/>
      <c r="BC41" s="16"/>
      <c r="BD41" s="16"/>
      <c r="BE41" s="16"/>
      <c r="BF41" s="286">
        <f>Z41-AF41</f>
      </c>
      <c r="BG41" s="321">
        <f>IFERROR(AF41/Y41,0)</f>
      </c>
      <c r="BH41" s="214">
        <f>IFERROR(AF41/X41,0)</f>
      </c>
      <c r="BI41" s="284">
        <f>IFERROR((X41/SUM(X$26:X$40)),0)</f>
      </c>
      <c r="BJ41" s="284">
        <f>IFERROR((BF41/SUM(BF$3:BF238)),0)</f>
      </c>
      <c r="BK41" s="288">
        <f>BF41/'R&amp;H Portfolio'!Q$10</f>
      </c>
      <c r="BL41" s="286">
        <f>BI41*P41</f>
      </c>
      <c r="BM41" s="3"/>
      <c r="BN41" s="3"/>
      <c r="BO41" s="17"/>
    </row>
    <row x14ac:dyDescent="0.25" r="42" customHeight="1" ht="15">
      <c r="A42" s="17"/>
      <c r="B42" s="14"/>
      <c r="C42" s="3"/>
      <c r="D42" s="3"/>
      <c r="E42" s="3"/>
      <c r="F42" s="3"/>
      <c r="G42" s="16"/>
      <c r="H42" s="18"/>
      <c r="I42" s="18"/>
      <c r="J42" s="279">
        <f>H42+I42</f>
      </c>
      <c r="K42" s="1"/>
      <c r="L42" s="123">
        <f>K42*I42</f>
      </c>
      <c r="M42" s="123">
        <f>K42*J42</f>
      </c>
      <c r="N42" s="16"/>
      <c r="O42" s="16"/>
      <c r="P42" s="282">
        <f>IF(ISBLANK(N42),O42/4.3,N42/20)</f>
      </c>
      <c r="Q42" s="1"/>
      <c r="R42" s="3"/>
      <c r="S42" s="3"/>
      <c r="T42" s="256">
        <f>IF(ISBLANK(R42),0,X42)</f>
      </c>
      <c r="U42" s="256">
        <f>IF(ISBLANK(S42),0,X42)</f>
      </c>
      <c r="V42" s="284">
        <f>IFERROR(Q42/K42,0)</f>
      </c>
      <c r="W42" s="123">
        <f>IFERROR(L42*V42,0)</f>
      </c>
      <c r="X42" s="256">
        <f>IFERROR(Q42+W42,0)</f>
      </c>
      <c r="Y42" s="256">
        <f>IFERROR(M42*V42,0)</f>
      </c>
      <c r="Z42" s="256">
        <f>Y42-(Y42*$B$1)</f>
      </c>
      <c r="AA42" s="285">
        <f>IFERROR(Z42/X42,0)</f>
      </c>
      <c r="AB42" s="286">
        <f>IFERROR(IF(ISBLANK(N42),Y42/O42,Y42/N42),0)</f>
      </c>
      <c r="AC42" s="286">
        <f>IFERROR(-1*(AB42*B$1),0)</f>
      </c>
      <c r="AD42" s="286">
        <f>IFERROR(SUM(AB42:AC42),0)</f>
      </c>
      <c r="AE42" s="286">
        <f>IF(ISBLANK(N42),AD42,AD42*5)</f>
      </c>
      <c r="AF42" s="287">
        <f>SUM(AG42:BE42)</f>
      </c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18"/>
      <c r="AR42" s="18"/>
      <c r="AS42" s="18"/>
      <c r="AT42" s="1"/>
      <c r="AU42" s="18"/>
      <c r="AV42" s="18"/>
      <c r="AW42" s="18"/>
      <c r="AX42" s="18"/>
      <c r="AY42" s="18"/>
      <c r="AZ42" s="18"/>
      <c r="BA42" s="18"/>
      <c r="BB42" s="18"/>
      <c r="BC42" s="16"/>
      <c r="BD42" s="16"/>
      <c r="BE42" s="16"/>
      <c r="BF42" s="286">
        <f>Z42-AF42</f>
      </c>
      <c r="BG42" s="321">
        <f>IFERROR(AF42/Y42,0)</f>
      </c>
      <c r="BH42" s="214">
        <f>IFERROR(AF42/X42,0)</f>
      </c>
      <c r="BI42" s="284">
        <f>IFERROR((X42/SUM(X$26:X$40)),0)</f>
      </c>
      <c r="BJ42" s="284">
        <f>IFERROR((BF42/SUM(BF$3:BF239)),0)</f>
      </c>
      <c r="BK42" s="288">
        <f>BF42/'R&amp;H Portfolio'!Q$10</f>
      </c>
      <c r="BL42" s="286">
        <f>BI42*P42</f>
      </c>
      <c r="BM42" s="3"/>
      <c r="BN42" s="3"/>
      <c r="BO42" s="17"/>
    </row>
    <row x14ac:dyDescent="0.25" r="43" customHeight="1" ht="15">
      <c r="A43" s="17"/>
      <c r="B43" s="14"/>
      <c r="C43" s="3"/>
      <c r="D43" s="3"/>
      <c r="E43" s="3"/>
      <c r="F43" s="3"/>
      <c r="G43" s="16"/>
      <c r="H43" s="18"/>
      <c r="I43" s="18"/>
      <c r="J43" s="279">
        <f>H43+I43</f>
      </c>
      <c r="K43" s="1"/>
      <c r="L43" s="123">
        <f>K43*I43</f>
      </c>
      <c r="M43" s="123">
        <f>K43*J43</f>
      </c>
      <c r="N43" s="16"/>
      <c r="O43" s="16"/>
      <c r="P43" s="282">
        <f>IF(ISBLANK(N43),O43/4.3,N43/20)</f>
      </c>
      <c r="Q43" s="1"/>
      <c r="R43" s="3"/>
      <c r="S43" s="3"/>
      <c r="T43" s="256">
        <f>IF(ISBLANK(R43),0,X43)</f>
      </c>
      <c r="U43" s="256">
        <f>IF(ISBLANK(S43),0,X43)</f>
      </c>
      <c r="V43" s="284">
        <f>IFERROR(Q43/K43,0)</f>
      </c>
      <c r="W43" s="123">
        <f>IFERROR(L43*V43,0)</f>
      </c>
      <c r="X43" s="256">
        <f>IFERROR(Q43+W43,0)</f>
      </c>
      <c r="Y43" s="256">
        <f>IFERROR(M43*V43,0)</f>
      </c>
      <c r="Z43" s="256">
        <f>Y43-(Y43*$B$1)</f>
      </c>
      <c r="AA43" s="285">
        <f>IFERROR(Z43/X43,0)</f>
      </c>
      <c r="AB43" s="286">
        <f>IFERROR(IF(ISBLANK(N43),Y43/O43,Y43/N43),0)</f>
      </c>
      <c r="AC43" s="286">
        <f>IFERROR(-1*(AB43*B$1),0)</f>
      </c>
      <c r="AD43" s="286">
        <f>IFERROR(SUM(AB43:AC43),0)</f>
      </c>
      <c r="AE43" s="286">
        <f>IF(ISBLANK(N43),AD43,AD43*5)</f>
      </c>
      <c r="AF43" s="287">
        <f>SUM(AG43:BE43)</f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18"/>
      <c r="AR43" s="18"/>
      <c r="AS43" s="18"/>
      <c r="AT43" s="1"/>
      <c r="AU43" s="18"/>
      <c r="AV43" s="18"/>
      <c r="AW43" s="18"/>
      <c r="AX43" s="18"/>
      <c r="AY43" s="18"/>
      <c r="AZ43" s="18"/>
      <c r="BA43" s="18"/>
      <c r="BB43" s="18"/>
      <c r="BC43" s="16"/>
      <c r="BD43" s="16"/>
      <c r="BE43" s="16"/>
      <c r="BF43" s="286">
        <f>Z43-AF43</f>
      </c>
      <c r="BG43" s="321">
        <f>IFERROR(AF43/Y43,0)</f>
      </c>
      <c r="BH43" s="214">
        <f>IFERROR(AF43/X43,0)</f>
      </c>
      <c r="BI43" s="284">
        <f>IFERROR((X43/SUM(X$26:X$40)),0)</f>
      </c>
      <c r="BJ43" s="284">
        <f>IFERROR((BF43/SUM(BF$3:BF240)),0)</f>
      </c>
      <c r="BK43" s="288">
        <f>BF43/'R&amp;H Portfolio'!Q$10</f>
      </c>
      <c r="BL43" s="286">
        <f>BI43*P43</f>
      </c>
      <c r="BM43" s="3"/>
      <c r="BN43" s="3"/>
      <c r="BO43" s="17"/>
    </row>
    <row x14ac:dyDescent="0.25" r="44" customHeight="1" ht="15">
      <c r="A44" s="17"/>
      <c r="B44" s="14"/>
      <c r="C44" s="3"/>
      <c r="D44" s="3"/>
      <c r="E44" s="3"/>
      <c r="F44" s="3"/>
      <c r="G44" s="16"/>
      <c r="H44" s="18"/>
      <c r="I44" s="18"/>
      <c r="J44" s="279">
        <f>H44+I44</f>
      </c>
      <c r="K44" s="1"/>
      <c r="L44" s="123">
        <f>K44*I44</f>
      </c>
      <c r="M44" s="123">
        <f>K44*J44</f>
      </c>
      <c r="N44" s="16"/>
      <c r="O44" s="16"/>
      <c r="P44" s="282">
        <f>IF(ISBLANK(N44),O44/4.3,N44/20)</f>
      </c>
      <c r="Q44" s="1"/>
      <c r="R44" s="3"/>
      <c r="S44" s="3"/>
      <c r="T44" s="256">
        <f>IF(ISBLANK(R44),0,X44)</f>
      </c>
      <c r="U44" s="256">
        <f>IF(ISBLANK(S44),0,X44)</f>
      </c>
      <c r="V44" s="284">
        <f>IFERROR(Q44/K44,0)</f>
      </c>
      <c r="W44" s="123">
        <f>IFERROR(L44*V44,0)</f>
      </c>
      <c r="X44" s="256">
        <f>IFERROR(Q44+W44,0)</f>
      </c>
      <c r="Y44" s="256">
        <f>IFERROR(M44*V44,0)</f>
      </c>
      <c r="Z44" s="256">
        <f>Y44-(Y44*$B$1)</f>
      </c>
      <c r="AA44" s="285">
        <f>IFERROR(Z44/X44,0)</f>
      </c>
      <c r="AB44" s="286">
        <f>IFERROR(IF(ISBLANK(N44),Y44/O44,Y44/N44),0)</f>
      </c>
      <c r="AC44" s="286">
        <f>IFERROR(-1*(AB44*B$1),0)</f>
      </c>
      <c r="AD44" s="286">
        <f>IFERROR(SUM(AB44:AC44),0)</f>
      </c>
      <c r="AE44" s="286">
        <f>IF(ISBLANK(N44),AD44,AD44*5)</f>
      </c>
      <c r="AF44" s="287">
        <f>SUM(AG44:BE44)</f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18"/>
      <c r="AR44" s="18"/>
      <c r="AS44" s="18"/>
      <c r="AT44" s="1"/>
      <c r="AU44" s="18"/>
      <c r="AV44" s="18"/>
      <c r="AW44" s="18"/>
      <c r="AX44" s="18"/>
      <c r="AY44" s="18"/>
      <c r="AZ44" s="18"/>
      <c r="BA44" s="18"/>
      <c r="BB44" s="18"/>
      <c r="BC44" s="16"/>
      <c r="BD44" s="16"/>
      <c r="BE44" s="16"/>
      <c r="BF44" s="286">
        <f>Z44-AF44</f>
      </c>
      <c r="BG44" s="321">
        <f>IFERROR(AF44/Y44,0)</f>
      </c>
      <c r="BH44" s="214">
        <f>IFERROR(AF44/X44,0)</f>
      </c>
      <c r="BI44" s="284">
        <f>IFERROR((X44/SUM(X$26:X$40)),0)</f>
      </c>
      <c r="BJ44" s="284">
        <f>IFERROR((BF44/SUM(BF$3:BF241)),0)</f>
      </c>
      <c r="BK44" s="288">
        <f>BF44/'R&amp;H Portfolio'!Q$10</f>
      </c>
      <c r="BL44" s="286">
        <f>BI44*P44</f>
      </c>
      <c r="BM44" s="3"/>
      <c r="BN44" s="3"/>
      <c r="BO44" s="17"/>
    </row>
    <row x14ac:dyDescent="0.25" r="45" customHeight="1" ht="15">
      <c r="A45" s="17"/>
      <c r="B45" s="14"/>
      <c r="C45" s="3"/>
      <c r="D45" s="3"/>
      <c r="E45" s="3"/>
      <c r="F45" s="3"/>
      <c r="G45" s="16"/>
      <c r="H45" s="18"/>
      <c r="I45" s="18"/>
      <c r="J45" s="279">
        <f>H45+I45</f>
      </c>
      <c r="K45" s="1"/>
      <c r="L45" s="123">
        <f>K45*I45</f>
      </c>
      <c r="M45" s="123">
        <f>K45*J45</f>
      </c>
      <c r="N45" s="16"/>
      <c r="O45" s="16"/>
      <c r="P45" s="282">
        <f>IF(ISBLANK(N45),O45/4.3,N45/20)</f>
      </c>
      <c r="Q45" s="1"/>
      <c r="R45" s="3"/>
      <c r="S45" s="3"/>
      <c r="T45" s="256">
        <f>IF(ISBLANK(R45),0,X45)</f>
      </c>
      <c r="U45" s="256">
        <f>IF(ISBLANK(S45),0,X45)</f>
      </c>
      <c r="V45" s="284">
        <f>IFERROR(Q45/K45,0)</f>
      </c>
      <c r="W45" s="123">
        <f>IFERROR(L45*V45,0)</f>
      </c>
      <c r="X45" s="256">
        <f>IFERROR(Q45+W45,0)</f>
      </c>
      <c r="Y45" s="256">
        <f>IFERROR(M45*V45,0)</f>
      </c>
      <c r="Z45" s="256">
        <f>Y45-(Y45*$B$1)</f>
      </c>
      <c r="AA45" s="285">
        <f>IFERROR(Z45/X45,0)</f>
      </c>
      <c r="AB45" s="286">
        <f>IFERROR(IF(ISBLANK(N45),Y45/O45,Y45/N45),0)</f>
      </c>
      <c r="AC45" s="286">
        <f>IFERROR(-1*(AB45*B$1),0)</f>
      </c>
      <c r="AD45" s="286">
        <f>IFERROR(SUM(AB45:AC45),0)</f>
      </c>
      <c r="AE45" s="286">
        <f>IF(ISBLANK(N45),AD45,AD45*5)</f>
      </c>
      <c r="AF45" s="287">
        <f>SUM(AG45:BE45)</f>
      </c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18"/>
      <c r="AR45" s="18"/>
      <c r="AS45" s="18"/>
      <c r="AT45" s="1"/>
      <c r="AU45" s="18"/>
      <c r="AV45" s="18"/>
      <c r="AW45" s="18"/>
      <c r="AX45" s="18"/>
      <c r="AY45" s="18"/>
      <c r="AZ45" s="18"/>
      <c r="BA45" s="18"/>
      <c r="BB45" s="18"/>
      <c r="BC45" s="16"/>
      <c r="BD45" s="16"/>
      <c r="BE45" s="16"/>
      <c r="BF45" s="286">
        <f>Z45-AF45</f>
      </c>
      <c r="BG45" s="321">
        <f>IFERROR(AF45/Y45,0)</f>
      </c>
      <c r="BH45" s="214">
        <f>IFERROR(AF45/X45,0)</f>
      </c>
      <c r="BI45" s="284">
        <f>IFERROR((X45/SUM(X$26:X$40)),0)</f>
      </c>
      <c r="BJ45" s="284">
        <f>IFERROR((BF45/SUM(BF$3:BF242)),0)</f>
      </c>
      <c r="BK45" s="288">
        <f>BF45/'R&amp;H Portfolio'!Q$10</f>
      </c>
      <c r="BL45" s="286">
        <f>BI45*P45</f>
      </c>
      <c r="BM45" s="3"/>
      <c r="BN45" s="3"/>
      <c r="BO45" s="17"/>
    </row>
    <row x14ac:dyDescent="0.25" r="46" customHeight="1" ht="15">
      <c r="A46" s="17"/>
      <c r="B46" s="14"/>
      <c r="C46" s="3"/>
      <c r="D46" s="3"/>
      <c r="E46" s="3"/>
      <c r="F46" s="3"/>
      <c r="G46" s="16"/>
      <c r="H46" s="18"/>
      <c r="I46" s="18"/>
      <c r="J46" s="279">
        <f>H46+I46</f>
      </c>
      <c r="K46" s="1"/>
      <c r="L46" s="123">
        <f>K46*I46</f>
      </c>
      <c r="M46" s="123">
        <f>K46*J46</f>
      </c>
      <c r="N46" s="16"/>
      <c r="O46" s="16"/>
      <c r="P46" s="282">
        <f>IF(ISBLANK(N46),O46/4.3,N46/20)</f>
      </c>
      <c r="Q46" s="1"/>
      <c r="R46" s="3"/>
      <c r="S46" s="3"/>
      <c r="T46" s="256">
        <f>IF(ISBLANK(R46),0,X46)</f>
      </c>
      <c r="U46" s="256">
        <f>IF(ISBLANK(S46),0,X46)</f>
      </c>
      <c r="V46" s="284">
        <f>IFERROR(Q46/K46,0)</f>
      </c>
      <c r="W46" s="123">
        <f>IFERROR(L46*V46,0)</f>
      </c>
      <c r="X46" s="256">
        <f>IFERROR(Q46+W46,0)</f>
      </c>
      <c r="Y46" s="256">
        <f>IFERROR(M46*V46,0)</f>
      </c>
      <c r="Z46" s="256">
        <f>Y46-(Y46*$B$1)</f>
      </c>
      <c r="AA46" s="285">
        <f>IFERROR(Z46/X46,0)</f>
      </c>
      <c r="AB46" s="286">
        <f>IFERROR(IF(ISBLANK(N46),Y46/O46,Y46/N46),0)</f>
      </c>
      <c r="AC46" s="286">
        <f>IFERROR(-1*(AB46*B$1),0)</f>
      </c>
      <c r="AD46" s="286">
        <f>IFERROR(SUM(AB46:AC46),0)</f>
      </c>
      <c r="AE46" s="286">
        <f>IF(ISBLANK(N46),AD46,AD46*5)</f>
      </c>
      <c r="AF46" s="287">
        <f>SUM(AG46:BE46)</f>
      </c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18"/>
      <c r="AR46" s="18"/>
      <c r="AS46" s="18"/>
      <c r="AT46" s="1"/>
      <c r="AU46" s="18"/>
      <c r="AV46" s="18"/>
      <c r="AW46" s="18"/>
      <c r="AX46" s="18"/>
      <c r="AY46" s="18"/>
      <c r="AZ46" s="18"/>
      <c r="BA46" s="18"/>
      <c r="BB46" s="18"/>
      <c r="BC46" s="16"/>
      <c r="BD46" s="16"/>
      <c r="BE46" s="16"/>
      <c r="BF46" s="286">
        <f>Z46-AF46</f>
      </c>
      <c r="BG46" s="321">
        <f>IFERROR(AF46/Y46,0)</f>
      </c>
      <c r="BH46" s="214">
        <f>IFERROR(AF46/X46,0)</f>
      </c>
      <c r="BI46" s="284">
        <f>IFERROR((X46/SUM(X$26:X$40)),0)</f>
      </c>
      <c r="BJ46" s="284">
        <f>IFERROR((BF46/SUM(BF$3:BF243)),0)</f>
      </c>
      <c r="BK46" s="288">
        <f>BF46/'R&amp;H Portfolio'!Q$10</f>
      </c>
      <c r="BL46" s="286">
        <f>BI46*P46</f>
      </c>
      <c r="BM46" s="3"/>
      <c r="BN46" s="3"/>
      <c r="BO46" s="17"/>
    </row>
    <row x14ac:dyDescent="0.25" r="47" customHeight="1" ht="15">
      <c r="A47" s="17"/>
      <c r="B47" s="14"/>
      <c r="C47" s="3"/>
      <c r="D47" s="3"/>
      <c r="E47" s="3"/>
      <c r="F47" s="3"/>
      <c r="G47" s="16"/>
      <c r="H47" s="18"/>
      <c r="I47" s="18"/>
      <c r="J47" s="279">
        <f>H47+I47</f>
      </c>
      <c r="K47" s="1"/>
      <c r="L47" s="123">
        <f>K47*I47</f>
      </c>
      <c r="M47" s="123">
        <f>K47*J47</f>
      </c>
      <c r="N47" s="16"/>
      <c r="O47" s="16"/>
      <c r="P47" s="282">
        <f>IF(ISBLANK(N47),O47/4.3,N47/20)</f>
      </c>
      <c r="Q47" s="1"/>
      <c r="R47" s="3"/>
      <c r="S47" s="3"/>
      <c r="T47" s="256">
        <f>IF(ISBLANK(R47),0,X47)</f>
      </c>
      <c r="U47" s="256">
        <f>IF(ISBLANK(S47),0,X47)</f>
      </c>
      <c r="V47" s="284">
        <f>IFERROR(Q47/K47,0)</f>
      </c>
      <c r="W47" s="123">
        <f>IFERROR(L47*V47,0)</f>
      </c>
      <c r="X47" s="256">
        <f>IFERROR(Q47+W47,0)</f>
      </c>
      <c r="Y47" s="256">
        <f>IFERROR(M47*V47,0)</f>
      </c>
      <c r="Z47" s="256">
        <f>Y47-(Y47*$B$1)</f>
      </c>
      <c r="AA47" s="285">
        <f>IFERROR(Z47/X47,0)</f>
      </c>
      <c r="AB47" s="286">
        <f>IFERROR(IF(ISBLANK(N47),Y47/O47,Y47/N47),0)</f>
      </c>
      <c r="AC47" s="286">
        <f>IFERROR(-1*(AB47*B$1),0)</f>
      </c>
      <c r="AD47" s="286">
        <f>IFERROR(SUM(AB47:AC47),0)</f>
      </c>
      <c r="AE47" s="286">
        <f>IF(ISBLANK(N47),AD47,AD47*5)</f>
      </c>
      <c r="AF47" s="287">
        <f>SUM(AG47:BE47)</f>
      </c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18"/>
      <c r="AR47" s="18"/>
      <c r="AS47" s="18"/>
      <c r="AT47" s="1"/>
      <c r="AU47" s="18"/>
      <c r="AV47" s="18"/>
      <c r="AW47" s="18"/>
      <c r="AX47" s="18"/>
      <c r="AY47" s="18"/>
      <c r="AZ47" s="18"/>
      <c r="BA47" s="18"/>
      <c r="BB47" s="18"/>
      <c r="BC47" s="16"/>
      <c r="BD47" s="16"/>
      <c r="BE47" s="16"/>
      <c r="BF47" s="286">
        <f>Z47-AF47</f>
      </c>
      <c r="BG47" s="321">
        <f>IFERROR(AF47/Y47,0)</f>
      </c>
      <c r="BH47" s="214">
        <f>IFERROR(AF47/X47,0)</f>
      </c>
      <c r="BI47" s="284">
        <f>IFERROR((X47/SUM(X$26:X$40)),0)</f>
      </c>
      <c r="BJ47" s="284">
        <f>IFERROR((BF47/SUM(BF$3:BF244)),0)</f>
      </c>
      <c r="BK47" s="288">
        <f>BF47/'R&amp;H Portfolio'!Q$10</f>
      </c>
      <c r="BL47" s="286">
        <f>BI47*P47</f>
      </c>
      <c r="BM47" s="3"/>
      <c r="BN47" s="3"/>
      <c r="BO47" s="17"/>
    </row>
    <row x14ac:dyDescent="0.25" r="48" customHeight="1" ht="15">
      <c r="A48" s="17"/>
      <c r="B48" s="14"/>
      <c r="C48" s="3"/>
      <c r="D48" s="3"/>
      <c r="E48" s="3"/>
      <c r="F48" s="3"/>
      <c r="G48" s="16"/>
      <c r="H48" s="18"/>
      <c r="I48" s="18"/>
      <c r="J48" s="279">
        <f>H48+I48</f>
      </c>
      <c r="K48" s="1"/>
      <c r="L48" s="123">
        <f>K48*I48</f>
      </c>
      <c r="M48" s="123">
        <f>K48*J48</f>
      </c>
      <c r="N48" s="16"/>
      <c r="O48" s="16"/>
      <c r="P48" s="282">
        <f>IF(ISBLANK(N48),O48/4.3,N48/20)</f>
      </c>
      <c r="Q48" s="1"/>
      <c r="R48" s="3"/>
      <c r="S48" s="3"/>
      <c r="T48" s="256">
        <f>IF(ISBLANK(R48),0,X48)</f>
      </c>
      <c r="U48" s="256">
        <f>IF(ISBLANK(S48),0,X48)</f>
      </c>
      <c r="V48" s="284">
        <f>IFERROR(Q48/K48,0)</f>
      </c>
      <c r="W48" s="123">
        <f>IFERROR(L48*V48,0)</f>
      </c>
      <c r="X48" s="256">
        <f>IFERROR(Q48+W48,0)</f>
      </c>
      <c r="Y48" s="256">
        <f>IFERROR(M48*V48,0)</f>
      </c>
      <c r="Z48" s="256">
        <f>Y48-(Y48*$B$1)</f>
      </c>
      <c r="AA48" s="285">
        <f>IFERROR(Z48/X48,0)</f>
      </c>
      <c r="AB48" s="286">
        <f>IFERROR(IF(ISBLANK(N48),Y48/O48,Y48/N48),0)</f>
      </c>
      <c r="AC48" s="286">
        <f>IFERROR(-1*(AB48*B$1),0)</f>
      </c>
      <c r="AD48" s="286">
        <f>IFERROR(SUM(AB48:AC48),0)</f>
      </c>
      <c r="AE48" s="286">
        <f>IF(ISBLANK(N48),AD48,AD48*5)</f>
      </c>
      <c r="AF48" s="287">
        <f>SUM(AG48:BE48)</f>
      </c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18"/>
      <c r="AR48" s="18"/>
      <c r="AS48" s="18"/>
      <c r="AT48" s="1"/>
      <c r="AU48" s="18"/>
      <c r="AV48" s="18"/>
      <c r="AW48" s="18"/>
      <c r="AX48" s="18"/>
      <c r="AY48" s="18"/>
      <c r="AZ48" s="18"/>
      <c r="BA48" s="18"/>
      <c r="BB48" s="18"/>
      <c r="BC48" s="16"/>
      <c r="BD48" s="16"/>
      <c r="BE48" s="16"/>
      <c r="BF48" s="286">
        <f>Z48-AF48</f>
      </c>
      <c r="BG48" s="321">
        <f>IFERROR(AF48/Y48,0)</f>
      </c>
      <c r="BH48" s="214">
        <f>IFERROR(AF48/X48,0)</f>
      </c>
      <c r="BI48" s="284">
        <f>IFERROR((X48/SUM(X$26:X$40)),0)</f>
      </c>
      <c r="BJ48" s="284">
        <f>IFERROR((BF48/SUM(BF$3:BF245)),0)</f>
      </c>
      <c r="BK48" s="288">
        <f>BF48/'R&amp;H Portfolio'!Q$10</f>
      </c>
      <c r="BL48" s="286">
        <f>BI48*P48</f>
      </c>
      <c r="BM48" s="3"/>
      <c r="BN48" s="3"/>
      <c r="BO48" s="17"/>
    </row>
    <row x14ac:dyDescent="0.25" r="49" customHeight="1" ht="15">
      <c r="A49" s="17"/>
      <c r="B49" s="14"/>
      <c r="C49" s="3"/>
      <c r="D49" s="3"/>
      <c r="E49" s="3"/>
      <c r="F49" s="3"/>
      <c r="G49" s="16"/>
      <c r="H49" s="18"/>
      <c r="I49" s="18"/>
      <c r="J49" s="279">
        <f>H49+I49</f>
      </c>
      <c r="K49" s="1"/>
      <c r="L49" s="123">
        <f>K49*I49</f>
      </c>
      <c r="M49" s="123">
        <f>K49*J49</f>
      </c>
      <c r="N49" s="16"/>
      <c r="O49" s="16"/>
      <c r="P49" s="282">
        <f>IF(ISBLANK(N49),O49/4.3,N49/20)</f>
      </c>
      <c r="Q49" s="1"/>
      <c r="R49" s="3"/>
      <c r="S49" s="3"/>
      <c r="T49" s="256">
        <f>IF(ISBLANK(R49),0,X49)</f>
      </c>
      <c r="U49" s="256">
        <f>IF(ISBLANK(S49),0,X49)</f>
      </c>
      <c r="V49" s="284">
        <f>IFERROR(Q49/K49,0)</f>
      </c>
      <c r="W49" s="123">
        <f>IFERROR(L49*V49,0)</f>
      </c>
      <c r="X49" s="256">
        <f>IFERROR(Q49+W49,0)</f>
      </c>
      <c r="Y49" s="256">
        <f>IFERROR(M49*V49,0)</f>
      </c>
      <c r="Z49" s="256">
        <f>Y49-(Y49*$B$1)</f>
      </c>
      <c r="AA49" s="285">
        <f>IFERROR(Z49/X49,0)</f>
      </c>
      <c r="AB49" s="286">
        <f>IFERROR(IF(ISBLANK(N49),Y49/O49,Y49/N49),0)</f>
      </c>
      <c r="AC49" s="286">
        <f>IFERROR(-1*(AB49*B$1),0)</f>
      </c>
      <c r="AD49" s="286">
        <f>IFERROR(SUM(AB49:AC49),0)</f>
      </c>
      <c r="AE49" s="286">
        <f>IF(ISBLANK(N49),AD49,AD49*5)</f>
      </c>
      <c r="AF49" s="287">
        <f>SUM(AG49:BE49)</f>
      </c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18"/>
      <c r="AR49" s="18"/>
      <c r="AS49" s="18"/>
      <c r="AT49" s="1"/>
      <c r="AU49" s="18"/>
      <c r="AV49" s="18"/>
      <c r="AW49" s="18"/>
      <c r="AX49" s="18"/>
      <c r="AY49" s="18"/>
      <c r="AZ49" s="18"/>
      <c r="BA49" s="18"/>
      <c r="BB49" s="18"/>
      <c r="BC49" s="16"/>
      <c r="BD49" s="16"/>
      <c r="BE49" s="16"/>
      <c r="BF49" s="286">
        <f>Z49-AF49</f>
      </c>
      <c r="BG49" s="321">
        <f>IFERROR(AF49/Y49,0)</f>
      </c>
      <c r="BH49" s="214">
        <f>IFERROR(AF49/X49,0)</f>
      </c>
      <c r="BI49" s="284">
        <f>IFERROR((X49/SUM(X$26:X$40)),0)</f>
      </c>
      <c r="BJ49" s="284">
        <f>IFERROR((BF49/SUM(BF$3:BF246)),0)</f>
      </c>
      <c r="BK49" s="288">
        <f>BF49/'R&amp;H Portfolio'!Q$10</f>
      </c>
      <c r="BL49" s="286">
        <f>BI49*P49</f>
      </c>
      <c r="BM49" s="3"/>
      <c r="BN49" s="3"/>
      <c r="BO49" s="17"/>
    </row>
    <row x14ac:dyDescent="0.25" r="50" customHeight="1" ht="15">
      <c r="A50" s="17"/>
      <c r="B50" s="14"/>
      <c r="C50" s="3"/>
      <c r="D50" s="3"/>
      <c r="E50" s="3"/>
      <c r="F50" s="3"/>
      <c r="G50" s="16"/>
      <c r="H50" s="18"/>
      <c r="I50" s="18"/>
      <c r="J50" s="279">
        <f>H50+I50</f>
      </c>
      <c r="K50" s="1"/>
      <c r="L50" s="123">
        <f>K50*I50</f>
      </c>
      <c r="M50" s="123">
        <f>K50*J50</f>
      </c>
      <c r="N50" s="16"/>
      <c r="O50" s="16"/>
      <c r="P50" s="282">
        <f>IF(ISBLANK(N50),O50/4.3,N50/20)</f>
      </c>
      <c r="Q50" s="1"/>
      <c r="R50" s="3"/>
      <c r="S50" s="3"/>
      <c r="T50" s="256">
        <f>IF(ISBLANK(R50),0,X50)</f>
      </c>
      <c r="U50" s="256">
        <f>IF(ISBLANK(S50),0,X50)</f>
      </c>
      <c r="V50" s="284">
        <f>IFERROR(Q50/K50,0)</f>
      </c>
      <c r="W50" s="123">
        <f>IFERROR(L50*V50,0)</f>
      </c>
      <c r="X50" s="256">
        <f>IFERROR(Q50+W50,0)</f>
      </c>
      <c r="Y50" s="256">
        <f>IFERROR(M50*V50,0)</f>
      </c>
      <c r="Z50" s="256">
        <f>Y50-(Y50*$B$1)</f>
      </c>
      <c r="AA50" s="285">
        <f>IFERROR(Z50/X50,0)</f>
      </c>
      <c r="AB50" s="286">
        <f>IFERROR(IF(ISBLANK(N50),Y50/O50,Y50/N50),0)</f>
      </c>
      <c r="AC50" s="286">
        <f>IFERROR(-1*(AB50*B$1),0)</f>
      </c>
      <c r="AD50" s="286">
        <f>IFERROR(SUM(AB50:AC50),0)</f>
      </c>
      <c r="AE50" s="286">
        <f>IF(ISBLANK(N50),AD50,AD50*5)</f>
      </c>
      <c r="AF50" s="287">
        <f>SUM(AG50:BE50)</f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18"/>
      <c r="AR50" s="18"/>
      <c r="AS50" s="18"/>
      <c r="AT50" s="1"/>
      <c r="AU50" s="18"/>
      <c r="AV50" s="18"/>
      <c r="AW50" s="18"/>
      <c r="AX50" s="18"/>
      <c r="AY50" s="18"/>
      <c r="AZ50" s="18"/>
      <c r="BA50" s="18"/>
      <c r="BB50" s="18"/>
      <c r="BC50" s="16"/>
      <c r="BD50" s="16"/>
      <c r="BE50" s="16"/>
      <c r="BF50" s="286">
        <f>Z50-AF50</f>
      </c>
      <c r="BG50" s="321">
        <f>IFERROR(AF50/Y50,0)</f>
      </c>
      <c r="BH50" s="214">
        <f>IFERROR(AF50/X50,0)</f>
      </c>
      <c r="BI50" s="284">
        <f>IFERROR((X50/SUM(X$26:X$40)),0)</f>
      </c>
      <c r="BJ50" s="284">
        <f>IFERROR((BF50/SUM(BF$3:BF247)),0)</f>
      </c>
      <c r="BK50" s="288">
        <f>BF50/'R&amp;H Portfolio'!Q$10</f>
      </c>
      <c r="BL50" s="286">
        <f>BI50*P50</f>
      </c>
      <c r="BM50" s="3"/>
      <c r="BN50" s="3"/>
      <c r="BO50" s="17"/>
    </row>
    <row x14ac:dyDescent="0.25" r="51" customHeight="1" ht="15">
      <c r="A51" s="17"/>
      <c r="B51" s="14"/>
      <c r="C51" s="3"/>
      <c r="D51" s="3"/>
      <c r="E51" s="3"/>
      <c r="F51" s="3"/>
      <c r="G51" s="16"/>
      <c r="H51" s="18"/>
      <c r="I51" s="18"/>
      <c r="J51" s="279">
        <f>H51+I51</f>
      </c>
      <c r="K51" s="1"/>
      <c r="L51" s="123">
        <f>K51*I51</f>
      </c>
      <c r="M51" s="123">
        <f>K51*J51</f>
      </c>
      <c r="N51" s="16"/>
      <c r="O51" s="16"/>
      <c r="P51" s="282">
        <f>IF(ISBLANK(N51),O51/4.3,N51/20)</f>
      </c>
      <c r="Q51" s="1"/>
      <c r="R51" s="3"/>
      <c r="S51" s="3"/>
      <c r="T51" s="256">
        <f>IF(ISBLANK(R51),0,X51)</f>
      </c>
      <c r="U51" s="256">
        <f>IF(ISBLANK(S51),0,X51)</f>
      </c>
      <c r="V51" s="284">
        <f>IFERROR(Q51/K51,0)</f>
      </c>
      <c r="W51" s="123">
        <f>IFERROR(L51*V51,0)</f>
      </c>
      <c r="X51" s="256">
        <f>IFERROR(Q51+W51,0)</f>
      </c>
      <c r="Y51" s="256">
        <f>IFERROR(M51*V51,0)</f>
      </c>
      <c r="Z51" s="256">
        <f>Y51-(Y51*$B$1)</f>
      </c>
      <c r="AA51" s="285">
        <f>IFERROR(Z51/X51,0)</f>
      </c>
      <c r="AB51" s="286">
        <f>IFERROR(IF(ISBLANK(N51),Y51/O51,Y51/N51),0)</f>
      </c>
      <c r="AC51" s="286">
        <f>IFERROR(-1*(AB51*B$1),0)</f>
      </c>
      <c r="AD51" s="286">
        <f>IFERROR(SUM(AB51:AC51),0)</f>
      </c>
      <c r="AE51" s="286">
        <f>IF(ISBLANK(N51),AD51,AD51*5)</f>
      </c>
      <c r="AF51" s="287">
        <f>SUM(AG51:BE51)</f>
      </c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18"/>
      <c r="AR51" s="18"/>
      <c r="AS51" s="18"/>
      <c r="AT51" s="1"/>
      <c r="AU51" s="18"/>
      <c r="AV51" s="18"/>
      <c r="AW51" s="18"/>
      <c r="AX51" s="18"/>
      <c r="AY51" s="18"/>
      <c r="AZ51" s="18"/>
      <c r="BA51" s="18"/>
      <c r="BB51" s="18"/>
      <c r="BC51" s="16"/>
      <c r="BD51" s="16"/>
      <c r="BE51" s="16"/>
      <c r="BF51" s="286">
        <f>Z51-AF51</f>
      </c>
      <c r="BG51" s="321">
        <f>IFERROR(AF51/Y51,0)</f>
      </c>
      <c r="BH51" s="214">
        <f>IFERROR(AF51/X51,0)</f>
      </c>
      <c r="BI51" s="284">
        <f>IFERROR((X51/SUM(X$26:X$40)),0)</f>
      </c>
      <c r="BJ51" s="284">
        <f>IFERROR((BF51/SUM(BF$3:BF248)),0)</f>
      </c>
      <c r="BK51" s="288">
        <f>BF51/'R&amp;H Portfolio'!Q$10</f>
      </c>
      <c r="BL51" s="286">
        <f>BI51*P51</f>
      </c>
      <c r="BM51" s="3"/>
      <c r="BN51" s="3"/>
      <c r="BO51" s="17"/>
    </row>
    <row x14ac:dyDescent="0.25" r="52" customHeight="1" ht="15">
      <c r="A52" s="17"/>
      <c r="B52" s="14"/>
      <c r="C52" s="3"/>
      <c r="D52" s="3"/>
      <c r="E52" s="3"/>
      <c r="F52" s="3"/>
      <c r="G52" s="16"/>
      <c r="H52" s="18"/>
      <c r="I52" s="18"/>
      <c r="J52" s="279">
        <f>H52+I52</f>
      </c>
      <c r="K52" s="1"/>
      <c r="L52" s="123">
        <f>K52*I52</f>
      </c>
      <c r="M52" s="123">
        <f>K52*J52</f>
      </c>
      <c r="N52" s="16"/>
      <c r="O52" s="16"/>
      <c r="P52" s="282">
        <f>IF(ISBLANK(N52),O52/4.3,N52/20)</f>
      </c>
      <c r="Q52" s="1"/>
      <c r="R52" s="3"/>
      <c r="S52" s="3"/>
      <c r="T52" s="256">
        <f>IF(ISBLANK(R52),0,X52)</f>
      </c>
      <c r="U52" s="256">
        <f>IF(ISBLANK(S52),0,X52)</f>
      </c>
      <c r="V52" s="284">
        <f>IFERROR(Q52/K52,0)</f>
      </c>
      <c r="W52" s="123">
        <f>IFERROR(L52*V52,0)</f>
      </c>
      <c r="X52" s="256">
        <f>IFERROR(Q52+W52,0)</f>
      </c>
      <c r="Y52" s="256">
        <f>IFERROR(M52*V52,0)</f>
      </c>
      <c r="Z52" s="256">
        <f>Y52-(Y52*$B$1)</f>
      </c>
      <c r="AA52" s="285">
        <f>IFERROR(Z52/X52,0)</f>
      </c>
      <c r="AB52" s="286">
        <f>IFERROR(IF(ISBLANK(N52),Y52/O52,Y52/N52),0)</f>
      </c>
      <c r="AC52" s="286">
        <f>IFERROR(-1*(AB52*B$1),0)</f>
      </c>
      <c r="AD52" s="286">
        <f>IFERROR(SUM(AB52:AC52),0)</f>
      </c>
      <c r="AE52" s="286">
        <f>IF(ISBLANK(N52),AD52,AD52*5)</f>
      </c>
      <c r="AF52" s="287">
        <f>SUM(AG52:BE52)</f>
      </c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18"/>
      <c r="AR52" s="18"/>
      <c r="AS52" s="18"/>
      <c r="AT52" s="1"/>
      <c r="AU52" s="18"/>
      <c r="AV52" s="18"/>
      <c r="AW52" s="18"/>
      <c r="AX52" s="18"/>
      <c r="AY52" s="18"/>
      <c r="AZ52" s="18"/>
      <c r="BA52" s="18"/>
      <c r="BB52" s="18"/>
      <c r="BC52" s="16"/>
      <c r="BD52" s="16"/>
      <c r="BE52" s="16"/>
      <c r="BF52" s="286">
        <f>Z52-AF52</f>
      </c>
      <c r="BG52" s="321">
        <f>IFERROR(AF52/Y52,0)</f>
      </c>
      <c r="BH52" s="214">
        <f>IFERROR(AF52/X52,0)</f>
      </c>
      <c r="BI52" s="284">
        <f>IFERROR((X52/SUM(X$26:X$40)),0)</f>
      </c>
      <c r="BJ52" s="284">
        <f>IFERROR((BF52/SUM(BF$3:BF249)),0)</f>
      </c>
      <c r="BK52" s="288">
        <f>BF52/'R&amp;H Portfolio'!Q$10</f>
      </c>
      <c r="BL52" s="286">
        <f>BI52*P52</f>
      </c>
      <c r="BM52" s="3"/>
      <c r="BN52" s="3"/>
      <c r="BO52" s="17"/>
    </row>
    <row x14ac:dyDescent="0.25" r="53" customHeight="1" ht="15">
      <c r="A53" s="17"/>
      <c r="B53" s="14"/>
      <c r="C53" s="3"/>
      <c r="D53" s="3"/>
      <c r="E53" s="3"/>
      <c r="F53" s="3"/>
      <c r="G53" s="16"/>
      <c r="H53" s="18"/>
      <c r="I53" s="18"/>
      <c r="J53" s="279">
        <f>H53+I53</f>
      </c>
      <c r="K53" s="1"/>
      <c r="L53" s="123">
        <f>K53*I53</f>
      </c>
      <c r="M53" s="123">
        <f>K53*J53</f>
      </c>
      <c r="N53" s="16"/>
      <c r="O53" s="16"/>
      <c r="P53" s="282">
        <f>IF(ISBLANK(N53),O53/4.3,N53/20)</f>
      </c>
      <c r="Q53" s="1"/>
      <c r="R53" s="3"/>
      <c r="S53" s="3"/>
      <c r="T53" s="256">
        <f>IF(ISBLANK(R53),0,X53)</f>
      </c>
      <c r="U53" s="256">
        <f>IF(ISBLANK(S53),0,X53)</f>
      </c>
      <c r="V53" s="284">
        <f>IFERROR(Q53/K53,0)</f>
      </c>
      <c r="W53" s="123">
        <f>IFERROR(L53*V53,0)</f>
      </c>
      <c r="X53" s="256">
        <f>IFERROR(Q53+W53,0)</f>
      </c>
      <c r="Y53" s="256">
        <f>IFERROR(M53*V53,0)</f>
      </c>
      <c r="Z53" s="256">
        <f>Y53-(Y53*$B$1)</f>
      </c>
      <c r="AA53" s="285">
        <f>IFERROR(Z53/X53,0)</f>
      </c>
      <c r="AB53" s="286">
        <f>IFERROR(IF(ISBLANK(N53),Y53/O53,Y53/N53),0)</f>
      </c>
      <c r="AC53" s="286">
        <f>IFERROR(-1*(AB53*B$1),0)</f>
      </c>
      <c r="AD53" s="286">
        <f>IFERROR(SUM(AB53:AC53),0)</f>
      </c>
      <c r="AE53" s="286">
        <f>IF(ISBLANK(N53),AD53,AD53*5)</f>
      </c>
      <c r="AF53" s="287">
        <f>SUM(AG53:BE53)</f>
      </c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18"/>
      <c r="AR53" s="18"/>
      <c r="AS53" s="18"/>
      <c r="AT53" s="1"/>
      <c r="AU53" s="18"/>
      <c r="AV53" s="18"/>
      <c r="AW53" s="18"/>
      <c r="AX53" s="18"/>
      <c r="AY53" s="18"/>
      <c r="AZ53" s="18"/>
      <c r="BA53" s="18"/>
      <c r="BB53" s="18"/>
      <c r="BC53" s="16"/>
      <c r="BD53" s="16"/>
      <c r="BE53" s="16"/>
      <c r="BF53" s="286">
        <f>Z53-AF53</f>
      </c>
      <c r="BG53" s="321">
        <f>IFERROR(AF53/Y53,0)</f>
      </c>
      <c r="BH53" s="214">
        <f>IFERROR(AF53/X53,0)</f>
      </c>
      <c r="BI53" s="284">
        <f>IFERROR((X53/SUM(X$26:X$40)),0)</f>
      </c>
      <c r="BJ53" s="284">
        <f>IFERROR((BF53/SUM(BF$3:BF250)),0)</f>
      </c>
      <c r="BK53" s="288">
        <f>BF53/'R&amp;H Portfolio'!Q$10</f>
      </c>
      <c r="BL53" s="286">
        <f>BI53*P53</f>
      </c>
      <c r="BM53" s="3"/>
      <c r="BN53" s="3"/>
      <c r="BO53" s="17"/>
    </row>
    <row x14ac:dyDescent="0.25" r="54" customHeight="1" ht="15">
      <c r="A54" s="17"/>
      <c r="B54" s="14"/>
      <c r="C54" s="3"/>
      <c r="D54" s="3"/>
      <c r="E54" s="3"/>
      <c r="F54" s="3"/>
      <c r="G54" s="16"/>
      <c r="H54" s="18"/>
      <c r="I54" s="18"/>
      <c r="J54" s="279">
        <f>H54+I54</f>
      </c>
      <c r="K54" s="1"/>
      <c r="L54" s="123">
        <f>K54*I54</f>
      </c>
      <c r="M54" s="123">
        <f>K54*J54</f>
      </c>
      <c r="N54" s="16"/>
      <c r="O54" s="16"/>
      <c r="P54" s="282">
        <f>IF(ISBLANK(N54),O54/4.3,N54/20)</f>
      </c>
      <c r="Q54" s="1"/>
      <c r="R54" s="3"/>
      <c r="S54" s="3"/>
      <c r="T54" s="256">
        <f>IF(ISBLANK(R54),0,X54)</f>
      </c>
      <c r="U54" s="256">
        <f>IF(ISBLANK(S54),0,X54)</f>
      </c>
      <c r="V54" s="284">
        <f>IFERROR(Q54/K54,0)</f>
      </c>
      <c r="W54" s="123">
        <f>IFERROR(L54*V54,0)</f>
      </c>
      <c r="X54" s="256">
        <f>IFERROR(Q54+W54,0)</f>
      </c>
      <c r="Y54" s="256">
        <f>IFERROR(M54*V54,0)</f>
      </c>
      <c r="Z54" s="256">
        <f>Y54-(Y54*$B$1)</f>
      </c>
      <c r="AA54" s="285">
        <f>IFERROR(Z54/X54,0)</f>
      </c>
      <c r="AB54" s="286">
        <f>IFERROR(IF(ISBLANK(N54),Y54/O54,Y54/N54),0)</f>
      </c>
      <c r="AC54" s="286">
        <f>IFERROR(-1*(AB54*B$1),0)</f>
      </c>
      <c r="AD54" s="286">
        <f>IFERROR(SUM(AB54:AC54),0)</f>
      </c>
      <c r="AE54" s="286">
        <f>IF(ISBLANK(N54),AD54,AD54*5)</f>
      </c>
      <c r="AF54" s="287">
        <f>SUM(AG54:BE54)</f>
      </c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18"/>
      <c r="AR54" s="18"/>
      <c r="AS54" s="18"/>
      <c r="AT54" s="1"/>
      <c r="AU54" s="18"/>
      <c r="AV54" s="18"/>
      <c r="AW54" s="18"/>
      <c r="AX54" s="18"/>
      <c r="AY54" s="18"/>
      <c r="AZ54" s="18"/>
      <c r="BA54" s="18"/>
      <c r="BB54" s="18"/>
      <c r="BC54" s="16"/>
      <c r="BD54" s="16"/>
      <c r="BE54" s="16"/>
      <c r="BF54" s="286">
        <f>Z54-AF54</f>
      </c>
      <c r="BG54" s="321">
        <f>IFERROR(AF54/Y54,0)</f>
      </c>
      <c r="BH54" s="214">
        <f>IFERROR(AF54/X54,0)</f>
      </c>
      <c r="BI54" s="284">
        <f>IFERROR((X54/SUM(X$26:X$40)),0)</f>
      </c>
      <c r="BJ54" s="284">
        <f>IFERROR((BF54/SUM(BF$3:BF251)),0)</f>
      </c>
      <c r="BK54" s="288">
        <f>BF54/'R&amp;H Portfolio'!Q$10</f>
      </c>
      <c r="BL54" s="286">
        <f>BI54*P54</f>
      </c>
      <c r="BM54" s="3"/>
      <c r="BN54" s="3"/>
      <c r="BO54" s="17"/>
    </row>
    <row x14ac:dyDescent="0.25" r="55" customHeight="1" ht="15">
      <c r="A55" s="17"/>
      <c r="B55" s="14"/>
      <c r="C55" s="3"/>
      <c r="D55" s="3"/>
      <c r="E55" s="3"/>
      <c r="F55" s="3"/>
      <c r="G55" s="16"/>
      <c r="H55" s="18"/>
      <c r="I55" s="18"/>
      <c r="J55" s="279">
        <f>H55+I55</f>
      </c>
      <c r="K55" s="1"/>
      <c r="L55" s="123">
        <f>K55*I55</f>
      </c>
      <c r="M55" s="123">
        <f>K55*J55</f>
      </c>
      <c r="N55" s="16"/>
      <c r="O55" s="16"/>
      <c r="P55" s="282">
        <f>IF(ISBLANK(N55),O55/4.3,N55/20)</f>
      </c>
      <c r="Q55" s="1"/>
      <c r="R55" s="3"/>
      <c r="S55" s="3"/>
      <c r="T55" s="256">
        <f>IF(ISBLANK(R55),0,X55)</f>
      </c>
      <c r="U55" s="256">
        <f>IF(ISBLANK(S55),0,X55)</f>
      </c>
      <c r="V55" s="284">
        <f>IFERROR(Q55/K55,0)</f>
      </c>
      <c r="W55" s="123">
        <f>IFERROR(L55*V55,0)</f>
      </c>
      <c r="X55" s="256">
        <f>IFERROR(Q55+W55,0)</f>
      </c>
      <c r="Y55" s="256">
        <f>IFERROR(M55*V55,0)</f>
      </c>
      <c r="Z55" s="256">
        <f>Y55-(Y55*$B$1)</f>
      </c>
      <c r="AA55" s="285">
        <f>IFERROR(Z55/X55,0)</f>
      </c>
      <c r="AB55" s="286">
        <f>IFERROR(IF(ISBLANK(N55),Y55/O55,Y55/N55),0)</f>
      </c>
      <c r="AC55" s="286">
        <f>IFERROR(-1*(AB55*B$1),0)</f>
      </c>
      <c r="AD55" s="286">
        <f>IFERROR(SUM(AB55:AC55),0)</f>
      </c>
      <c r="AE55" s="286">
        <f>IF(ISBLANK(N55),AD55,AD55*5)</f>
      </c>
      <c r="AF55" s="287">
        <f>SUM(AG55:BE55)</f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18"/>
      <c r="AR55" s="18"/>
      <c r="AS55" s="18"/>
      <c r="AT55" s="1"/>
      <c r="AU55" s="18"/>
      <c r="AV55" s="18"/>
      <c r="AW55" s="18"/>
      <c r="AX55" s="18"/>
      <c r="AY55" s="18"/>
      <c r="AZ55" s="18"/>
      <c r="BA55" s="18"/>
      <c r="BB55" s="18"/>
      <c r="BC55" s="16"/>
      <c r="BD55" s="16"/>
      <c r="BE55" s="16"/>
      <c r="BF55" s="286">
        <f>Z55-AF55</f>
      </c>
      <c r="BG55" s="321">
        <f>IFERROR(AF55/Y55,0)</f>
      </c>
      <c r="BH55" s="214">
        <f>IFERROR(AF55/X55,0)</f>
      </c>
      <c r="BI55" s="284">
        <f>IFERROR((X55/SUM(X$26:X$40)),0)</f>
      </c>
      <c r="BJ55" s="284">
        <f>IFERROR((BF55/SUM(BF$3:BF252)),0)</f>
      </c>
      <c r="BK55" s="288">
        <f>BF55/'R&amp;H Portfolio'!Q$10</f>
      </c>
      <c r="BL55" s="286">
        <f>BI55*P55</f>
      </c>
      <c r="BM55" s="3"/>
      <c r="BN55" s="3"/>
      <c r="BO55" s="17"/>
    </row>
    <row x14ac:dyDescent="0.25" r="56" customHeight="1" ht="15">
      <c r="A56" s="17"/>
      <c r="B56" s="14"/>
      <c r="C56" s="3"/>
      <c r="D56" s="3"/>
      <c r="E56" s="3"/>
      <c r="F56" s="3"/>
      <c r="G56" s="16"/>
      <c r="H56" s="18"/>
      <c r="I56" s="18"/>
      <c r="J56" s="279">
        <f>H56+I56</f>
      </c>
      <c r="K56" s="1"/>
      <c r="L56" s="123">
        <f>K56*I56</f>
      </c>
      <c r="M56" s="123">
        <f>K56*J56</f>
      </c>
      <c r="N56" s="16"/>
      <c r="O56" s="16"/>
      <c r="P56" s="282">
        <f>IF(ISBLANK(N56),O56/4.3,N56/20)</f>
      </c>
      <c r="Q56" s="1"/>
      <c r="R56" s="3"/>
      <c r="S56" s="3"/>
      <c r="T56" s="256">
        <f>IF(ISBLANK(R56),0,X56)</f>
      </c>
      <c r="U56" s="256">
        <f>IF(ISBLANK(S56),0,X56)</f>
      </c>
      <c r="V56" s="284">
        <f>IFERROR(Q56/K56,0)</f>
      </c>
      <c r="W56" s="123">
        <f>IFERROR(L56*V56,0)</f>
      </c>
      <c r="X56" s="256">
        <f>IFERROR(Q56+W56,0)</f>
      </c>
      <c r="Y56" s="256">
        <f>IFERROR(M56*V56,0)</f>
      </c>
      <c r="Z56" s="256">
        <f>Y56-(Y56*$B$1)</f>
      </c>
      <c r="AA56" s="285">
        <f>IFERROR(Z56/X56,0)</f>
      </c>
      <c r="AB56" s="286">
        <f>IFERROR(IF(ISBLANK(N56),Y56/O56,Y56/N56),0)</f>
      </c>
      <c r="AC56" s="286">
        <f>IFERROR(-1*(AB56*B$1),0)</f>
      </c>
      <c r="AD56" s="286">
        <f>IFERROR(SUM(AB56:AC56),0)</f>
      </c>
      <c r="AE56" s="286">
        <f>IF(ISBLANK(N56),AD56,AD56*5)</f>
      </c>
      <c r="AF56" s="287">
        <f>SUM(AG56:BE56)</f>
      </c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18"/>
      <c r="AR56" s="18"/>
      <c r="AS56" s="18"/>
      <c r="AT56" s="1"/>
      <c r="AU56" s="18"/>
      <c r="AV56" s="18"/>
      <c r="AW56" s="18"/>
      <c r="AX56" s="18"/>
      <c r="AY56" s="18"/>
      <c r="AZ56" s="18"/>
      <c r="BA56" s="18"/>
      <c r="BB56" s="18"/>
      <c r="BC56" s="16"/>
      <c r="BD56" s="16"/>
      <c r="BE56" s="16"/>
      <c r="BF56" s="286">
        <f>Z56-AF56</f>
      </c>
      <c r="BG56" s="321">
        <f>IFERROR(AF56/Y56,0)</f>
      </c>
      <c r="BH56" s="214">
        <f>IFERROR(AF56/X56,0)</f>
      </c>
      <c r="BI56" s="284">
        <f>IFERROR((X56/SUM(X$26:X$40)),0)</f>
      </c>
      <c r="BJ56" s="284">
        <f>IFERROR((BF56/SUM(BF$3:BF253)),0)</f>
      </c>
      <c r="BK56" s="288">
        <f>BF56/'R&amp;H Portfolio'!Q$10</f>
      </c>
      <c r="BL56" s="286">
        <f>BI56*P56</f>
      </c>
      <c r="BM56" s="3"/>
      <c r="BN56" s="3"/>
      <c r="BO56" s="17"/>
    </row>
    <row x14ac:dyDescent="0.25" r="57" customHeight="1" ht="15">
      <c r="A57" s="17"/>
      <c r="B57" s="14"/>
      <c r="C57" s="3"/>
      <c r="D57" s="3"/>
      <c r="E57" s="3"/>
      <c r="F57" s="3"/>
      <c r="G57" s="16"/>
      <c r="H57" s="18"/>
      <c r="I57" s="18"/>
      <c r="J57" s="279">
        <f>H57+I57</f>
      </c>
      <c r="K57" s="1"/>
      <c r="L57" s="123">
        <f>K57*I57</f>
      </c>
      <c r="M57" s="123">
        <f>K57*J57</f>
      </c>
      <c r="N57" s="16"/>
      <c r="O57" s="16"/>
      <c r="P57" s="282">
        <f>IF(ISBLANK(N57),O57/4.3,N57/20)</f>
      </c>
      <c r="Q57" s="1"/>
      <c r="R57" s="3"/>
      <c r="S57" s="3"/>
      <c r="T57" s="256">
        <f>IF(ISBLANK(R57),0,X57)</f>
      </c>
      <c r="U57" s="256">
        <f>IF(ISBLANK(S57),0,X57)</f>
      </c>
      <c r="V57" s="284">
        <f>IFERROR(Q57/K57,0)</f>
      </c>
      <c r="W57" s="123">
        <f>IFERROR(L57*V57,0)</f>
      </c>
      <c r="X57" s="256">
        <f>IFERROR(Q57+W57,0)</f>
      </c>
      <c r="Y57" s="256">
        <f>IFERROR(M57*V57,0)</f>
      </c>
      <c r="Z57" s="256">
        <f>Y57-(Y57*$B$1)</f>
      </c>
      <c r="AA57" s="285">
        <f>IFERROR(Z57/X57,0)</f>
      </c>
      <c r="AB57" s="286">
        <f>IFERROR(IF(ISBLANK(N57),Y57/O57,Y57/N57),0)</f>
      </c>
      <c r="AC57" s="286">
        <f>IFERROR(-1*(AB57*B$1),0)</f>
      </c>
      <c r="AD57" s="286">
        <f>IFERROR(SUM(AB57:AC57),0)</f>
      </c>
      <c r="AE57" s="286">
        <f>IF(ISBLANK(N57),AD57,AD57*5)</f>
      </c>
      <c r="AF57" s="287">
        <f>SUM(AG57:AZ57)</f>
      </c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18"/>
      <c r="AR57" s="18"/>
      <c r="AS57" s="18"/>
      <c r="AT57" s="1"/>
      <c r="AU57" s="18"/>
      <c r="AV57" s="18"/>
      <c r="AW57" s="18"/>
      <c r="AX57" s="18"/>
      <c r="AY57" s="18"/>
      <c r="AZ57" s="18"/>
      <c r="BA57" s="18"/>
      <c r="BB57" s="18"/>
      <c r="BC57" s="16"/>
      <c r="BD57" s="16"/>
      <c r="BE57" s="16"/>
      <c r="BF57" s="286">
        <f>Z57-AF57</f>
      </c>
      <c r="BG57" s="321">
        <f>IFERROR(AF57/Y57,0)</f>
      </c>
      <c r="BH57" s="214">
        <f>IFERROR(AF57/X57,0)</f>
      </c>
      <c r="BI57" s="284">
        <f>IFERROR((X57/SUM(X$26:X$40)),0)</f>
      </c>
      <c r="BJ57" s="284">
        <f>IFERROR((BF57/SUM(BF$3:BF254)),0)</f>
      </c>
      <c r="BK57" s="288">
        <f>BF57/'R&amp;H Portfolio'!Q$10</f>
      </c>
      <c r="BL57" s="286">
        <f>BI57*P57</f>
      </c>
      <c r="BM57" s="3"/>
      <c r="BN57" s="3"/>
      <c r="BO57" s="17"/>
    </row>
    <row x14ac:dyDescent="0.25" r="58" customHeight="1" ht="15">
      <c r="A58" s="17"/>
      <c r="B58" s="14"/>
      <c r="C58" s="3"/>
      <c r="D58" s="3"/>
      <c r="E58" s="3"/>
      <c r="F58" s="3"/>
      <c r="G58" s="16"/>
      <c r="H58" s="18"/>
      <c r="I58" s="18"/>
      <c r="J58" s="279">
        <f>H58+I58</f>
      </c>
      <c r="K58" s="1"/>
      <c r="L58" s="123">
        <f>K58*I58</f>
      </c>
      <c r="M58" s="123">
        <f>K58*J58</f>
      </c>
      <c r="N58" s="16"/>
      <c r="O58" s="16"/>
      <c r="P58" s="282">
        <f>IF(ISBLANK(N58),O58/4.3,N58/20)</f>
      </c>
      <c r="Q58" s="1"/>
      <c r="R58" s="3"/>
      <c r="S58" s="3"/>
      <c r="T58" s="256">
        <f>IF(ISBLANK(R58),0,X58)</f>
      </c>
      <c r="U58" s="256">
        <f>IF(ISBLANK(S58),0,X58)</f>
      </c>
      <c r="V58" s="284">
        <f>IFERROR(Q58/K58,0)</f>
      </c>
      <c r="W58" s="123">
        <f>IFERROR(L58*V58,0)</f>
      </c>
      <c r="X58" s="256">
        <f>IFERROR(Q58+W58,0)</f>
      </c>
      <c r="Y58" s="256">
        <f>IFERROR(M58*V58,0)</f>
      </c>
      <c r="Z58" s="256">
        <f>Y58-(Y58*$B$1)</f>
      </c>
      <c r="AA58" s="285">
        <f>IFERROR(Z58/X58,0)</f>
      </c>
      <c r="AB58" s="286">
        <f>IFERROR(IF(ISBLANK(N58),Y58/O58,Y58/N58),0)</f>
      </c>
      <c r="AC58" s="286">
        <f>IFERROR(-1*(AB58*B$1),0)</f>
      </c>
      <c r="AD58" s="286">
        <f>IFERROR(SUM(AB58:AC58),0)</f>
      </c>
      <c r="AE58" s="286">
        <f>IF(ISBLANK(N58),AD58,AD58*5)</f>
      </c>
      <c r="AF58" s="287">
        <f>SUM(AG58:AZ58)</f>
      </c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18"/>
      <c r="AR58" s="18"/>
      <c r="AS58" s="18"/>
      <c r="AT58" s="1"/>
      <c r="AU58" s="18"/>
      <c r="AV58" s="18"/>
      <c r="AW58" s="18"/>
      <c r="AX58" s="18"/>
      <c r="AY58" s="18"/>
      <c r="AZ58" s="18"/>
      <c r="BA58" s="18"/>
      <c r="BB58" s="18"/>
      <c r="BC58" s="16"/>
      <c r="BD58" s="16"/>
      <c r="BE58" s="16"/>
      <c r="BF58" s="286">
        <f>Z58-AF58</f>
      </c>
      <c r="BG58" s="321">
        <f>IFERROR(AF58/Y58,0)</f>
      </c>
      <c r="BH58" s="214">
        <f>IFERROR(AF58/X58,0)</f>
      </c>
      <c r="BI58" s="284">
        <f>IFERROR((X58/SUM(X$26:X$40)),0)</f>
      </c>
      <c r="BJ58" s="284">
        <f>IFERROR((BF58/SUM(BF$3:BF255)),0)</f>
      </c>
      <c r="BK58" s="288">
        <f>BF58/'R&amp;H Portfolio'!Q$10</f>
      </c>
      <c r="BL58" s="286">
        <f>BI58*P58</f>
      </c>
      <c r="BM58" s="3"/>
      <c r="BN58" s="3"/>
      <c r="BO58" s="17"/>
    </row>
    <row x14ac:dyDescent="0.25" r="59" customHeight="1" ht="15">
      <c r="A59" s="17"/>
      <c r="B59" s="14"/>
      <c r="C59" s="3"/>
      <c r="D59" s="3"/>
      <c r="E59" s="3"/>
      <c r="F59" s="3"/>
      <c r="G59" s="16"/>
      <c r="H59" s="18"/>
      <c r="I59" s="18"/>
      <c r="J59" s="279">
        <f>H59+I59</f>
      </c>
      <c r="K59" s="1"/>
      <c r="L59" s="123">
        <f>K59*I59</f>
      </c>
      <c r="M59" s="123">
        <f>K59*J59</f>
      </c>
      <c r="N59" s="16"/>
      <c r="O59" s="16"/>
      <c r="P59" s="282">
        <f>IF(ISBLANK(N59),O59/4.3,N59/20)</f>
      </c>
      <c r="Q59" s="1"/>
      <c r="R59" s="3"/>
      <c r="S59" s="3"/>
      <c r="T59" s="256">
        <f>IF(ISBLANK(R59),0,X59)</f>
      </c>
      <c r="U59" s="256">
        <f>IF(ISBLANK(S59),0,X59)</f>
      </c>
      <c r="V59" s="284">
        <f>IFERROR(Q59/K59,0)</f>
      </c>
      <c r="W59" s="123">
        <f>IFERROR(L59*V59,0)</f>
      </c>
      <c r="X59" s="256">
        <f>IFERROR(Q59+W59,0)</f>
      </c>
      <c r="Y59" s="256">
        <f>IFERROR(M59*V59,0)</f>
      </c>
      <c r="Z59" s="256">
        <f>Y59-(Y59*$B$1)</f>
      </c>
      <c r="AA59" s="285">
        <f>IFERROR(Z59/X59,0)</f>
      </c>
      <c r="AB59" s="286">
        <f>IFERROR(IF(ISBLANK(N59),Y59/O59,Y59/N59),0)</f>
      </c>
      <c r="AC59" s="286">
        <f>IFERROR(-1*(AB59*B$1),0)</f>
      </c>
      <c r="AD59" s="286">
        <f>IFERROR(SUM(AB59:AC59),0)</f>
      </c>
      <c r="AE59" s="286">
        <f>IF(ISBLANK(N59),AD59,AD59*5)</f>
      </c>
      <c r="AF59" s="287">
        <f>SUM(AG59:AZ59)</f>
      </c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18"/>
      <c r="AR59" s="18"/>
      <c r="AS59" s="18"/>
      <c r="AT59" s="1"/>
      <c r="AU59" s="18"/>
      <c r="AV59" s="18"/>
      <c r="AW59" s="18"/>
      <c r="AX59" s="18"/>
      <c r="AY59" s="18"/>
      <c r="AZ59" s="18"/>
      <c r="BA59" s="18"/>
      <c r="BB59" s="18"/>
      <c r="BC59" s="16"/>
      <c r="BD59" s="16"/>
      <c r="BE59" s="16"/>
      <c r="BF59" s="286">
        <f>Z59-AF59</f>
      </c>
      <c r="BG59" s="321">
        <f>IFERROR(AF59/Y59,0)</f>
      </c>
      <c r="BH59" s="214">
        <f>IFERROR(AF59/X59,0)</f>
      </c>
      <c r="BI59" s="284">
        <f>IFERROR((X59/SUM(X$26:X$40)),0)</f>
      </c>
      <c r="BJ59" s="284">
        <f>IFERROR((BF59/SUM(BF$3:BF256)),0)</f>
      </c>
      <c r="BK59" s="288">
        <f>BF59/'R&amp;H Portfolio'!Q$10</f>
      </c>
      <c r="BL59" s="286">
        <f>BI59*P59</f>
      </c>
      <c r="BM59" s="3"/>
      <c r="BN59" s="3"/>
      <c r="BO59" s="17"/>
    </row>
    <row x14ac:dyDescent="0.25" r="60" customHeight="1" ht="15">
      <c r="A60" s="17"/>
      <c r="B60" s="14"/>
      <c r="C60" s="3"/>
      <c r="D60" s="3"/>
      <c r="E60" s="3"/>
      <c r="F60" s="3"/>
      <c r="G60" s="16"/>
      <c r="H60" s="18"/>
      <c r="I60" s="18"/>
      <c r="J60" s="279">
        <f>H60+I60</f>
      </c>
      <c r="K60" s="1"/>
      <c r="L60" s="123">
        <f>K60*I60</f>
      </c>
      <c r="M60" s="123">
        <f>K60*J60</f>
      </c>
      <c r="N60" s="16"/>
      <c r="O60" s="16"/>
      <c r="P60" s="282">
        <f>IF(ISBLANK(N60),O60/4.3,N60/20)</f>
      </c>
      <c r="Q60" s="1"/>
      <c r="R60" s="3"/>
      <c r="S60" s="3"/>
      <c r="T60" s="256">
        <f>IF(ISBLANK(R60),0,X60)</f>
      </c>
      <c r="U60" s="256">
        <f>IF(ISBLANK(S60),0,X60)</f>
      </c>
      <c r="V60" s="284">
        <f>IFERROR(Q60/K60,0)</f>
      </c>
      <c r="W60" s="123">
        <f>IFERROR(L60*V60,0)</f>
      </c>
      <c r="X60" s="256">
        <f>IFERROR(Q60+W60,0)</f>
      </c>
      <c r="Y60" s="256">
        <f>IFERROR(M60*V60,0)</f>
      </c>
      <c r="Z60" s="256">
        <f>Y60-(Y60*$B$1)</f>
      </c>
      <c r="AA60" s="285">
        <f>IFERROR(Z60/X60,0)</f>
      </c>
      <c r="AB60" s="286">
        <f>IFERROR(IF(ISBLANK(N60),Y60/O60,Y60/N60),0)</f>
      </c>
      <c r="AC60" s="286">
        <f>IFERROR(-1*(AB60*B$1),0)</f>
      </c>
      <c r="AD60" s="286">
        <f>IFERROR(SUM(AB60:AC60),0)</f>
      </c>
      <c r="AE60" s="286">
        <f>IF(ISBLANK(N60),AD60,AD60*5)</f>
      </c>
      <c r="AF60" s="287">
        <f>SUM(AG60:AZ60)</f>
      </c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18"/>
      <c r="AR60" s="18"/>
      <c r="AS60" s="18"/>
      <c r="AT60" s="1"/>
      <c r="AU60" s="18"/>
      <c r="AV60" s="18"/>
      <c r="AW60" s="18"/>
      <c r="AX60" s="18"/>
      <c r="AY60" s="18"/>
      <c r="AZ60" s="18"/>
      <c r="BA60" s="18"/>
      <c r="BB60" s="18"/>
      <c r="BC60" s="16"/>
      <c r="BD60" s="16"/>
      <c r="BE60" s="16"/>
      <c r="BF60" s="286">
        <f>Z60-AF60</f>
      </c>
      <c r="BG60" s="321">
        <f>IFERROR(AF60/Y60,0)</f>
      </c>
      <c r="BH60" s="214">
        <f>IFERROR(AF60/X60,0)</f>
      </c>
      <c r="BI60" s="284">
        <f>IFERROR((X60/SUM(X$26:X$40)),0)</f>
      </c>
      <c r="BJ60" s="284">
        <f>IFERROR((BF60/SUM(BF$3:BF257)),0)</f>
      </c>
      <c r="BK60" s="288">
        <f>BF60/'R&amp;H Portfolio'!Q$10</f>
      </c>
      <c r="BL60" s="286">
        <f>BI60*P60</f>
      </c>
      <c r="BM60" s="3"/>
      <c r="BN60" s="3"/>
      <c r="BO60" s="17"/>
    </row>
    <row x14ac:dyDescent="0.25" r="61" customHeight="1" ht="15">
      <c r="A61" s="17"/>
      <c r="B61" s="14"/>
      <c r="C61" s="3"/>
      <c r="D61" s="3"/>
      <c r="E61" s="3"/>
      <c r="F61" s="3"/>
      <c r="G61" s="16"/>
      <c r="H61" s="18"/>
      <c r="I61" s="18"/>
      <c r="J61" s="279">
        <f>H61+I61</f>
      </c>
      <c r="K61" s="1"/>
      <c r="L61" s="123">
        <f>K61*I61</f>
      </c>
      <c r="M61" s="123">
        <f>K61*J61</f>
      </c>
      <c r="N61" s="16"/>
      <c r="O61" s="16"/>
      <c r="P61" s="282">
        <f>IF(ISBLANK(N61),O61/4.3,N61/20)</f>
      </c>
      <c r="Q61" s="1"/>
      <c r="R61" s="3"/>
      <c r="S61" s="3"/>
      <c r="T61" s="256">
        <f>IF(ISBLANK(R61),0,X61)</f>
      </c>
      <c r="U61" s="256">
        <f>IF(ISBLANK(S61),0,X61)</f>
      </c>
      <c r="V61" s="284">
        <f>IFERROR(Q61/K61,0)</f>
      </c>
      <c r="W61" s="123">
        <f>IFERROR(L61*V61,0)</f>
      </c>
      <c r="X61" s="256">
        <f>IFERROR(Q61+W61,0)</f>
      </c>
      <c r="Y61" s="256">
        <f>IFERROR(M61*V61,0)</f>
      </c>
      <c r="Z61" s="256">
        <f>Y61-(Y61*$B$1)</f>
      </c>
      <c r="AA61" s="285">
        <f>IFERROR(Z61/X61,0)</f>
      </c>
      <c r="AB61" s="286">
        <f>IFERROR(IF(ISBLANK(N61),Y61/O61,Y61/N61),0)</f>
      </c>
      <c r="AC61" s="286">
        <f>IFERROR(-1*(AB61*B$1),0)</f>
      </c>
      <c r="AD61" s="286">
        <f>IFERROR(SUM(AB61:AC61),0)</f>
      </c>
      <c r="AE61" s="286">
        <f>IF(ISBLANK(N61),AD61,AD61*5)</f>
      </c>
      <c r="AF61" s="287">
        <f>SUM(AG61:AZ61)</f>
      </c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18"/>
      <c r="AR61" s="18"/>
      <c r="AS61" s="18"/>
      <c r="AT61" s="1"/>
      <c r="AU61" s="18"/>
      <c r="AV61" s="18"/>
      <c r="AW61" s="18"/>
      <c r="AX61" s="18"/>
      <c r="AY61" s="18"/>
      <c r="AZ61" s="18"/>
      <c r="BA61" s="18"/>
      <c r="BB61" s="18"/>
      <c r="BC61" s="16"/>
      <c r="BD61" s="16"/>
      <c r="BE61" s="16"/>
      <c r="BF61" s="286">
        <f>Z61-AF61</f>
      </c>
      <c r="BG61" s="321">
        <f>IFERROR(AF61/Y61,0)</f>
      </c>
      <c r="BH61" s="214">
        <f>IFERROR(AF61/X61,0)</f>
      </c>
      <c r="BI61" s="284">
        <f>IFERROR((X61/SUM(X$26:X$40)),0)</f>
      </c>
      <c r="BJ61" s="284">
        <f>IFERROR((BF61/SUM(BF$3:BF258)),0)</f>
      </c>
      <c r="BK61" s="288">
        <f>BF61/'R&amp;H Portfolio'!Q$10</f>
      </c>
      <c r="BL61" s="286">
        <f>BI61*P61</f>
      </c>
      <c r="BM61" s="3"/>
      <c r="BN61" s="3"/>
      <c r="BO61" s="17"/>
    </row>
    <row x14ac:dyDescent="0.25" r="62" customHeight="1" ht="15">
      <c r="A62" s="17"/>
      <c r="B62" s="14"/>
      <c r="C62" s="3"/>
      <c r="D62" s="3"/>
      <c r="E62" s="3"/>
      <c r="F62" s="3"/>
      <c r="G62" s="16"/>
      <c r="H62" s="18"/>
      <c r="I62" s="18"/>
      <c r="J62" s="279">
        <f>H62+I62</f>
      </c>
      <c r="K62" s="1"/>
      <c r="L62" s="123">
        <f>K62*I62</f>
      </c>
      <c r="M62" s="123">
        <f>K62*J62</f>
      </c>
      <c r="N62" s="16"/>
      <c r="O62" s="16"/>
      <c r="P62" s="282">
        <f>IF(ISBLANK(N62),O62/4.3,N62/20)</f>
      </c>
      <c r="Q62" s="1"/>
      <c r="R62" s="3"/>
      <c r="S62" s="3"/>
      <c r="T62" s="256">
        <f>IF(ISBLANK(R62),0,X62)</f>
      </c>
      <c r="U62" s="256">
        <f>IF(ISBLANK(S62),0,X62)</f>
      </c>
      <c r="V62" s="284">
        <f>IFERROR(Q62/K62,0)</f>
      </c>
      <c r="W62" s="123">
        <f>IFERROR(L62*V62,0)</f>
      </c>
      <c r="X62" s="256">
        <f>IFERROR(Q62+W62,0)</f>
      </c>
      <c r="Y62" s="256">
        <f>IFERROR(M62*V62,0)</f>
      </c>
      <c r="Z62" s="256">
        <f>Y62-(Y62*$B$1)</f>
      </c>
      <c r="AA62" s="285">
        <f>IFERROR(Z62/X62,0)</f>
      </c>
      <c r="AB62" s="286">
        <f>IFERROR(IF(ISBLANK(N62),Y62/O62,Y62/N62),0)</f>
      </c>
      <c r="AC62" s="286">
        <f>IFERROR(-1*(AB62*B$1),0)</f>
      </c>
      <c r="AD62" s="286">
        <f>IFERROR(SUM(AB62:AC62),0)</f>
      </c>
      <c r="AE62" s="286">
        <f>IF(ISBLANK(N62),AD62,AD62*5)</f>
      </c>
      <c r="AF62" s="287">
        <f>SUM(AG62:AZ62)</f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18"/>
      <c r="AR62" s="18"/>
      <c r="AS62" s="18"/>
      <c r="AT62" s="1"/>
      <c r="AU62" s="18"/>
      <c r="AV62" s="18"/>
      <c r="AW62" s="18"/>
      <c r="AX62" s="18"/>
      <c r="AY62" s="18"/>
      <c r="AZ62" s="18"/>
      <c r="BA62" s="18"/>
      <c r="BB62" s="18"/>
      <c r="BC62" s="16"/>
      <c r="BD62" s="16"/>
      <c r="BE62" s="16"/>
      <c r="BF62" s="286">
        <f>Z62-AF62</f>
      </c>
      <c r="BG62" s="321">
        <f>IFERROR(AF62/Y62,0)</f>
      </c>
      <c r="BH62" s="214">
        <f>IFERROR(AF62/X62,0)</f>
      </c>
      <c r="BI62" s="284">
        <f>IFERROR((X62/SUM(X$26:X$40)),0)</f>
      </c>
      <c r="BJ62" s="284">
        <f>IFERROR((BF62/SUM(BF$3:BF259)),0)</f>
      </c>
      <c r="BK62" s="288">
        <f>BF62/'R&amp;H Portfolio'!Q$10</f>
      </c>
      <c r="BL62" s="286">
        <f>BI62*P62</f>
      </c>
      <c r="BM62" s="3"/>
      <c r="BN62" s="3"/>
      <c r="BO62" s="17"/>
    </row>
    <row x14ac:dyDescent="0.25" r="63" customHeight="1" ht="15">
      <c r="A63" s="17"/>
      <c r="B63" s="14"/>
      <c r="C63" s="3"/>
      <c r="D63" s="3"/>
      <c r="E63" s="3"/>
      <c r="F63" s="3"/>
      <c r="G63" s="16"/>
      <c r="H63" s="18"/>
      <c r="I63" s="18"/>
      <c r="J63" s="279">
        <f>H63+I63</f>
      </c>
      <c r="K63" s="1"/>
      <c r="L63" s="123">
        <f>K63*I63</f>
      </c>
      <c r="M63" s="123">
        <f>K63*J63</f>
      </c>
      <c r="N63" s="16"/>
      <c r="O63" s="16"/>
      <c r="P63" s="282">
        <f>IF(ISBLANK(N63),O63/4.3,N63/20)</f>
      </c>
      <c r="Q63" s="1"/>
      <c r="R63" s="3"/>
      <c r="S63" s="3"/>
      <c r="T63" s="256">
        <f>IF(ISBLANK(R63),0,X63)</f>
      </c>
      <c r="U63" s="256">
        <f>IF(ISBLANK(S63),0,X63)</f>
      </c>
      <c r="V63" s="284">
        <f>IFERROR(Q63/K63,0)</f>
      </c>
      <c r="W63" s="123">
        <f>IFERROR(L63*V63,0)</f>
      </c>
      <c r="X63" s="256">
        <f>IFERROR(Q63+W63,0)</f>
      </c>
      <c r="Y63" s="256">
        <f>IFERROR(M63*V63,0)</f>
      </c>
      <c r="Z63" s="256">
        <f>Y63-(Y63*$B$1)</f>
      </c>
      <c r="AA63" s="285">
        <f>IFERROR(Z63/X63,0)</f>
      </c>
      <c r="AB63" s="286">
        <f>IFERROR(IF(ISBLANK(N63),Y63/O63,Y63/N63),0)</f>
      </c>
      <c r="AC63" s="286">
        <f>IFERROR(-1*(AB63*B$1),0)</f>
      </c>
      <c r="AD63" s="286">
        <f>IFERROR(SUM(AB63:AC63),0)</f>
      </c>
      <c r="AE63" s="286">
        <f>IF(ISBLANK(N63),AD63,AD63*5)</f>
      </c>
      <c r="AF63" s="287">
        <f>SUM(AG63:AZ63)</f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18"/>
      <c r="AR63" s="18"/>
      <c r="AS63" s="18"/>
      <c r="AT63" s="1"/>
      <c r="AU63" s="18"/>
      <c r="AV63" s="18"/>
      <c r="AW63" s="18"/>
      <c r="AX63" s="18"/>
      <c r="AY63" s="18"/>
      <c r="AZ63" s="18"/>
      <c r="BA63" s="18"/>
      <c r="BB63" s="18"/>
      <c r="BC63" s="16"/>
      <c r="BD63" s="16"/>
      <c r="BE63" s="16"/>
      <c r="BF63" s="286">
        <f>Z63-AF63</f>
      </c>
      <c r="BG63" s="321">
        <f>IFERROR(AF63/Y63,0)</f>
      </c>
      <c r="BH63" s="214">
        <f>IFERROR(AF63/X63,0)</f>
      </c>
      <c r="BI63" s="284">
        <f>IFERROR((X63/SUM(X$26:X$40)),0)</f>
      </c>
      <c r="BJ63" s="284">
        <f>IFERROR((BF63/SUM(BF$3:BF260)),0)</f>
      </c>
      <c r="BK63" s="288">
        <f>BF63/'R&amp;H Portfolio'!Q$10</f>
      </c>
      <c r="BL63" s="286">
        <f>BI63*P63</f>
      </c>
      <c r="BM63" s="3"/>
      <c r="BN63" s="3"/>
      <c r="BO63" s="17"/>
    </row>
    <row x14ac:dyDescent="0.25" r="64" customHeight="1" ht="15">
      <c r="A64" s="17"/>
      <c r="B64" s="14"/>
      <c r="C64" s="3"/>
      <c r="D64" s="3"/>
      <c r="E64" s="3"/>
      <c r="F64" s="3"/>
      <c r="G64" s="16"/>
      <c r="H64" s="18"/>
      <c r="I64" s="18"/>
      <c r="J64" s="279">
        <f>H64+I64</f>
      </c>
      <c r="K64" s="1"/>
      <c r="L64" s="123">
        <f>K64*I64</f>
      </c>
      <c r="M64" s="123">
        <f>K64*J64</f>
      </c>
      <c r="N64" s="16"/>
      <c r="O64" s="16"/>
      <c r="P64" s="282">
        <f>IF(ISBLANK(N64),O64/4.3,N64/20)</f>
      </c>
      <c r="Q64" s="1"/>
      <c r="R64" s="3"/>
      <c r="S64" s="3"/>
      <c r="T64" s="256">
        <f>IF(ISBLANK(R64),0,X64)</f>
      </c>
      <c r="U64" s="256">
        <f>IF(ISBLANK(S64),0,X64)</f>
      </c>
      <c r="V64" s="284">
        <f>IFERROR(Q64/K64,0)</f>
      </c>
      <c r="W64" s="123">
        <f>IFERROR(L64*V64,0)</f>
      </c>
      <c r="X64" s="256">
        <f>IFERROR(Q64+W64,0)</f>
      </c>
      <c r="Y64" s="256">
        <f>IFERROR(M64*V64,0)</f>
      </c>
      <c r="Z64" s="256">
        <f>Y64-(Y64*$B$1)</f>
      </c>
      <c r="AA64" s="285">
        <f>IFERROR(Z64/X64,0)</f>
      </c>
      <c r="AB64" s="286">
        <f>IFERROR(IF(ISBLANK(N64),Y64/O64,Y64/N64),0)</f>
      </c>
      <c r="AC64" s="286">
        <f>IFERROR(-1*(AB64*B$1),0)</f>
      </c>
      <c r="AD64" s="286">
        <f>IFERROR(SUM(AB64:AC64),0)</f>
      </c>
      <c r="AE64" s="286">
        <f>IF(ISBLANK(N64),AD64,AD64*5)</f>
      </c>
      <c r="AF64" s="287">
        <f>SUM(AG64:AZ64)</f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18"/>
      <c r="AR64" s="18"/>
      <c r="AS64" s="18"/>
      <c r="AT64" s="1"/>
      <c r="AU64" s="18"/>
      <c r="AV64" s="18"/>
      <c r="AW64" s="18"/>
      <c r="AX64" s="18"/>
      <c r="AY64" s="18"/>
      <c r="AZ64" s="18"/>
      <c r="BA64" s="18"/>
      <c r="BB64" s="18"/>
      <c r="BC64" s="16"/>
      <c r="BD64" s="16"/>
      <c r="BE64" s="16"/>
      <c r="BF64" s="286">
        <f>Z64-AF64</f>
      </c>
      <c r="BG64" s="321">
        <f>IFERROR(AF64/Y64,0)</f>
      </c>
      <c r="BH64" s="214">
        <f>IFERROR(AF64/X64,0)</f>
      </c>
      <c r="BI64" s="284">
        <f>IFERROR((X64/SUM(X$26:X$40)),0)</f>
      </c>
      <c r="BJ64" s="284">
        <f>IFERROR((BF64/SUM(BF$3:BF261)),0)</f>
      </c>
      <c r="BK64" s="288">
        <f>BF64/'R&amp;H Portfolio'!Q$10</f>
      </c>
      <c r="BL64" s="286">
        <f>BI64*P64</f>
      </c>
      <c r="BM64" s="3"/>
      <c r="BN64" s="3"/>
      <c r="BO64" s="17"/>
    </row>
    <row x14ac:dyDescent="0.25" r="65" customHeight="1" ht="15">
      <c r="A65" s="17"/>
      <c r="B65" s="14"/>
      <c r="C65" s="3"/>
      <c r="D65" s="3"/>
      <c r="E65" s="3"/>
      <c r="F65" s="3"/>
      <c r="G65" s="16"/>
      <c r="H65" s="18"/>
      <c r="I65" s="18"/>
      <c r="J65" s="279">
        <f>H65+I65</f>
      </c>
      <c r="K65" s="1"/>
      <c r="L65" s="123">
        <f>K65*I65</f>
      </c>
      <c r="M65" s="123">
        <f>K65*J65</f>
      </c>
      <c r="N65" s="16"/>
      <c r="O65" s="16"/>
      <c r="P65" s="282">
        <f>IF(ISBLANK(N65),O65/4.3,N65/20)</f>
      </c>
      <c r="Q65" s="1"/>
      <c r="R65" s="3"/>
      <c r="S65" s="3"/>
      <c r="T65" s="256">
        <f>IF(ISBLANK(R65),0,X65)</f>
      </c>
      <c r="U65" s="256">
        <f>IF(ISBLANK(S65),0,X65)</f>
      </c>
      <c r="V65" s="284">
        <f>IFERROR(Q65/K65,0)</f>
      </c>
      <c r="W65" s="123">
        <f>IFERROR(L65*V65,0)</f>
      </c>
      <c r="X65" s="256">
        <f>IFERROR(Q65+W65,0)</f>
      </c>
      <c r="Y65" s="256">
        <f>IFERROR(M65*V65,0)</f>
      </c>
      <c r="Z65" s="256">
        <f>Y65-(Y65*$B$1)</f>
      </c>
      <c r="AA65" s="285">
        <f>IFERROR(Z65/X65,0)</f>
      </c>
      <c r="AB65" s="286">
        <f>IFERROR(IF(ISBLANK(N65),Y65/O65,Y65/N65),0)</f>
      </c>
      <c r="AC65" s="286">
        <f>IFERROR(-1*(AB65*B$1),0)</f>
      </c>
      <c r="AD65" s="286">
        <f>IFERROR(SUM(AB65:AC65),0)</f>
      </c>
      <c r="AE65" s="286">
        <f>IF(ISBLANK(N65),AD65,AD65*5)</f>
      </c>
      <c r="AF65" s="287">
        <f>SUM(AG65:AZ65)</f>
      </c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18"/>
      <c r="AR65" s="18"/>
      <c r="AS65" s="18"/>
      <c r="AT65" s="1"/>
      <c r="AU65" s="18"/>
      <c r="AV65" s="18"/>
      <c r="AW65" s="18"/>
      <c r="AX65" s="18"/>
      <c r="AY65" s="18"/>
      <c r="AZ65" s="18"/>
      <c r="BA65" s="18"/>
      <c r="BB65" s="18"/>
      <c r="BC65" s="16"/>
      <c r="BD65" s="16"/>
      <c r="BE65" s="16"/>
      <c r="BF65" s="286">
        <f>Z65-AF65</f>
      </c>
      <c r="BG65" s="321">
        <f>IFERROR(AF65/Y65,0)</f>
      </c>
      <c r="BH65" s="214">
        <f>IFERROR(AF65/X65,0)</f>
      </c>
      <c r="BI65" s="284">
        <f>IFERROR((X65/SUM(X$26:X$40)),0)</f>
      </c>
      <c r="BJ65" s="284">
        <f>IFERROR((BF65/SUM(BF$3:BF262)),0)</f>
      </c>
      <c r="BK65" s="288">
        <f>BF65/'R&amp;H Portfolio'!Q$10</f>
      </c>
      <c r="BL65" s="286">
        <f>BI65*P65</f>
      </c>
      <c r="BM65" s="3"/>
      <c r="BN65" s="3"/>
      <c r="BO65" s="17"/>
    </row>
    <row x14ac:dyDescent="0.25" r="66" customHeight="1" ht="15">
      <c r="A66" s="17"/>
      <c r="B66" s="14"/>
      <c r="C66" s="3"/>
      <c r="D66" s="3"/>
      <c r="E66" s="3"/>
      <c r="F66" s="3"/>
      <c r="G66" s="16"/>
      <c r="H66" s="18"/>
      <c r="I66" s="18"/>
      <c r="J66" s="279">
        <f>H66+I66</f>
      </c>
      <c r="K66" s="1"/>
      <c r="L66" s="123">
        <f>K66*I66</f>
      </c>
      <c r="M66" s="123">
        <f>K66*J66</f>
      </c>
      <c r="N66" s="16"/>
      <c r="O66" s="16"/>
      <c r="P66" s="282">
        <f>IF(ISBLANK(N66),O66/4.3,N66/20)</f>
      </c>
      <c r="Q66" s="1"/>
      <c r="R66" s="3"/>
      <c r="S66" s="3"/>
      <c r="T66" s="256">
        <f>IF(ISBLANK(R66),0,X66)</f>
      </c>
      <c r="U66" s="256">
        <f>IF(ISBLANK(S66),0,X66)</f>
      </c>
      <c r="V66" s="284">
        <f>IFERROR(Q66/K66,0)</f>
      </c>
      <c r="W66" s="123">
        <f>IFERROR(L66*V66,0)</f>
      </c>
      <c r="X66" s="256">
        <f>IFERROR(Q66+W66,0)</f>
      </c>
      <c r="Y66" s="256">
        <f>IFERROR(M66*V66,0)</f>
      </c>
      <c r="Z66" s="256">
        <f>Y66-(Y66*$B$1)</f>
      </c>
      <c r="AA66" s="285">
        <f>IFERROR(Z66/X66,0)</f>
      </c>
      <c r="AB66" s="286">
        <f>IFERROR(IF(ISBLANK(N66),Y66/O66,Y66/N66),0)</f>
      </c>
      <c r="AC66" s="286">
        <f>IFERROR(-1*(AB66*B$1),0)</f>
      </c>
      <c r="AD66" s="286">
        <f>IFERROR(SUM(AB66:AC66),0)</f>
      </c>
      <c r="AE66" s="286">
        <f>IF(ISBLANK(N66),AD66,AD66*5)</f>
      </c>
      <c r="AF66" s="287">
        <f>SUM(AG66:AZ66)</f>
      </c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18"/>
      <c r="AR66" s="18"/>
      <c r="AS66" s="18"/>
      <c r="AT66" s="1"/>
      <c r="AU66" s="18"/>
      <c r="AV66" s="18"/>
      <c r="AW66" s="18"/>
      <c r="AX66" s="18"/>
      <c r="AY66" s="18"/>
      <c r="AZ66" s="18"/>
      <c r="BA66" s="18"/>
      <c r="BB66" s="18"/>
      <c r="BC66" s="16"/>
      <c r="BD66" s="16"/>
      <c r="BE66" s="16"/>
      <c r="BF66" s="286">
        <f>Z66-AF66</f>
      </c>
      <c r="BG66" s="321">
        <f>IFERROR(AF66/Y66,0)</f>
      </c>
      <c r="BH66" s="214">
        <f>IFERROR(AF66/X66,0)</f>
      </c>
      <c r="BI66" s="284">
        <f>IFERROR((X66/SUM(X$26:X$40)),0)</f>
      </c>
      <c r="BJ66" s="284">
        <f>IFERROR((BF66/SUM(BF$3:BF263)),0)</f>
      </c>
      <c r="BK66" s="288">
        <f>BF66/'R&amp;H Portfolio'!Q$10</f>
      </c>
      <c r="BL66" s="286">
        <f>BI66*P66</f>
      </c>
      <c r="BM66" s="3"/>
      <c r="BN66" s="3"/>
      <c r="BO66" s="17"/>
    </row>
    <row x14ac:dyDescent="0.25" r="67" customHeight="1" ht="15">
      <c r="A67" s="17"/>
      <c r="B67" s="14"/>
      <c r="C67" s="3"/>
      <c r="D67" s="3"/>
      <c r="E67" s="3"/>
      <c r="F67" s="3"/>
      <c r="G67" s="16"/>
      <c r="H67" s="18"/>
      <c r="I67" s="18"/>
      <c r="J67" s="279">
        <f>H67+I67</f>
      </c>
      <c r="K67" s="1"/>
      <c r="L67" s="123">
        <f>K67*I67</f>
      </c>
      <c r="M67" s="123">
        <f>K67*J67</f>
      </c>
      <c r="N67" s="16"/>
      <c r="O67" s="16"/>
      <c r="P67" s="282">
        <f>IF(ISBLANK(N67),O67/4.3,N67/20)</f>
      </c>
      <c r="Q67" s="1"/>
      <c r="R67" s="3"/>
      <c r="S67" s="3"/>
      <c r="T67" s="256">
        <f>IF(ISBLANK(R67),0,X67)</f>
      </c>
      <c r="U67" s="256">
        <f>IF(ISBLANK(S67),0,X67)</f>
      </c>
      <c r="V67" s="284">
        <f>IFERROR(Q67/K67,0)</f>
      </c>
      <c r="W67" s="123">
        <f>IFERROR(L67*V67,0)</f>
      </c>
      <c r="X67" s="256">
        <f>IFERROR(Q67+W67,0)</f>
      </c>
      <c r="Y67" s="256">
        <f>IFERROR(M67*V67,0)</f>
      </c>
      <c r="Z67" s="256">
        <f>Y67-(Y67*$B$1)</f>
      </c>
      <c r="AA67" s="285">
        <f>IFERROR(Z67/X67,0)</f>
      </c>
      <c r="AB67" s="286">
        <f>IFERROR(IF(ISBLANK(N67),Y67/O67,Y67/N67),0)</f>
      </c>
      <c r="AC67" s="286">
        <f>IFERROR(-1*(AB67*B$1),0)</f>
      </c>
      <c r="AD67" s="286">
        <f>IFERROR(SUM(AB67:AC67),0)</f>
      </c>
      <c r="AE67" s="286">
        <f>IF(ISBLANK(N67),AD67,AD67*5)</f>
      </c>
      <c r="AF67" s="287">
        <f>SUM(AG67:AZ67)</f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18"/>
      <c r="AR67" s="18"/>
      <c r="AS67" s="18"/>
      <c r="AT67" s="1"/>
      <c r="AU67" s="18"/>
      <c r="AV67" s="18"/>
      <c r="AW67" s="18"/>
      <c r="AX67" s="18"/>
      <c r="AY67" s="18"/>
      <c r="AZ67" s="18"/>
      <c r="BA67" s="18"/>
      <c r="BB67" s="18"/>
      <c r="BC67" s="16"/>
      <c r="BD67" s="16"/>
      <c r="BE67" s="16"/>
      <c r="BF67" s="286">
        <f>Z67-AF67</f>
      </c>
      <c r="BG67" s="321">
        <f>IFERROR(AF67/Y67,0)</f>
      </c>
      <c r="BH67" s="214">
        <f>IFERROR(AF67/X67,0)</f>
      </c>
      <c r="BI67" s="284">
        <f>IFERROR((X67/SUM(X$26:X$40)),0)</f>
      </c>
      <c r="BJ67" s="284">
        <f>IFERROR((BF67/SUM(BF$3:BF264)),0)</f>
      </c>
      <c r="BK67" s="288">
        <f>BF67/'R&amp;H Portfolio'!Q$10</f>
      </c>
      <c r="BL67" s="286">
        <f>BI67*P67</f>
      </c>
      <c r="BM67" s="3"/>
      <c r="BN67" s="3"/>
      <c r="BO67" s="17"/>
    </row>
    <row x14ac:dyDescent="0.25" r="68" customHeight="1" ht="15">
      <c r="A68" s="17"/>
      <c r="B68" s="14"/>
      <c r="C68" s="3"/>
      <c r="D68" s="3"/>
      <c r="E68" s="3"/>
      <c r="F68" s="3"/>
      <c r="G68" s="16"/>
      <c r="H68" s="18"/>
      <c r="I68" s="18"/>
      <c r="J68" s="279">
        <f>H68+I68</f>
      </c>
      <c r="K68" s="1"/>
      <c r="L68" s="123">
        <f>K68*I68</f>
      </c>
      <c r="M68" s="123">
        <f>K68*J68</f>
      </c>
      <c r="N68" s="16"/>
      <c r="O68" s="16"/>
      <c r="P68" s="282">
        <f>IF(ISBLANK(N68),O68/4.3,N68/20)</f>
      </c>
      <c r="Q68" s="1"/>
      <c r="R68" s="3"/>
      <c r="S68" s="3"/>
      <c r="T68" s="256">
        <f>IF(ISBLANK(R68),0,X68)</f>
      </c>
      <c r="U68" s="256">
        <f>IF(ISBLANK(S68),0,X68)</f>
      </c>
      <c r="V68" s="284">
        <f>IFERROR(Q68/K68,0)</f>
      </c>
      <c r="W68" s="123">
        <f>IFERROR(L68*V68,0)</f>
      </c>
      <c r="X68" s="256">
        <f>IFERROR(Q68+W68,0)</f>
      </c>
      <c r="Y68" s="256">
        <f>IFERROR(M68*V68,0)</f>
      </c>
      <c r="Z68" s="256">
        <f>Y68-(Y68*$B$1)</f>
      </c>
      <c r="AA68" s="285">
        <f>IFERROR(Z68/X68,0)</f>
      </c>
      <c r="AB68" s="286">
        <f>IFERROR(IF(ISBLANK(N68),Y68/O68,Y68/N68),0)</f>
      </c>
      <c r="AC68" s="286">
        <f>IFERROR(-1*(AB68*B$1),0)</f>
      </c>
      <c r="AD68" s="286">
        <f>IFERROR(SUM(AB68:AC68),0)</f>
      </c>
      <c r="AE68" s="286">
        <f>IF(ISBLANK(N68),AD68,AD68*5)</f>
      </c>
      <c r="AF68" s="287">
        <f>SUM(AG68:AZ68)</f>
      </c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18"/>
      <c r="AR68" s="18"/>
      <c r="AS68" s="18"/>
      <c r="AT68" s="1"/>
      <c r="AU68" s="18"/>
      <c r="AV68" s="18"/>
      <c r="AW68" s="18"/>
      <c r="AX68" s="18"/>
      <c r="AY68" s="18"/>
      <c r="AZ68" s="18"/>
      <c r="BA68" s="18"/>
      <c r="BB68" s="18"/>
      <c r="BC68" s="16"/>
      <c r="BD68" s="16"/>
      <c r="BE68" s="16"/>
      <c r="BF68" s="286">
        <f>Z68-AF68</f>
      </c>
      <c r="BG68" s="321">
        <f>IFERROR(AF68/Y68,0)</f>
      </c>
      <c r="BH68" s="214">
        <f>IFERROR(AF68/X68,0)</f>
      </c>
      <c r="BI68" s="284">
        <f>IFERROR((X68/SUM(X$26:X$40)),0)</f>
      </c>
      <c r="BJ68" s="284">
        <f>IFERROR((BF68/SUM(BF$3:BF265)),0)</f>
      </c>
      <c r="BK68" s="288">
        <f>BF68/'R&amp;H Portfolio'!Q$10</f>
      </c>
      <c r="BL68" s="286">
        <f>BI68*P68</f>
      </c>
      <c r="BM68" s="3"/>
      <c r="BN68" s="3"/>
      <c r="BO68" s="17"/>
    </row>
    <row x14ac:dyDescent="0.25" r="69" customHeight="1" ht="15">
      <c r="A69" s="17"/>
      <c r="B69" s="14"/>
      <c r="C69" s="3"/>
      <c r="D69" s="3"/>
      <c r="E69" s="3"/>
      <c r="F69" s="3"/>
      <c r="G69" s="16"/>
      <c r="H69" s="18"/>
      <c r="I69" s="18"/>
      <c r="J69" s="279">
        <f>H69+I69</f>
      </c>
      <c r="K69" s="1"/>
      <c r="L69" s="123">
        <f>K69*I69</f>
      </c>
      <c r="M69" s="123">
        <f>K69*J69</f>
      </c>
      <c r="N69" s="16"/>
      <c r="O69" s="16"/>
      <c r="P69" s="282">
        <f>IF(ISBLANK(N69),O69/4.3,N69/20)</f>
      </c>
      <c r="Q69" s="1"/>
      <c r="R69" s="3"/>
      <c r="S69" s="3"/>
      <c r="T69" s="256">
        <f>IF(ISBLANK(R69),0,X69)</f>
      </c>
      <c r="U69" s="256">
        <f>IF(ISBLANK(S69),0,X69)</f>
      </c>
      <c r="V69" s="284">
        <f>IFERROR(Q69/K69,0)</f>
      </c>
      <c r="W69" s="123">
        <f>IFERROR(L69*V69,0)</f>
      </c>
      <c r="X69" s="256">
        <f>IFERROR(Q69+W69,0)</f>
      </c>
      <c r="Y69" s="256">
        <f>IFERROR(M69*V69,0)</f>
      </c>
      <c r="Z69" s="256">
        <f>Y69-(Y69*$B$1)</f>
      </c>
      <c r="AA69" s="285">
        <f>IFERROR(Z69/X69,0)</f>
      </c>
      <c r="AB69" s="286">
        <f>IFERROR(IF(ISBLANK(N69),Y69/O69,Y69/N69),0)</f>
      </c>
      <c r="AC69" s="286">
        <f>IFERROR(-1*(AB69*B$1),0)</f>
      </c>
      <c r="AD69" s="286">
        <f>IFERROR(SUM(AB69:AC69),0)</f>
      </c>
      <c r="AE69" s="286">
        <f>IF(ISBLANK(N69),AD69,AD69*5)</f>
      </c>
      <c r="AF69" s="287">
        <f>SUM(AG69:AZ69)</f>
      </c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18"/>
      <c r="AR69" s="18"/>
      <c r="AS69" s="18"/>
      <c r="AT69" s="1"/>
      <c r="AU69" s="18"/>
      <c r="AV69" s="18"/>
      <c r="AW69" s="18"/>
      <c r="AX69" s="18"/>
      <c r="AY69" s="18"/>
      <c r="AZ69" s="18"/>
      <c r="BA69" s="18"/>
      <c r="BB69" s="18"/>
      <c r="BC69" s="16"/>
      <c r="BD69" s="16"/>
      <c r="BE69" s="16"/>
      <c r="BF69" s="286">
        <f>Z69-AF69</f>
      </c>
      <c r="BG69" s="321">
        <f>IFERROR(AF69/Y69,0)</f>
      </c>
      <c r="BH69" s="214">
        <f>IFERROR(AF69/X69,0)</f>
      </c>
      <c r="BI69" s="284">
        <f>IFERROR((X69/SUM(X$26:X$40)),0)</f>
      </c>
      <c r="BJ69" s="284">
        <f>IFERROR((BF69/SUM(BF$3:BF266)),0)</f>
      </c>
      <c r="BK69" s="288">
        <f>BF69/'R&amp;H Portfolio'!Q$10</f>
      </c>
      <c r="BL69" s="286">
        <f>BI69*P69</f>
      </c>
      <c r="BM69" s="3"/>
      <c r="BN69" s="3"/>
      <c r="BO69" s="17"/>
    </row>
    <row x14ac:dyDescent="0.25" r="70" customHeight="1" ht="15">
      <c r="A70" s="17"/>
      <c r="B70" s="14"/>
      <c r="C70" s="3"/>
      <c r="D70" s="3"/>
      <c r="E70" s="3"/>
      <c r="F70" s="3"/>
      <c r="G70" s="16"/>
      <c r="H70" s="18"/>
      <c r="I70" s="18"/>
      <c r="J70" s="279">
        <f>H70+I70</f>
      </c>
      <c r="K70" s="1"/>
      <c r="L70" s="123">
        <f>K70*I70</f>
      </c>
      <c r="M70" s="123">
        <f>K70*J70</f>
      </c>
      <c r="N70" s="16"/>
      <c r="O70" s="16"/>
      <c r="P70" s="282">
        <f>IF(ISBLANK(N70),O70/4.3,N70/20)</f>
      </c>
      <c r="Q70" s="1"/>
      <c r="R70" s="3"/>
      <c r="S70" s="3"/>
      <c r="T70" s="256">
        <f>IF(ISBLANK(R70),0,X70)</f>
      </c>
      <c r="U70" s="256">
        <f>IF(ISBLANK(S70),0,X70)</f>
      </c>
      <c r="V70" s="284">
        <f>IFERROR(Q70/K70,0)</f>
      </c>
      <c r="W70" s="123">
        <f>IFERROR(L70*V70,0)</f>
      </c>
      <c r="X70" s="256">
        <f>IFERROR(Q70+W70,0)</f>
      </c>
      <c r="Y70" s="256">
        <f>IFERROR(M70*V70,0)</f>
      </c>
      <c r="Z70" s="256">
        <f>Y70-(Y70*$B$1)</f>
      </c>
      <c r="AA70" s="285">
        <f>IFERROR(Z70/X70,0)</f>
      </c>
      <c r="AB70" s="286">
        <f>IFERROR(IF(ISBLANK(N70),Y70/O70,Y70/N70),0)</f>
      </c>
      <c r="AC70" s="286">
        <f>IFERROR(-1*(AB70*B$1),0)</f>
      </c>
      <c r="AD70" s="286">
        <f>IFERROR(SUM(AB70:AC70),0)</f>
      </c>
      <c r="AE70" s="286">
        <f>IF(ISBLANK(N70),AD70,AD70*5)</f>
      </c>
      <c r="AF70" s="287">
        <f>SUM(AG70:AZ70)</f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18"/>
      <c r="AR70" s="18"/>
      <c r="AS70" s="18"/>
      <c r="AT70" s="1"/>
      <c r="AU70" s="18"/>
      <c r="AV70" s="18"/>
      <c r="AW70" s="18"/>
      <c r="AX70" s="18"/>
      <c r="AY70" s="18"/>
      <c r="AZ70" s="18"/>
      <c r="BA70" s="18"/>
      <c r="BB70" s="18"/>
      <c r="BC70" s="16"/>
      <c r="BD70" s="16"/>
      <c r="BE70" s="16"/>
      <c r="BF70" s="286">
        <f>Z70-AF70</f>
      </c>
      <c r="BG70" s="321">
        <f>IFERROR(AF70/Y70,0)</f>
      </c>
      <c r="BH70" s="214">
        <f>IFERROR(AF70/X70,0)</f>
      </c>
      <c r="BI70" s="284">
        <f>IFERROR((X70/SUM(X$26:X$40)),0)</f>
      </c>
      <c r="BJ70" s="284">
        <f>IFERROR((BF70/SUM(BF$3:BF267)),0)</f>
      </c>
      <c r="BK70" s="288">
        <f>BF70/'R&amp;H Portfolio'!Q$10</f>
      </c>
      <c r="BL70" s="286">
        <f>BI70*P70</f>
      </c>
      <c r="BM70" s="3"/>
      <c r="BN70" s="3"/>
      <c r="BO70" s="17"/>
    </row>
    <row x14ac:dyDescent="0.25" r="71" customHeight="1" ht="15">
      <c r="A71" s="17"/>
      <c r="B71" s="14"/>
      <c r="C71" s="3"/>
      <c r="D71" s="3"/>
      <c r="E71" s="3"/>
      <c r="F71" s="3"/>
      <c r="G71" s="16"/>
      <c r="H71" s="18"/>
      <c r="I71" s="18"/>
      <c r="J71" s="279">
        <f>H71+I71</f>
      </c>
      <c r="K71" s="1"/>
      <c r="L71" s="123">
        <f>K71*I71</f>
      </c>
      <c r="M71" s="123">
        <f>K71*J71</f>
      </c>
      <c r="N71" s="16"/>
      <c r="O71" s="16"/>
      <c r="P71" s="282">
        <f>IF(ISBLANK(N71),O71/4.3,N71/20)</f>
      </c>
      <c r="Q71" s="1"/>
      <c r="R71" s="3"/>
      <c r="S71" s="3"/>
      <c r="T71" s="256">
        <f>IF(ISBLANK(R71),0,X71)</f>
      </c>
      <c r="U71" s="256">
        <f>IF(ISBLANK(S71),0,X71)</f>
      </c>
      <c r="V71" s="284">
        <f>IFERROR(Q71/K71,0)</f>
      </c>
      <c r="W71" s="123">
        <f>IFERROR(L71*V71,0)</f>
      </c>
      <c r="X71" s="256">
        <f>IFERROR(Q71+W71,0)</f>
      </c>
      <c r="Y71" s="256">
        <f>IFERROR(M71*V71,0)</f>
      </c>
      <c r="Z71" s="256">
        <f>Y71-(Y71*$B$1)</f>
      </c>
      <c r="AA71" s="285">
        <f>IFERROR(Z71/X71,0)</f>
      </c>
      <c r="AB71" s="286">
        <f>IFERROR(IF(ISBLANK(N71),Y71/O71,Y71/N71),0)</f>
      </c>
      <c r="AC71" s="286">
        <f>IFERROR(-1*(AB71*B$1),0)</f>
      </c>
      <c r="AD71" s="286">
        <f>IFERROR(SUM(AB71:AC71),0)</f>
      </c>
      <c r="AE71" s="286">
        <f>IF(ISBLANK(N71),AD71,AD71*5)</f>
      </c>
      <c r="AF71" s="287">
        <f>SUM(AG71:AZ71)</f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18"/>
      <c r="AR71" s="18"/>
      <c r="AS71" s="18"/>
      <c r="AT71" s="1"/>
      <c r="AU71" s="18"/>
      <c r="AV71" s="18"/>
      <c r="AW71" s="18"/>
      <c r="AX71" s="18"/>
      <c r="AY71" s="18"/>
      <c r="AZ71" s="18"/>
      <c r="BA71" s="18"/>
      <c r="BB71" s="18"/>
      <c r="BC71" s="16"/>
      <c r="BD71" s="16"/>
      <c r="BE71" s="16"/>
      <c r="BF71" s="286">
        <f>Z71-AF71</f>
      </c>
      <c r="BG71" s="321">
        <f>IFERROR(AF71/Y71,0)</f>
      </c>
      <c r="BH71" s="214">
        <f>IFERROR(AF71/X71,0)</f>
      </c>
      <c r="BI71" s="284">
        <f>IFERROR((X71/SUM(X$26:X$40)),0)</f>
      </c>
      <c r="BJ71" s="284">
        <f>IFERROR((BF71/SUM(BF$3:BF268)),0)</f>
      </c>
      <c r="BK71" s="288">
        <f>BF71/'R&amp;H Portfolio'!Q$10</f>
      </c>
      <c r="BL71" s="286">
        <f>BI71*P71</f>
      </c>
      <c r="BM71" s="3"/>
      <c r="BN71" s="3"/>
      <c r="BO71" s="17"/>
    </row>
    <row x14ac:dyDescent="0.25" r="72" customHeight="1" ht="15">
      <c r="A72" s="17"/>
      <c r="B72" s="14"/>
      <c r="C72" s="3"/>
      <c r="D72" s="3"/>
      <c r="E72" s="3"/>
      <c r="F72" s="3"/>
      <c r="G72" s="16"/>
      <c r="H72" s="18"/>
      <c r="I72" s="18"/>
      <c r="J72" s="279">
        <f>H72+I72</f>
      </c>
      <c r="K72" s="1"/>
      <c r="L72" s="123">
        <f>K72*I72</f>
      </c>
      <c r="M72" s="123">
        <f>K72*J72</f>
      </c>
      <c r="N72" s="16"/>
      <c r="O72" s="16"/>
      <c r="P72" s="282">
        <f>IF(ISBLANK(N72),O72/4.3,N72/20)</f>
      </c>
      <c r="Q72" s="1"/>
      <c r="R72" s="3"/>
      <c r="S72" s="3"/>
      <c r="T72" s="256">
        <f>IF(ISBLANK(R72),0,X72)</f>
      </c>
      <c r="U72" s="256">
        <f>IF(ISBLANK(S72),0,X72)</f>
      </c>
      <c r="V72" s="284">
        <f>IFERROR(Q72/K72,0)</f>
      </c>
      <c r="W72" s="123">
        <f>IFERROR(L72*V72,0)</f>
      </c>
      <c r="X72" s="256">
        <f>IFERROR(Q72+W72,0)</f>
      </c>
      <c r="Y72" s="256">
        <f>IFERROR(M72*V72,0)</f>
      </c>
      <c r="Z72" s="256">
        <f>Y72-(Y72*$B$1)</f>
      </c>
      <c r="AA72" s="285">
        <f>IFERROR(Z72/X72,0)</f>
      </c>
      <c r="AB72" s="286">
        <f>IFERROR(IF(ISBLANK(N72),Y72/O72,Y72/N72),0)</f>
      </c>
      <c r="AC72" s="286">
        <f>IFERROR(-1*(AB72*B$1),0)</f>
      </c>
      <c r="AD72" s="286">
        <f>IFERROR(SUM(AB72:AC72),0)</f>
      </c>
      <c r="AE72" s="286">
        <f>IF(ISBLANK(N72),AD72,AD72*5)</f>
      </c>
      <c r="AF72" s="287">
        <f>SUM(AG72:AZ72)</f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18"/>
      <c r="AR72" s="18"/>
      <c r="AS72" s="18"/>
      <c r="AT72" s="1"/>
      <c r="AU72" s="18"/>
      <c r="AV72" s="18"/>
      <c r="AW72" s="18"/>
      <c r="AX72" s="18"/>
      <c r="AY72" s="18"/>
      <c r="AZ72" s="18"/>
      <c r="BA72" s="18"/>
      <c r="BB72" s="18"/>
      <c r="BC72" s="16"/>
      <c r="BD72" s="16"/>
      <c r="BE72" s="16"/>
      <c r="BF72" s="286">
        <f>Z72-AF72</f>
      </c>
      <c r="BG72" s="321">
        <f>IFERROR(AF72/Y72,0)</f>
      </c>
      <c r="BH72" s="214">
        <f>IFERROR(AF72/X72,0)</f>
      </c>
      <c r="BI72" s="284">
        <f>IFERROR((X72/SUM(X$26:X$40)),0)</f>
      </c>
      <c r="BJ72" s="284">
        <f>IFERROR((BF72/SUM(BF$3:BF269)),0)</f>
      </c>
      <c r="BK72" s="288">
        <f>BF72/'R&amp;H Portfolio'!Q$10</f>
      </c>
      <c r="BL72" s="286">
        <f>BI72*P72</f>
      </c>
      <c r="BM72" s="3"/>
      <c r="BN72" s="3"/>
      <c r="BO72" s="17"/>
    </row>
    <row x14ac:dyDescent="0.25" r="73" customHeight="1" ht="15">
      <c r="A73" s="17"/>
      <c r="B73" s="14"/>
      <c r="C73" s="3"/>
      <c r="D73" s="3"/>
      <c r="E73" s="3"/>
      <c r="F73" s="3"/>
      <c r="G73" s="16"/>
      <c r="H73" s="18"/>
      <c r="I73" s="18"/>
      <c r="J73" s="279">
        <f>H73+I73</f>
      </c>
      <c r="K73" s="1"/>
      <c r="L73" s="123">
        <f>K73*I73</f>
      </c>
      <c r="M73" s="123">
        <f>K73*J73</f>
      </c>
      <c r="N73" s="16"/>
      <c r="O73" s="16"/>
      <c r="P73" s="282">
        <f>IF(ISBLANK(N73),O73/4.3,N73/20)</f>
      </c>
      <c r="Q73" s="1"/>
      <c r="R73" s="3"/>
      <c r="S73" s="3"/>
      <c r="T73" s="256">
        <f>IF(ISBLANK(R73),0,X73)</f>
      </c>
      <c r="U73" s="256">
        <f>IF(ISBLANK(S73),0,X73)</f>
      </c>
      <c r="V73" s="284">
        <f>IFERROR(Q73/K73,0)</f>
      </c>
      <c r="W73" s="123">
        <f>IFERROR(L73*V73,0)</f>
      </c>
      <c r="X73" s="256">
        <f>IFERROR(Q73+W73,0)</f>
      </c>
      <c r="Y73" s="256">
        <f>IFERROR(M73*V73,0)</f>
      </c>
      <c r="Z73" s="256">
        <f>Y73-(Y73*$B$1)</f>
      </c>
      <c r="AA73" s="285">
        <f>IFERROR(Z73/X73,0)</f>
      </c>
      <c r="AB73" s="286">
        <f>IFERROR(IF(ISBLANK(N73),Y73/O73,Y73/N73),0)</f>
      </c>
      <c r="AC73" s="286">
        <f>IFERROR(-1*(AB73*B$1),0)</f>
      </c>
      <c r="AD73" s="286">
        <f>IFERROR(SUM(AB73:AC73),0)</f>
      </c>
      <c r="AE73" s="286">
        <f>IF(ISBLANK(N73),AD73,AD73*5)</f>
      </c>
      <c r="AF73" s="287">
        <f>SUM(AG73:AZ73)</f>
      </c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18"/>
      <c r="AR73" s="18"/>
      <c r="AS73" s="18"/>
      <c r="AT73" s="1"/>
      <c r="AU73" s="18"/>
      <c r="AV73" s="18"/>
      <c r="AW73" s="18"/>
      <c r="AX73" s="18"/>
      <c r="AY73" s="18"/>
      <c r="AZ73" s="18"/>
      <c r="BA73" s="18"/>
      <c r="BB73" s="18"/>
      <c r="BC73" s="16"/>
      <c r="BD73" s="16"/>
      <c r="BE73" s="16"/>
      <c r="BF73" s="286">
        <f>Z73-AF73</f>
      </c>
      <c r="BG73" s="321">
        <f>IFERROR(AF73/Y73,0)</f>
      </c>
      <c r="BH73" s="214">
        <f>IFERROR(AF73/X73,0)</f>
      </c>
      <c r="BI73" s="284">
        <f>IFERROR((X73/SUM(X$26:X$40)),0)</f>
      </c>
      <c r="BJ73" s="284">
        <f>IFERROR((BF73/SUM(BF$3:BF270)),0)</f>
      </c>
      <c r="BK73" s="288">
        <f>BF73/'R&amp;H Portfolio'!Q$10</f>
      </c>
      <c r="BL73" s="286">
        <f>BI73*P73</f>
      </c>
      <c r="BM73" s="3"/>
      <c r="BN73" s="3"/>
      <c r="BO73" s="17"/>
    </row>
    <row x14ac:dyDescent="0.25" r="74" customHeight="1" ht="15">
      <c r="A74" s="17"/>
      <c r="B74" s="14"/>
      <c r="C74" s="3"/>
      <c r="D74" s="3"/>
      <c r="E74" s="3"/>
      <c r="F74" s="3"/>
      <c r="G74" s="16"/>
      <c r="H74" s="18"/>
      <c r="I74" s="18"/>
      <c r="J74" s="279">
        <f>H74+I74</f>
      </c>
      <c r="K74" s="1"/>
      <c r="L74" s="123">
        <f>K74*I74</f>
      </c>
      <c r="M74" s="123">
        <f>K74*J74</f>
      </c>
      <c r="N74" s="16"/>
      <c r="O74" s="16"/>
      <c r="P74" s="282">
        <f>IF(ISBLANK(N74),O74/4.3,N74/20)</f>
      </c>
      <c r="Q74" s="1"/>
      <c r="R74" s="3"/>
      <c r="S74" s="3"/>
      <c r="T74" s="256">
        <f>IF(ISBLANK(R74),0,X74)</f>
      </c>
      <c r="U74" s="256">
        <f>IF(ISBLANK(S74),0,X74)</f>
      </c>
      <c r="V74" s="284">
        <f>IFERROR(Q74/K74,0)</f>
      </c>
      <c r="W74" s="123">
        <f>IFERROR(L74*V74,0)</f>
      </c>
      <c r="X74" s="256">
        <f>IFERROR(Q74+W74,0)</f>
      </c>
      <c r="Y74" s="256">
        <f>IFERROR(M74*V74,0)</f>
      </c>
      <c r="Z74" s="256">
        <f>Y74-(Y74*$B$1)</f>
      </c>
      <c r="AA74" s="285">
        <f>IFERROR(Z74/X74,0)</f>
      </c>
      <c r="AB74" s="286">
        <f>IFERROR(IF(ISBLANK(N74),Y74/O74,Y74/N74),0)</f>
      </c>
      <c r="AC74" s="286">
        <f>IFERROR(-1*(AB74*B$1),0)</f>
      </c>
      <c r="AD74" s="286">
        <f>IFERROR(SUM(AB74:AC74),0)</f>
      </c>
      <c r="AE74" s="286">
        <f>IF(ISBLANK(N74),AD74,AD74*5)</f>
      </c>
      <c r="AF74" s="287">
        <f>SUM(AG74:AZ74)</f>
      </c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18"/>
      <c r="AR74" s="18"/>
      <c r="AS74" s="18"/>
      <c r="AT74" s="1"/>
      <c r="AU74" s="18"/>
      <c r="AV74" s="18"/>
      <c r="AW74" s="18"/>
      <c r="AX74" s="18"/>
      <c r="AY74" s="18"/>
      <c r="AZ74" s="18"/>
      <c r="BA74" s="18"/>
      <c r="BB74" s="18"/>
      <c r="BC74" s="16"/>
      <c r="BD74" s="16"/>
      <c r="BE74" s="16"/>
      <c r="BF74" s="286">
        <f>Z74-AF74</f>
      </c>
      <c r="BG74" s="321">
        <f>IFERROR(AF74/Y74,0)</f>
      </c>
      <c r="BH74" s="214">
        <f>IFERROR(AF74/X74,0)</f>
      </c>
      <c r="BI74" s="284">
        <f>IFERROR((X74/SUM(X$26:X$40)),0)</f>
      </c>
      <c r="BJ74" s="284">
        <f>IFERROR((BF74/SUM(BF$3:BF271)),0)</f>
      </c>
      <c r="BK74" s="288">
        <f>BF74/'R&amp;H Portfolio'!Q$10</f>
      </c>
      <c r="BL74" s="286">
        <f>BI74*P74</f>
      </c>
      <c r="BM74" s="3"/>
      <c r="BN74" s="3"/>
      <c r="BO74" s="17"/>
    </row>
    <row x14ac:dyDescent="0.25" r="75" customHeight="1" ht="15">
      <c r="A75" s="17"/>
      <c r="B75" s="14"/>
      <c r="C75" s="3"/>
      <c r="D75" s="3"/>
      <c r="E75" s="3"/>
      <c r="F75" s="3"/>
      <c r="G75" s="16"/>
      <c r="H75" s="18"/>
      <c r="I75" s="18"/>
      <c r="J75" s="279">
        <f>H75+I75</f>
      </c>
      <c r="K75" s="1"/>
      <c r="L75" s="123">
        <f>K75*I75</f>
      </c>
      <c r="M75" s="123">
        <f>K75*J75</f>
      </c>
      <c r="N75" s="16"/>
      <c r="O75" s="16"/>
      <c r="P75" s="282">
        <f>IF(ISBLANK(N75),O75/4.3,N75/20)</f>
      </c>
      <c r="Q75" s="1"/>
      <c r="R75" s="3"/>
      <c r="S75" s="3"/>
      <c r="T75" s="256">
        <f>IF(ISBLANK(R75),0,X75)</f>
      </c>
      <c r="U75" s="256">
        <f>IF(ISBLANK(S75),0,X75)</f>
      </c>
      <c r="V75" s="284">
        <f>IFERROR(Q75/K75,0)</f>
      </c>
      <c r="W75" s="123">
        <f>IFERROR(L75*V75,0)</f>
      </c>
      <c r="X75" s="256">
        <f>IFERROR(Q75+W75,0)</f>
      </c>
      <c r="Y75" s="256">
        <f>IFERROR(M75*V75,0)</f>
      </c>
      <c r="Z75" s="256">
        <f>Y75-(Y75*$B$1)</f>
      </c>
      <c r="AA75" s="285">
        <f>IFERROR(Z75/X75,0)</f>
      </c>
      <c r="AB75" s="286">
        <f>IFERROR(IF(ISBLANK(N75),Y75/O75,Y75/N75),0)</f>
      </c>
      <c r="AC75" s="286">
        <f>IFERROR(-1*(AB75*B$1),0)</f>
      </c>
      <c r="AD75" s="286">
        <f>IFERROR(SUM(AB75:AC75),0)</f>
      </c>
      <c r="AE75" s="286">
        <f>IF(ISBLANK(N75),AD75,AD75*5)</f>
      </c>
      <c r="AF75" s="287">
        <f>SUM(AG75:AZ75)</f>
      </c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18"/>
      <c r="AR75" s="18"/>
      <c r="AS75" s="18"/>
      <c r="AT75" s="1"/>
      <c r="AU75" s="18"/>
      <c r="AV75" s="18"/>
      <c r="AW75" s="18"/>
      <c r="AX75" s="18"/>
      <c r="AY75" s="18"/>
      <c r="AZ75" s="18"/>
      <c r="BA75" s="18"/>
      <c r="BB75" s="18"/>
      <c r="BC75" s="16"/>
      <c r="BD75" s="16"/>
      <c r="BE75" s="16"/>
      <c r="BF75" s="286">
        <f>Z75-AF75</f>
      </c>
      <c r="BG75" s="321">
        <f>IFERROR(AF75/Y75,0)</f>
      </c>
      <c r="BH75" s="214">
        <f>IFERROR(AF75/X75,0)</f>
      </c>
      <c r="BI75" s="284">
        <f>IFERROR((X75/SUM(X$26:X$40)),0)</f>
      </c>
      <c r="BJ75" s="284">
        <f>IFERROR((BF75/SUM(BF$3:BF272)),0)</f>
      </c>
      <c r="BK75" s="288">
        <f>BF75/'R&amp;H Portfolio'!Q$10</f>
      </c>
      <c r="BL75" s="286">
        <f>BI75*P75</f>
      </c>
      <c r="BM75" s="3"/>
      <c r="BN75" s="3"/>
      <c r="BO75" s="17"/>
    </row>
    <row x14ac:dyDescent="0.25" r="76" customHeight="1" ht="15">
      <c r="A76" s="17"/>
      <c r="B76" s="14"/>
      <c r="C76" s="3"/>
      <c r="D76" s="3"/>
      <c r="E76" s="3"/>
      <c r="F76" s="3"/>
      <c r="G76" s="16"/>
      <c r="H76" s="18"/>
      <c r="I76" s="18"/>
      <c r="J76" s="279">
        <f>H76+I76</f>
      </c>
      <c r="K76" s="1"/>
      <c r="L76" s="123">
        <f>K76*I76</f>
      </c>
      <c r="M76" s="123">
        <f>K76*J76</f>
      </c>
      <c r="N76" s="16"/>
      <c r="O76" s="16"/>
      <c r="P76" s="282">
        <f>IF(ISBLANK(N76),O76/4.3,N76/20)</f>
      </c>
      <c r="Q76" s="1"/>
      <c r="R76" s="3"/>
      <c r="S76" s="3"/>
      <c r="T76" s="256">
        <f>IF(ISBLANK(R76),0,X76)</f>
      </c>
      <c r="U76" s="256">
        <f>IF(ISBLANK(S76),0,X76)</f>
      </c>
      <c r="V76" s="284">
        <f>IFERROR(Q76/K76,0)</f>
      </c>
      <c r="W76" s="123">
        <f>IFERROR(L76*V76,0)</f>
      </c>
      <c r="X76" s="256">
        <f>IFERROR(Q76+W76,0)</f>
      </c>
      <c r="Y76" s="256">
        <f>IFERROR(M76*V76,0)</f>
      </c>
      <c r="Z76" s="256">
        <f>Y76-(Y76*$B$1)</f>
      </c>
      <c r="AA76" s="285">
        <f>IFERROR(Z76/X76,0)</f>
      </c>
      <c r="AB76" s="286">
        <f>IFERROR(IF(ISBLANK(N76),Y76/O76,Y76/N76),0)</f>
      </c>
      <c r="AC76" s="286">
        <f>IFERROR(-1*(AB76*B$1),0)</f>
      </c>
      <c r="AD76" s="286">
        <f>IFERROR(SUM(AB76:AC76),0)</f>
      </c>
      <c r="AE76" s="286">
        <f>IF(ISBLANK(N76),AD76,AD76*5)</f>
      </c>
      <c r="AF76" s="287">
        <f>SUM(AG76:AZ76)</f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18"/>
      <c r="AR76" s="18"/>
      <c r="AS76" s="18"/>
      <c r="AT76" s="1"/>
      <c r="AU76" s="18"/>
      <c r="AV76" s="18"/>
      <c r="AW76" s="18"/>
      <c r="AX76" s="18"/>
      <c r="AY76" s="18"/>
      <c r="AZ76" s="18"/>
      <c r="BA76" s="18"/>
      <c r="BB76" s="18"/>
      <c r="BC76" s="16"/>
      <c r="BD76" s="16"/>
      <c r="BE76" s="16"/>
      <c r="BF76" s="286">
        <f>Z76-AF76</f>
      </c>
      <c r="BG76" s="321">
        <f>IFERROR(AF76/Y76,0)</f>
      </c>
      <c r="BH76" s="214">
        <f>IFERROR(AF76/X76,0)</f>
      </c>
      <c r="BI76" s="284">
        <f>IFERROR((X76/SUM(X$26:X$40)),0)</f>
      </c>
      <c r="BJ76" s="284">
        <f>IFERROR((BF76/SUM(BF$3:BF273)),0)</f>
      </c>
      <c r="BK76" s="288">
        <f>BF76/'R&amp;H Portfolio'!Q$10</f>
      </c>
      <c r="BL76" s="286">
        <f>BI76*P76</f>
      </c>
      <c r="BM76" s="3"/>
      <c r="BN76" s="3"/>
      <c r="BO76" s="17"/>
    </row>
    <row x14ac:dyDescent="0.25" r="77" customHeight="1" ht="15">
      <c r="A77" s="17"/>
      <c r="B77" s="14"/>
      <c r="C77" s="3"/>
      <c r="D77" s="3"/>
      <c r="E77" s="3"/>
      <c r="F77" s="3"/>
      <c r="G77" s="16"/>
      <c r="H77" s="18"/>
      <c r="I77" s="18"/>
      <c r="J77" s="279">
        <f>H77+I77</f>
      </c>
      <c r="K77" s="1"/>
      <c r="L77" s="123">
        <f>K77*I77</f>
      </c>
      <c r="M77" s="123">
        <f>K77*J77</f>
      </c>
      <c r="N77" s="16"/>
      <c r="O77" s="16"/>
      <c r="P77" s="282">
        <f>IF(ISBLANK(N77),O77/4.3,N77/20)</f>
      </c>
      <c r="Q77" s="1"/>
      <c r="R77" s="3"/>
      <c r="S77" s="3"/>
      <c r="T77" s="256">
        <f>IF(ISBLANK(R77),0,X77)</f>
      </c>
      <c r="U77" s="256">
        <f>IF(ISBLANK(S77),0,X77)</f>
      </c>
      <c r="V77" s="284">
        <f>IFERROR(Q77/K77,0)</f>
      </c>
      <c r="W77" s="123">
        <f>IFERROR(L77*V77,0)</f>
      </c>
      <c r="X77" s="256">
        <f>IFERROR(Q77+W77,0)</f>
      </c>
      <c r="Y77" s="256">
        <f>IFERROR(M77*V77,0)</f>
      </c>
      <c r="Z77" s="256">
        <f>Y77-(Y77*$B$1)</f>
      </c>
      <c r="AA77" s="285">
        <f>IFERROR(Z77/X77,0)</f>
      </c>
      <c r="AB77" s="286">
        <f>IFERROR(IF(ISBLANK(N77),Y77/O77,Y77/N77),0)</f>
      </c>
      <c r="AC77" s="286">
        <f>IFERROR(-1*(AB77*B$1),0)</f>
      </c>
      <c r="AD77" s="286">
        <f>IFERROR(SUM(AB77:AC77),0)</f>
      </c>
      <c r="AE77" s="286">
        <f>IF(ISBLANK(N77),AD77,AD77*5)</f>
      </c>
      <c r="AF77" s="287">
        <f>SUM(AG77:AZ77)</f>
      </c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18"/>
      <c r="AR77" s="18"/>
      <c r="AS77" s="18"/>
      <c r="AT77" s="1"/>
      <c r="AU77" s="18"/>
      <c r="AV77" s="18"/>
      <c r="AW77" s="18"/>
      <c r="AX77" s="18"/>
      <c r="AY77" s="18"/>
      <c r="AZ77" s="18"/>
      <c r="BA77" s="18"/>
      <c r="BB77" s="18"/>
      <c r="BC77" s="16"/>
      <c r="BD77" s="16"/>
      <c r="BE77" s="16"/>
      <c r="BF77" s="286">
        <f>Z77-AF77</f>
      </c>
      <c r="BG77" s="321">
        <f>IFERROR(AF77/Y77,0)</f>
      </c>
      <c r="BH77" s="214">
        <f>IFERROR(AF77/X77,0)</f>
      </c>
      <c r="BI77" s="284">
        <f>IFERROR((X77/SUM(X$26:X$40)),0)</f>
      </c>
      <c r="BJ77" s="284">
        <f>IFERROR((BF77/SUM(BF$3:BF274)),0)</f>
      </c>
      <c r="BK77" s="288">
        <f>BF77/'R&amp;H Portfolio'!Q$10</f>
      </c>
      <c r="BL77" s="286">
        <f>BI77*P77</f>
      </c>
      <c r="BM77" s="3"/>
      <c r="BN77" s="3"/>
      <c r="BO77" s="17"/>
    </row>
    <row x14ac:dyDescent="0.25" r="78" customHeight="1" ht="15">
      <c r="A78" s="17"/>
      <c r="B78" s="14"/>
      <c r="C78" s="3"/>
      <c r="D78" s="3"/>
      <c r="E78" s="3"/>
      <c r="F78" s="3"/>
      <c r="G78" s="16"/>
      <c r="H78" s="18"/>
      <c r="I78" s="18"/>
      <c r="J78" s="279">
        <f>H78+I78</f>
      </c>
      <c r="K78" s="1"/>
      <c r="L78" s="123">
        <f>K78*I78</f>
      </c>
      <c r="M78" s="123">
        <f>K78*J78</f>
      </c>
      <c r="N78" s="16"/>
      <c r="O78" s="16"/>
      <c r="P78" s="282">
        <f>IF(ISBLANK(N78),O78/4.3,N78/20)</f>
      </c>
      <c r="Q78" s="1"/>
      <c r="R78" s="3"/>
      <c r="S78" s="3"/>
      <c r="T78" s="256">
        <f>IF(ISBLANK(R78),0,X78)</f>
      </c>
      <c r="U78" s="256">
        <f>IF(ISBLANK(S78),0,X78)</f>
      </c>
      <c r="V78" s="284">
        <f>IFERROR(Q78/K78,0)</f>
      </c>
      <c r="W78" s="123">
        <f>IFERROR(L78*V78,0)</f>
      </c>
      <c r="X78" s="256">
        <f>IFERROR(Q78+W78,0)</f>
      </c>
      <c r="Y78" s="256">
        <f>IFERROR(M78*V78,0)</f>
      </c>
      <c r="Z78" s="256">
        <f>Y78-(Y78*$B$1)</f>
      </c>
      <c r="AA78" s="285">
        <f>IFERROR(Z78/X78,0)</f>
      </c>
      <c r="AB78" s="286">
        <f>IFERROR(IF(ISBLANK(N78),Y78/O78,Y78/N78),0)</f>
      </c>
      <c r="AC78" s="286">
        <f>IFERROR(-1*(AB78*B$1),0)</f>
      </c>
      <c r="AD78" s="286">
        <f>IFERROR(SUM(AB78:AC78),0)</f>
      </c>
      <c r="AE78" s="286">
        <f>IF(ISBLANK(N78),AD78,AD78*5)</f>
      </c>
      <c r="AF78" s="287">
        <f>SUM(AG78:AZ78)</f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18"/>
      <c r="AR78" s="18"/>
      <c r="AS78" s="18"/>
      <c r="AT78" s="1"/>
      <c r="AU78" s="18"/>
      <c r="AV78" s="18"/>
      <c r="AW78" s="18"/>
      <c r="AX78" s="18"/>
      <c r="AY78" s="18"/>
      <c r="AZ78" s="18"/>
      <c r="BA78" s="18"/>
      <c r="BB78" s="18"/>
      <c r="BC78" s="16"/>
      <c r="BD78" s="16"/>
      <c r="BE78" s="16"/>
      <c r="BF78" s="286">
        <f>Z78-AF78</f>
      </c>
      <c r="BG78" s="321">
        <f>IFERROR(AF78/Y78,0)</f>
      </c>
      <c r="BH78" s="214">
        <f>IFERROR(AF78/X78,0)</f>
      </c>
      <c r="BI78" s="284">
        <f>IFERROR((X78/SUM(X$26:X$40)),0)</f>
      </c>
      <c r="BJ78" s="284">
        <f>IFERROR((BF78/SUM(BF$3:BF275)),0)</f>
      </c>
      <c r="BK78" s="288">
        <f>BF78/'R&amp;H Portfolio'!Q$10</f>
      </c>
      <c r="BL78" s="286">
        <f>BI78*P78</f>
      </c>
      <c r="BM78" s="3"/>
      <c r="BN78" s="3"/>
      <c r="BO78" s="17"/>
    </row>
    <row x14ac:dyDescent="0.25" r="79" customHeight="1" ht="15">
      <c r="A79" s="17"/>
      <c r="B79" s="14"/>
      <c r="C79" s="3"/>
      <c r="D79" s="3"/>
      <c r="E79" s="3"/>
      <c r="F79" s="3"/>
      <c r="G79" s="16"/>
      <c r="H79" s="18"/>
      <c r="I79" s="18"/>
      <c r="J79" s="279">
        <f>H79+I79</f>
      </c>
      <c r="K79" s="1"/>
      <c r="L79" s="123">
        <f>K79*I79</f>
      </c>
      <c r="M79" s="123">
        <f>K79*J79</f>
      </c>
      <c r="N79" s="16"/>
      <c r="O79" s="16"/>
      <c r="P79" s="282">
        <f>IF(ISBLANK(N79),O79/4.3,N79/20)</f>
      </c>
      <c r="Q79" s="1"/>
      <c r="R79" s="3"/>
      <c r="S79" s="3"/>
      <c r="T79" s="256">
        <f>IF(ISBLANK(R79),0,X79)</f>
      </c>
      <c r="U79" s="256">
        <f>IF(ISBLANK(S79),0,X79)</f>
      </c>
      <c r="V79" s="284">
        <f>IFERROR(Q79/K79,0)</f>
      </c>
      <c r="W79" s="123">
        <f>IFERROR(L79*V79,0)</f>
      </c>
      <c r="X79" s="256">
        <f>IFERROR(Q79+W79,0)</f>
      </c>
      <c r="Y79" s="256">
        <f>IFERROR(M79*V79,0)</f>
      </c>
      <c r="Z79" s="256">
        <f>Y79-(Y79*$B$1)</f>
      </c>
      <c r="AA79" s="285">
        <f>IFERROR(Z79/X79,0)</f>
      </c>
      <c r="AB79" s="286">
        <f>IFERROR(IF(ISBLANK(N79),Y79/O79,Y79/N79),0)</f>
      </c>
      <c r="AC79" s="286">
        <f>IFERROR(-1*(AB79*B$1),0)</f>
      </c>
      <c r="AD79" s="286">
        <f>IFERROR(SUM(AB79:AC79),0)</f>
      </c>
      <c r="AE79" s="286">
        <f>IF(ISBLANK(N79),AD79,AD79*5)</f>
      </c>
      <c r="AF79" s="287">
        <f>SUM(AG79:AZ79)</f>
      </c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18"/>
      <c r="AR79" s="18"/>
      <c r="AS79" s="18"/>
      <c r="AT79" s="1"/>
      <c r="AU79" s="18"/>
      <c r="AV79" s="18"/>
      <c r="AW79" s="18"/>
      <c r="AX79" s="18"/>
      <c r="AY79" s="18"/>
      <c r="AZ79" s="18"/>
      <c r="BA79" s="18"/>
      <c r="BB79" s="18"/>
      <c r="BC79" s="16"/>
      <c r="BD79" s="16"/>
      <c r="BE79" s="16"/>
      <c r="BF79" s="286">
        <f>Z79-AF79</f>
      </c>
      <c r="BG79" s="321">
        <f>IFERROR(AF79/Y79,0)</f>
      </c>
      <c r="BH79" s="214">
        <f>IFERROR(AF79/X79,0)</f>
      </c>
      <c r="BI79" s="284">
        <f>IFERROR((X79/SUM(X$26:X$40)),0)</f>
      </c>
      <c r="BJ79" s="284">
        <f>IFERROR((BF79/SUM(BF$3:BF276)),0)</f>
      </c>
      <c r="BK79" s="288">
        <f>BF79/'R&amp;H Portfolio'!Q$10</f>
      </c>
      <c r="BL79" s="286">
        <f>BI79*P79</f>
      </c>
      <c r="BM79" s="3"/>
      <c r="BN79" s="3"/>
      <c r="BO79" s="17"/>
    </row>
    <row x14ac:dyDescent="0.25" r="80" customHeight="1" ht="15">
      <c r="A80" s="17"/>
      <c r="B80" s="14"/>
      <c r="C80" s="3"/>
      <c r="D80" s="3"/>
      <c r="E80" s="3"/>
      <c r="F80" s="3"/>
      <c r="G80" s="16"/>
      <c r="H80" s="18"/>
      <c r="I80" s="18"/>
      <c r="J80" s="279">
        <f>H80+I80</f>
      </c>
      <c r="K80" s="1"/>
      <c r="L80" s="123">
        <f>K80*I80</f>
      </c>
      <c r="M80" s="123">
        <f>K80*J80</f>
      </c>
      <c r="N80" s="16"/>
      <c r="O80" s="16"/>
      <c r="P80" s="282">
        <f>IF(ISBLANK(N80),O80/4.3,N80/20)</f>
      </c>
      <c r="Q80" s="1"/>
      <c r="R80" s="3"/>
      <c r="S80" s="3"/>
      <c r="T80" s="256">
        <f>IF(ISBLANK(R80),0,X80)</f>
      </c>
      <c r="U80" s="256">
        <f>IF(ISBLANK(S80),0,X80)</f>
      </c>
      <c r="V80" s="284">
        <f>IFERROR(Q80/K80,0)</f>
      </c>
      <c r="W80" s="123">
        <f>IFERROR(L80*V80,0)</f>
      </c>
      <c r="X80" s="256">
        <f>IFERROR(Q80+W80,0)</f>
      </c>
      <c r="Y80" s="256">
        <f>IFERROR(M80*V80,0)</f>
      </c>
      <c r="Z80" s="256">
        <f>Y80-(Y80*$B$1)</f>
      </c>
      <c r="AA80" s="285">
        <f>IFERROR(Z80/X80,0)</f>
      </c>
      <c r="AB80" s="286">
        <f>IFERROR(IF(ISBLANK(N80),Y80/O80,Y80/N80),0)</f>
      </c>
      <c r="AC80" s="286">
        <f>IFERROR(-1*(AB80*B$1),0)</f>
      </c>
      <c r="AD80" s="286">
        <f>IFERROR(SUM(AB80:AC80),0)</f>
      </c>
      <c r="AE80" s="286">
        <f>IF(ISBLANK(N80),AD80,AD80*5)</f>
      </c>
      <c r="AF80" s="287">
        <f>SUM(AG80:AZ80)</f>
      </c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18"/>
      <c r="AR80" s="18"/>
      <c r="AS80" s="18"/>
      <c r="AT80" s="1"/>
      <c r="AU80" s="18"/>
      <c r="AV80" s="18"/>
      <c r="AW80" s="18"/>
      <c r="AX80" s="18"/>
      <c r="AY80" s="18"/>
      <c r="AZ80" s="18"/>
      <c r="BA80" s="18"/>
      <c r="BB80" s="18"/>
      <c r="BC80" s="16"/>
      <c r="BD80" s="16"/>
      <c r="BE80" s="16"/>
      <c r="BF80" s="286">
        <f>Z80-AF80</f>
      </c>
      <c r="BG80" s="321">
        <f>IFERROR(AF80/Y80,0)</f>
      </c>
      <c r="BH80" s="214">
        <f>IFERROR(AF80/X80,0)</f>
      </c>
      <c r="BI80" s="284">
        <f>IFERROR((X80/SUM(X$26:X$40)),0)</f>
      </c>
      <c r="BJ80" s="284">
        <f>IFERROR((BF80/SUM(BF$3:BF277)),0)</f>
      </c>
      <c r="BK80" s="288">
        <f>BF80/'R&amp;H Portfolio'!Q$10</f>
      </c>
      <c r="BL80" s="286">
        <f>BI80*P80</f>
      </c>
      <c r="BM80" s="3"/>
      <c r="BN80" s="3"/>
      <c r="BO80" s="17"/>
    </row>
    <row x14ac:dyDescent="0.25" r="81" customHeight="1" ht="15">
      <c r="A81" s="17"/>
      <c r="B81" s="14"/>
      <c r="C81" s="3"/>
      <c r="D81" s="3"/>
      <c r="E81" s="3"/>
      <c r="F81" s="3"/>
      <c r="G81" s="16"/>
      <c r="H81" s="18"/>
      <c r="I81" s="18"/>
      <c r="J81" s="279">
        <f>H81+I81</f>
      </c>
      <c r="K81" s="1"/>
      <c r="L81" s="123">
        <f>K81*I81</f>
      </c>
      <c r="M81" s="123">
        <f>K81*J81</f>
      </c>
      <c r="N81" s="16"/>
      <c r="O81" s="16"/>
      <c r="P81" s="282">
        <f>IF(ISBLANK(N81),O81/4.3,N81/20)</f>
      </c>
      <c r="Q81" s="1"/>
      <c r="R81" s="3"/>
      <c r="S81" s="3"/>
      <c r="T81" s="256">
        <f>IF(ISBLANK(R81),0,X81)</f>
      </c>
      <c r="U81" s="256">
        <f>IF(ISBLANK(S81),0,X81)</f>
      </c>
      <c r="V81" s="284">
        <f>IFERROR(Q81/K81,0)</f>
      </c>
      <c r="W81" s="123">
        <f>IFERROR(L81*V81,0)</f>
      </c>
      <c r="X81" s="256">
        <f>IFERROR(Q81+W81,0)</f>
      </c>
      <c r="Y81" s="256">
        <f>IFERROR(M81*V81,0)</f>
      </c>
      <c r="Z81" s="256">
        <f>Y81-(Y81*$B$1)</f>
      </c>
      <c r="AA81" s="285">
        <f>IFERROR(Z81/X81,0)</f>
      </c>
      <c r="AB81" s="286">
        <f>IFERROR(IF(ISBLANK(N81),Y81/O81,Y81/N81),0)</f>
      </c>
      <c r="AC81" s="286">
        <f>IFERROR(-1*(AB81*B$1),0)</f>
      </c>
      <c r="AD81" s="286">
        <f>IFERROR(SUM(AB81:AC81),0)</f>
      </c>
      <c r="AE81" s="286">
        <f>IF(ISBLANK(N81),AD81,AD81*5)</f>
      </c>
      <c r="AF81" s="287">
        <f>SUM(AG81:AZ81)</f>
      </c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18"/>
      <c r="AR81" s="18"/>
      <c r="AS81" s="18"/>
      <c r="AT81" s="1"/>
      <c r="AU81" s="18"/>
      <c r="AV81" s="18"/>
      <c r="AW81" s="18"/>
      <c r="AX81" s="18"/>
      <c r="AY81" s="18"/>
      <c r="AZ81" s="18"/>
      <c r="BA81" s="18"/>
      <c r="BB81" s="18"/>
      <c r="BC81" s="16"/>
      <c r="BD81" s="16"/>
      <c r="BE81" s="16"/>
      <c r="BF81" s="286">
        <f>Z81-AF81</f>
      </c>
      <c r="BG81" s="321">
        <f>IFERROR(AF81/Y81,0)</f>
      </c>
      <c r="BH81" s="214">
        <f>IFERROR(AF81/X81,0)</f>
      </c>
      <c r="BI81" s="284">
        <f>IFERROR((X81/SUM(X$26:X$40)),0)</f>
      </c>
      <c r="BJ81" s="284">
        <f>IFERROR((BF81/SUM(BF$3:BF278)),0)</f>
      </c>
      <c r="BK81" s="288">
        <f>BF81/'R&amp;H Portfolio'!Q$10</f>
      </c>
      <c r="BL81" s="286">
        <f>BI81*P81</f>
      </c>
      <c r="BM81" s="3"/>
      <c r="BN81" s="3"/>
      <c r="BO81" s="17"/>
    </row>
    <row x14ac:dyDescent="0.25" r="82" customHeight="1" ht="15">
      <c r="A82" s="17"/>
      <c r="B82" s="14"/>
      <c r="C82" s="3"/>
      <c r="D82" s="3"/>
      <c r="E82" s="3"/>
      <c r="F82" s="3"/>
      <c r="G82" s="16"/>
      <c r="H82" s="18"/>
      <c r="I82" s="18"/>
      <c r="J82" s="279">
        <f>H82+I82</f>
      </c>
      <c r="K82" s="1"/>
      <c r="L82" s="123">
        <f>K82*I82</f>
      </c>
      <c r="M82" s="123">
        <f>K82*J82</f>
      </c>
      <c r="N82" s="16"/>
      <c r="O82" s="16"/>
      <c r="P82" s="282">
        <f>IF(ISBLANK(N82),O82/4.3,N82/20)</f>
      </c>
      <c r="Q82" s="1"/>
      <c r="R82" s="3"/>
      <c r="S82" s="3"/>
      <c r="T82" s="256">
        <f>IF(ISBLANK(R82),0,X82)</f>
      </c>
      <c r="U82" s="256">
        <f>IF(ISBLANK(S82),0,X82)</f>
      </c>
      <c r="V82" s="284">
        <f>IFERROR(Q82/K82,0)</f>
      </c>
      <c r="W82" s="123">
        <f>IFERROR(L82*V82,0)</f>
      </c>
      <c r="X82" s="256">
        <f>IFERROR(Q82+W82,0)</f>
      </c>
      <c r="Y82" s="256">
        <f>IFERROR(M82*V82,0)</f>
      </c>
      <c r="Z82" s="256">
        <f>Y82-(Y82*$B$1)</f>
      </c>
      <c r="AA82" s="285">
        <f>IFERROR(Z82/X82,0)</f>
      </c>
      <c r="AB82" s="286">
        <f>IFERROR(IF(ISBLANK(N82),Y82/O82,Y82/N82),0)</f>
      </c>
      <c r="AC82" s="286">
        <f>IFERROR(-1*(AB82*B$1),0)</f>
      </c>
      <c r="AD82" s="286">
        <f>IFERROR(SUM(AB82:AC82),0)</f>
      </c>
      <c r="AE82" s="286">
        <f>IF(ISBLANK(N82),AD82,AD82*5)</f>
      </c>
      <c r="AF82" s="287">
        <f>SUM(AG82:AZ82)</f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18"/>
      <c r="AR82" s="18"/>
      <c r="AS82" s="18"/>
      <c r="AT82" s="1"/>
      <c r="AU82" s="18"/>
      <c r="AV82" s="18"/>
      <c r="AW82" s="18"/>
      <c r="AX82" s="18"/>
      <c r="AY82" s="18"/>
      <c r="AZ82" s="18"/>
      <c r="BA82" s="18"/>
      <c r="BB82" s="18"/>
      <c r="BC82" s="16"/>
      <c r="BD82" s="16"/>
      <c r="BE82" s="16"/>
      <c r="BF82" s="286">
        <f>Z82-AF82</f>
      </c>
      <c r="BG82" s="321">
        <f>IFERROR(AF82/Y82,0)</f>
      </c>
      <c r="BH82" s="214">
        <f>IFERROR(AF82/X82,0)</f>
      </c>
      <c r="BI82" s="284">
        <f>IFERROR((X82/SUM(X$26:X$40)),0)</f>
      </c>
      <c r="BJ82" s="284">
        <f>IFERROR((BF82/SUM(BF$3:BF279)),0)</f>
      </c>
      <c r="BK82" s="288">
        <f>BF82/'R&amp;H Portfolio'!Q$10</f>
      </c>
      <c r="BL82" s="286">
        <f>BI82*P82</f>
      </c>
      <c r="BM82" s="3"/>
      <c r="BN82" s="3"/>
      <c r="BO82" s="17"/>
    </row>
    <row x14ac:dyDescent="0.25" r="83" customHeight="1" ht="15">
      <c r="A83" s="17"/>
      <c r="B83" s="14"/>
      <c r="C83" s="3"/>
      <c r="D83" s="3"/>
      <c r="E83" s="3"/>
      <c r="F83" s="3"/>
      <c r="G83" s="16"/>
      <c r="H83" s="18"/>
      <c r="I83" s="18"/>
      <c r="J83" s="279">
        <f>H83+I83</f>
      </c>
      <c r="K83" s="1"/>
      <c r="L83" s="123">
        <f>K83*I83</f>
      </c>
      <c r="M83" s="123">
        <f>K83*J83</f>
      </c>
      <c r="N83" s="16"/>
      <c r="O83" s="16"/>
      <c r="P83" s="282">
        <f>IF(ISBLANK(N83),O83/4.3,N83/20)</f>
      </c>
      <c r="Q83" s="1"/>
      <c r="R83" s="3"/>
      <c r="S83" s="3"/>
      <c r="T83" s="256">
        <f>IF(ISBLANK(R83),0,X83)</f>
      </c>
      <c r="U83" s="256">
        <f>IF(ISBLANK(S83),0,X83)</f>
      </c>
      <c r="V83" s="284">
        <f>IFERROR(Q83/K83,0)</f>
      </c>
      <c r="W83" s="123">
        <f>IFERROR(L83*V83,0)</f>
      </c>
      <c r="X83" s="256">
        <f>IFERROR(Q83+W83,0)</f>
      </c>
      <c r="Y83" s="256">
        <f>IFERROR(M83*V83,0)</f>
      </c>
      <c r="Z83" s="256">
        <f>Y83-(Y83*$B$1)</f>
      </c>
      <c r="AA83" s="285">
        <f>IFERROR(Z83/X83,0)</f>
      </c>
      <c r="AB83" s="286">
        <f>IFERROR(IF(ISBLANK(N83),Y83/O83,Y83/N83),0)</f>
      </c>
      <c r="AC83" s="286">
        <f>IFERROR(-1*(AB83*B$1),0)</f>
      </c>
      <c r="AD83" s="286">
        <f>IFERROR(SUM(AB83:AC83),0)</f>
      </c>
      <c r="AE83" s="286">
        <f>IF(ISBLANK(N83),AD83,AD83*5)</f>
      </c>
      <c r="AF83" s="287">
        <f>SUM(AG83:AZ83)</f>
      </c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18"/>
      <c r="AR83" s="18"/>
      <c r="AS83" s="18"/>
      <c r="AT83" s="1"/>
      <c r="AU83" s="18"/>
      <c r="AV83" s="18"/>
      <c r="AW83" s="18"/>
      <c r="AX83" s="18"/>
      <c r="AY83" s="18"/>
      <c r="AZ83" s="18"/>
      <c r="BA83" s="18"/>
      <c r="BB83" s="18"/>
      <c r="BC83" s="16"/>
      <c r="BD83" s="16"/>
      <c r="BE83" s="16"/>
      <c r="BF83" s="286">
        <f>Z83-AF83</f>
      </c>
      <c r="BG83" s="321">
        <f>IFERROR(AF83/Y83,0)</f>
      </c>
      <c r="BH83" s="214">
        <f>IFERROR(AF83/X83,0)</f>
      </c>
      <c r="BI83" s="284">
        <f>IFERROR((X83/SUM(X$26:X$40)),0)</f>
      </c>
      <c r="BJ83" s="284">
        <f>IFERROR((BF83/SUM(BF$3:BF280)),0)</f>
      </c>
      <c r="BK83" s="288">
        <f>BF83/'R&amp;H Portfolio'!Q$10</f>
      </c>
      <c r="BL83" s="286">
        <f>BI83*P83</f>
      </c>
      <c r="BM83" s="3"/>
      <c r="BN83" s="3"/>
      <c r="BO83" s="17"/>
    </row>
    <row x14ac:dyDescent="0.25" r="84" customHeight="1" ht="15">
      <c r="A84" s="17"/>
      <c r="B84" s="14"/>
      <c r="C84" s="3"/>
      <c r="D84" s="3"/>
      <c r="E84" s="3"/>
      <c r="F84" s="3"/>
      <c r="G84" s="16"/>
      <c r="H84" s="18"/>
      <c r="I84" s="18"/>
      <c r="J84" s="279">
        <f>H84+I84</f>
      </c>
      <c r="K84" s="1"/>
      <c r="L84" s="123">
        <f>K84*I84</f>
      </c>
      <c r="M84" s="123">
        <f>K84*J84</f>
      </c>
      <c r="N84" s="16"/>
      <c r="O84" s="16"/>
      <c r="P84" s="282">
        <f>IF(ISBLANK(N84),O84/4.3,N84/20)</f>
      </c>
      <c r="Q84" s="1"/>
      <c r="R84" s="3"/>
      <c r="S84" s="3"/>
      <c r="T84" s="256">
        <f>IF(ISBLANK(R84),0,X84)</f>
      </c>
      <c r="U84" s="256">
        <f>IF(ISBLANK(S84),0,X84)</f>
      </c>
      <c r="V84" s="284">
        <f>IFERROR(Q84/K84,0)</f>
      </c>
      <c r="W84" s="123">
        <f>IFERROR(L84*V84,0)</f>
      </c>
      <c r="X84" s="256">
        <f>IFERROR(Q84+W84,0)</f>
      </c>
      <c r="Y84" s="256">
        <f>IFERROR(M84*V84,0)</f>
      </c>
      <c r="Z84" s="256">
        <f>Y84-(Y84*$B$1)</f>
      </c>
      <c r="AA84" s="285">
        <f>IFERROR(Z84/X84,0)</f>
      </c>
      <c r="AB84" s="286">
        <f>IFERROR(IF(ISBLANK(N84),Y84/O84,Y84/N84),0)</f>
      </c>
      <c r="AC84" s="286">
        <f>IFERROR(-1*(AB84*B$1),0)</f>
      </c>
      <c r="AD84" s="286">
        <f>IFERROR(SUM(AB84:AC84),0)</f>
      </c>
      <c r="AE84" s="286">
        <f>IF(ISBLANK(N84),AD84,AD84*5)</f>
      </c>
      <c r="AF84" s="287">
        <f>SUM(AG84:AZ84)</f>
      </c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18"/>
      <c r="AR84" s="18"/>
      <c r="AS84" s="18"/>
      <c r="AT84" s="1"/>
      <c r="AU84" s="18"/>
      <c r="AV84" s="18"/>
      <c r="AW84" s="18"/>
      <c r="AX84" s="18"/>
      <c r="AY84" s="18"/>
      <c r="AZ84" s="18"/>
      <c r="BA84" s="18"/>
      <c r="BB84" s="18"/>
      <c r="BC84" s="16"/>
      <c r="BD84" s="16"/>
      <c r="BE84" s="16"/>
      <c r="BF84" s="286">
        <f>Z84-AF84</f>
      </c>
      <c r="BG84" s="321">
        <f>IFERROR(AF84/Y84,0)</f>
      </c>
      <c r="BH84" s="214">
        <f>IFERROR(AF84/X84,0)</f>
      </c>
      <c r="BI84" s="284">
        <f>IFERROR((X84/SUM(X$26:X$40)),0)</f>
      </c>
      <c r="BJ84" s="284">
        <f>IFERROR((BF84/SUM(BF$3:BF281)),0)</f>
      </c>
      <c r="BK84" s="288">
        <f>BF84/'R&amp;H Portfolio'!Q$10</f>
      </c>
      <c r="BL84" s="286">
        <f>BI84*P84</f>
      </c>
      <c r="BM84" s="3"/>
      <c r="BN84" s="3"/>
      <c r="BO84" s="17"/>
    </row>
    <row x14ac:dyDescent="0.25" r="85" customHeight="1" ht="15">
      <c r="A85" s="17"/>
      <c r="B85" s="14"/>
      <c r="C85" s="3"/>
      <c r="D85" s="3"/>
      <c r="E85" s="3"/>
      <c r="F85" s="3"/>
      <c r="G85" s="16"/>
      <c r="H85" s="18"/>
      <c r="I85" s="18"/>
      <c r="J85" s="279">
        <f>H85+I85</f>
      </c>
      <c r="K85" s="1"/>
      <c r="L85" s="123">
        <f>K85*I85</f>
      </c>
      <c r="M85" s="123">
        <f>K85*J85</f>
      </c>
      <c r="N85" s="16"/>
      <c r="O85" s="16"/>
      <c r="P85" s="282">
        <f>IF(ISBLANK(N85),O85/4.3,N85/20)</f>
      </c>
      <c r="Q85" s="1"/>
      <c r="R85" s="3"/>
      <c r="S85" s="3"/>
      <c r="T85" s="256">
        <f>IF(ISBLANK(R85),0,X85)</f>
      </c>
      <c r="U85" s="256">
        <f>IF(ISBLANK(S85),0,X85)</f>
      </c>
      <c r="V85" s="284">
        <f>IFERROR(Q85/K85,0)</f>
      </c>
      <c r="W85" s="123">
        <f>IFERROR(L85*V85,0)</f>
      </c>
      <c r="X85" s="256">
        <f>IFERROR(Q85+W85,0)</f>
      </c>
      <c r="Y85" s="256">
        <f>IFERROR(M85*V85,0)</f>
      </c>
      <c r="Z85" s="256">
        <f>Y85-(Y85*$B$1)</f>
      </c>
      <c r="AA85" s="285">
        <f>IFERROR(Z85/X85,0)</f>
      </c>
      <c r="AB85" s="286">
        <f>IFERROR(IF(ISBLANK(N85),Y85/O85,Y85/N85),0)</f>
      </c>
      <c r="AC85" s="286">
        <f>IFERROR(-1*(AB85*B$1),0)</f>
      </c>
      <c r="AD85" s="286">
        <f>IFERROR(SUM(AB85:AC85),0)</f>
      </c>
      <c r="AE85" s="286">
        <f>IF(ISBLANK(N85),AD85,AD85*5)</f>
      </c>
      <c r="AF85" s="287">
        <f>SUM(AG85:AZ85)</f>
      </c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18"/>
      <c r="AR85" s="18"/>
      <c r="AS85" s="18"/>
      <c r="AT85" s="1"/>
      <c r="AU85" s="18"/>
      <c r="AV85" s="18"/>
      <c r="AW85" s="18"/>
      <c r="AX85" s="18"/>
      <c r="AY85" s="18"/>
      <c r="AZ85" s="18"/>
      <c r="BA85" s="18"/>
      <c r="BB85" s="18"/>
      <c r="BC85" s="16"/>
      <c r="BD85" s="16"/>
      <c r="BE85" s="16"/>
      <c r="BF85" s="286">
        <f>Z85-AF85</f>
      </c>
      <c r="BG85" s="321">
        <f>IFERROR(AF85/Y85,0)</f>
      </c>
      <c r="BH85" s="214">
        <f>IFERROR(AF85/X85,0)</f>
      </c>
      <c r="BI85" s="284">
        <f>IFERROR((X85/SUM(X$26:X$40)),0)</f>
      </c>
      <c r="BJ85" s="284">
        <f>IFERROR((BF85/SUM(BF$3:BF282)),0)</f>
      </c>
      <c r="BK85" s="288">
        <f>BF85/'R&amp;H Portfolio'!Q$10</f>
      </c>
      <c r="BL85" s="286">
        <f>BI85*P85</f>
      </c>
      <c r="BM85" s="3"/>
      <c r="BN85" s="3"/>
      <c r="BO85" s="17"/>
    </row>
    <row x14ac:dyDescent="0.25" r="86" customHeight="1" ht="15">
      <c r="A86" s="17"/>
      <c r="B86" s="14"/>
      <c r="C86" s="3"/>
      <c r="D86" s="3"/>
      <c r="E86" s="3"/>
      <c r="F86" s="3"/>
      <c r="G86" s="16"/>
      <c r="H86" s="18"/>
      <c r="I86" s="18"/>
      <c r="J86" s="279">
        <f>H86+I86</f>
      </c>
      <c r="K86" s="1"/>
      <c r="L86" s="123">
        <f>K86*I86</f>
      </c>
      <c r="M86" s="123">
        <f>K86*J86</f>
      </c>
      <c r="N86" s="16"/>
      <c r="O86" s="16"/>
      <c r="P86" s="282">
        <f>IF(ISBLANK(N86),O86/4.3,N86/20)</f>
      </c>
      <c r="Q86" s="1"/>
      <c r="R86" s="3"/>
      <c r="S86" s="3"/>
      <c r="T86" s="256">
        <f>IF(ISBLANK(R86),0,X86)</f>
      </c>
      <c r="U86" s="256">
        <f>IF(ISBLANK(S86),0,X86)</f>
      </c>
      <c r="V86" s="284">
        <f>IFERROR(Q86/K86,0)</f>
      </c>
      <c r="W86" s="123">
        <f>IFERROR(L86*V86,0)</f>
      </c>
      <c r="X86" s="256">
        <f>IFERROR(Q86+W86,0)</f>
      </c>
      <c r="Y86" s="256">
        <f>IFERROR(M86*V86,0)</f>
      </c>
      <c r="Z86" s="256">
        <f>Y86-(Y86*$B$1)</f>
      </c>
      <c r="AA86" s="285">
        <f>IFERROR(Z86/X86,0)</f>
      </c>
      <c r="AB86" s="286">
        <f>IFERROR(IF(ISBLANK(N86),Y86/O86,Y86/N86),0)</f>
      </c>
      <c r="AC86" s="286">
        <f>IFERROR(-1*(AB86*B$1),0)</f>
      </c>
      <c r="AD86" s="286">
        <f>IFERROR(SUM(AB86:AC86),0)</f>
      </c>
      <c r="AE86" s="286">
        <f>IF(ISBLANK(N86),AD86,AD86*5)</f>
      </c>
      <c r="AF86" s="287">
        <f>SUM(AG86:AZ86)</f>
      </c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18"/>
      <c r="AR86" s="18"/>
      <c r="AS86" s="18"/>
      <c r="AT86" s="1"/>
      <c r="AU86" s="18"/>
      <c r="AV86" s="18"/>
      <c r="AW86" s="18"/>
      <c r="AX86" s="18"/>
      <c r="AY86" s="18"/>
      <c r="AZ86" s="18"/>
      <c r="BA86" s="18"/>
      <c r="BB86" s="18"/>
      <c r="BC86" s="16"/>
      <c r="BD86" s="16"/>
      <c r="BE86" s="16"/>
      <c r="BF86" s="286">
        <f>Z86-AF86</f>
      </c>
      <c r="BG86" s="321">
        <f>IFERROR(AF86/Y86,0)</f>
      </c>
      <c r="BH86" s="214">
        <f>IFERROR(AF86/X86,0)</f>
      </c>
      <c r="BI86" s="284">
        <f>IFERROR((X86/SUM(X$26:X$40)),0)</f>
      </c>
      <c r="BJ86" s="284">
        <f>IFERROR((BF86/SUM(BF$3:BF283)),0)</f>
      </c>
      <c r="BK86" s="288">
        <f>BF86/'R&amp;H Portfolio'!Q$10</f>
      </c>
      <c r="BL86" s="286">
        <f>BI86*P86</f>
      </c>
      <c r="BM86" s="3"/>
      <c r="BN86" s="3"/>
      <c r="BO86" s="17"/>
    </row>
    <row x14ac:dyDescent="0.25" r="87" customHeight="1" ht="15">
      <c r="A87" s="17"/>
      <c r="B87" s="14"/>
      <c r="C87" s="3"/>
      <c r="D87" s="3"/>
      <c r="E87" s="3"/>
      <c r="F87" s="3"/>
      <c r="G87" s="16"/>
      <c r="H87" s="18"/>
      <c r="I87" s="18"/>
      <c r="J87" s="279">
        <f>H87+I87</f>
      </c>
      <c r="K87" s="1"/>
      <c r="L87" s="123">
        <f>K87*I87</f>
      </c>
      <c r="M87" s="123">
        <f>K87*J87</f>
      </c>
      <c r="N87" s="16"/>
      <c r="O87" s="16"/>
      <c r="P87" s="282">
        <f>IF(ISBLANK(N87),O87/4.3,N87/20)</f>
      </c>
      <c r="Q87" s="1"/>
      <c r="R87" s="3"/>
      <c r="S87" s="3"/>
      <c r="T87" s="256">
        <f>IF(ISBLANK(R87),0,X87)</f>
      </c>
      <c r="U87" s="256">
        <f>IF(ISBLANK(S87),0,X87)</f>
      </c>
      <c r="V87" s="284">
        <f>IFERROR(Q87/K87,0)</f>
      </c>
      <c r="W87" s="123">
        <f>IFERROR(L87*V87,0)</f>
      </c>
      <c r="X87" s="256">
        <f>IFERROR(Q87+W87,0)</f>
      </c>
      <c r="Y87" s="256">
        <f>IFERROR(M87*V87,0)</f>
      </c>
      <c r="Z87" s="256">
        <f>Y87-(Y87*$B$1)</f>
      </c>
      <c r="AA87" s="285">
        <f>IFERROR(Z87/X87,0)</f>
      </c>
      <c r="AB87" s="286">
        <f>IFERROR(IF(ISBLANK(N87),Y87/O87,Y87/N87),0)</f>
      </c>
      <c r="AC87" s="286">
        <f>IFERROR(-1*(AB87*B$1),0)</f>
      </c>
      <c r="AD87" s="286">
        <f>IFERROR(SUM(AB87:AC87),0)</f>
      </c>
      <c r="AE87" s="286">
        <f>IF(ISBLANK(N87),AD87,AD87*5)</f>
      </c>
      <c r="AF87" s="287">
        <f>SUM(AG87:AZ87)</f>
      </c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18"/>
      <c r="AR87" s="18"/>
      <c r="AS87" s="18"/>
      <c r="AT87" s="1"/>
      <c r="AU87" s="18"/>
      <c r="AV87" s="18"/>
      <c r="AW87" s="18"/>
      <c r="AX87" s="18"/>
      <c r="AY87" s="18"/>
      <c r="AZ87" s="18"/>
      <c r="BA87" s="18"/>
      <c r="BB87" s="18"/>
      <c r="BC87" s="16"/>
      <c r="BD87" s="16"/>
      <c r="BE87" s="16"/>
      <c r="BF87" s="286">
        <f>Z87-AF87</f>
      </c>
      <c r="BG87" s="321">
        <f>IFERROR(AF87/Y87,0)</f>
      </c>
      <c r="BH87" s="214">
        <f>IFERROR(AF87/X87,0)</f>
      </c>
      <c r="BI87" s="284">
        <f>IFERROR((X87/SUM(X$26:X$40)),0)</f>
      </c>
      <c r="BJ87" s="284">
        <f>IFERROR((BF87/SUM(BF$3:BF284)),0)</f>
      </c>
      <c r="BK87" s="288">
        <f>BF87/'R&amp;H Portfolio'!Q$10</f>
      </c>
      <c r="BL87" s="286">
        <f>BI87*P87</f>
      </c>
      <c r="BM87" s="3"/>
      <c r="BN87" s="3"/>
      <c r="BO87" s="17"/>
    </row>
    <row x14ac:dyDescent="0.25" r="88" customHeight="1" ht="15">
      <c r="A88" s="17"/>
      <c r="B88" s="14"/>
      <c r="C88" s="3"/>
      <c r="D88" s="3"/>
      <c r="E88" s="3"/>
      <c r="F88" s="3"/>
      <c r="G88" s="16"/>
      <c r="H88" s="18"/>
      <c r="I88" s="18"/>
      <c r="J88" s="279">
        <f>H88+I88</f>
      </c>
      <c r="K88" s="1"/>
      <c r="L88" s="123">
        <f>K88*I88</f>
      </c>
      <c r="M88" s="123">
        <f>K88*J88</f>
      </c>
      <c r="N88" s="16"/>
      <c r="O88" s="16"/>
      <c r="P88" s="282">
        <f>IF(ISBLANK(N88),O88/4.3,N88/20)</f>
      </c>
      <c r="Q88" s="1"/>
      <c r="R88" s="3"/>
      <c r="S88" s="3"/>
      <c r="T88" s="256">
        <f>IF(ISBLANK(R88),0,X88)</f>
      </c>
      <c r="U88" s="256">
        <f>IF(ISBLANK(S88),0,X88)</f>
      </c>
      <c r="V88" s="284">
        <f>IFERROR(Q88/K88,0)</f>
      </c>
      <c r="W88" s="123">
        <f>IFERROR(L88*V88,0)</f>
      </c>
      <c r="X88" s="256">
        <f>IFERROR(Q88+W88,0)</f>
      </c>
      <c r="Y88" s="256">
        <f>IFERROR(M88*V88,0)</f>
      </c>
      <c r="Z88" s="256">
        <f>Y88-(Y88*$B$1)</f>
      </c>
      <c r="AA88" s="285">
        <f>IFERROR(Z88/X88,0)</f>
      </c>
      <c r="AB88" s="286">
        <f>IFERROR(IF(ISBLANK(N88),Y88/O88,Y88/N88),0)</f>
      </c>
      <c r="AC88" s="286">
        <f>IFERROR(-1*(AB88*B$1),0)</f>
      </c>
      <c r="AD88" s="286">
        <f>IFERROR(SUM(AB88:AC88),0)</f>
      </c>
      <c r="AE88" s="286">
        <f>IF(ISBLANK(N88),AD88,AD88*5)</f>
      </c>
      <c r="AF88" s="287">
        <f>SUM(AG88:AZ88)</f>
      </c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18"/>
      <c r="AR88" s="18"/>
      <c r="AS88" s="18"/>
      <c r="AT88" s="1"/>
      <c r="AU88" s="18"/>
      <c r="AV88" s="18"/>
      <c r="AW88" s="18"/>
      <c r="AX88" s="18"/>
      <c r="AY88" s="18"/>
      <c r="AZ88" s="18"/>
      <c r="BA88" s="18"/>
      <c r="BB88" s="18"/>
      <c r="BC88" s="16"/>
      <c r="BD88" s="16"/>
      <c r="BE88" s="16"/>
      <c r="BF88" s="286">
        <f>Z88-AF88</f>
      </c>
      <c r="BG88" s="321">
        <f>IFERROR(AF88/Y88,0)</f>
      </c>
      <c r="BH88" s="214">
        <f>IFERROR(AF88/X88,0)</f>
      </c>
      <c r="BI88" s="284">
        <f>IFERROR((X88/SUM(X$26:X$40)),0)</f>
      </c>
      <c r="BJ88" s="284">
        <f>IFERROR((BF88/SUM(BF$3:BF285)),0)</f>
      </c>
      <c r="BK88" s="288">
        <f>BF88/'R&amp;H Portfolio'!Q$10</f>
      </c>
      <c r="BL88" s="286">
        <f>BI88*P88</f>
      </c>
      <c r="BM88" s="3"/>
      <c r="BN88" s="3"/>
      <c r="BO88" s="17"/>
    </row>
    <row x14ac:dyDescent="0.25" r="89" customHeight="1" ht="15">
      <c r="A89" s="17"/>
      <c r="B89" s="14"/>
      <c r="C89" s="3"/>
      <c r="D89" s="3"/>
      <c r="E89" s="3"/>
      <c r="F89" s="3"/>
      <c r="G89" s="16"/>
      <c r="H89" s="18"/>
      <c r="I89" s="18"/>
      <c r="J89" s="279">
        <f>H89+I89</f>
      </c>
      <c r="K89" s="1"/>
      <c r="L89" s="123">
        <f>K89*I89</f>
      </c>
      <c r="M89" s="123">
        <f>K89*J89</f>
      </c>
      <c r="N89" s="16"/>
      <c r="O89" s="16"/>
      <c r="P89" s="282">
        <f>IF(ISBLANK(N89),O89/4.3,N89/20)</f>
      </c>
      <c r="Q89" s="1"/>
      <c r="R89" s="3"/>
      <c r="S89" s="3"/>
      <c r="T89" s="256">
        <f>IF(ISBLANK(R89),0,X89)</f>
      </c>
      <c r="U89" s="256">
        <f>IF(ISBLANK(S89),0,X89)</f>
      </c>
      <c r="V89" s="284">
        <f>IFERROR(Q89/K89,0)</f>
      </c>
      <c r="W89" s="123">
        <f>IFERROR(L89*V89,0)</f>
      </c>
      <c r="X89" s="256">
        <f>IFERROR(Q89+W89,0)</f>
      </c>
      <c r="Y89" s="256">
        <f>IFERROR(M89*V89,0)</f>
      </c>
      <c r="Z89" s="256">
        <f>Y89-(Y89*$B$1)</f>
      </c>
      <c r="AA89" s="285">
        <f>IFERROR(Z89/X89,0)</f>
      </c>
      <c r="AB89" s="286">
        <f>IFERROR(IF(ISBLANK(N89),Y89/O89,Y89/N89),0)</f>
      </c>
      <c r="AC89" s="286">
        <f>IFERROR(-1*(AB89*B$1),0)</f>
      </c>
      <c r="AD89" s="286">
        <f>IFERROR(SUM(AB89:AC89),0)</f>
      </c>
      <c r="AE89" s="286">
        <f>IF(ISBLANK(N89),AD89,AD89*5)</f>
      </c>
      <c r="AF89" s="287">
        <f>SUM(AG89:AZ89)</f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18"/>
      <c r="AR89" s="18"/>
      <c r="AS89" s="18"/>
      <c r="AT89" s="1"/>
      <c r="AU89" s="18"/>
      <c r="AV89" s="18"/>
      <c r="AW89" s="18"/>
      <c r="AX89" s="18"/>
      <c r="AY89" s="18"/>
      <c r="AZ89" s="18"/>
      <c r="BA89" s="18"/>
      <c r="BB89" s="18"/>
      <c r="BC89" s="16"/>
      <c r="BD89" s="16"/>
      <c r="BE89" s="16"/>
      <c r="BF89" s="286">
        <f>Z89-AF89</f>
      </c>
      <c r="BG89" s="321">
        <f>IFERROR(AF89/Y89,0)</f>
      </c>
      <c r="BH89" s="214">
        <f>IFERROR(AF89/X89,0)</f>
      </c>
      <c r="BI89" s="284">
        <f>IFERROR((X89/SUM(X$26:X$40)),0)</f>
      </c>
      <c r="BJ89" s="284">
        <f>IFERROR((BF89/SUM(BF$3:BF286)),0)</f>
      </c>
      <c r="BK89" s="288">
        <f>BF89/'R&amp;H Portfolio'!Q$10</f>
      </c>
      <c r="BL89" s="286">
        <f>BI89*P89</f>
      </c>
      <c r="BM89" s="3"/>
      <c r="BN89" s="3"/>
      <c r="BO89" s="17"/>
    </row>
    <row x14ac:dyDescent="0.25" r="90" customHeight="1" ht="15">
      <c r="A90" s="17"/>
      <c r="B90" s="14"/>
      <c r="C90" s="3"/>
      <c r="D90" s="3"/>
      <c r="E90" s="3"/>
      <c r="F90" s="3"/>
      <c r="G90" s="16"/>
      <c r="H90" s="18"/>
      <c r="I90" s="18"/>
      <c r="J90" s="279">
        <f>H90+I90</f>
      </c>
      <c r="K90" s="1"/>
      <c r="L90" s="123">
        <f>K90*I90</f>
      </c>
      <c r="M90" s="123">
        <f>K90*J90</f>
      </c>
      <c r="N90" s="16"/>
      <c r="O90" s="16"/>
      <c r="P90" s="282">
        <f>IF(ISBLANK(N90),O90/4.3,N90/20)</f>
      </c>
      <c r="Q90" s="1"/>
      <c r="R90" s="3"/>
      <c r="S90" s="3"/>
      <c r="T90" s="256">
        <f>IF(ISBLANK(R90),0,X90)</f>
      </c>
      <c r="U90" s="256">
        <f>IF(ISBLANK(S90),0,X90)</f>
      </c>
      <c r="V90" s="284">
        <f>IFERROR(Q90/K90,0)</f>
      </c>
      <c r="W90" s="123">
        <f>IFERROR(L90*V90,0)</f>
      </c>
      <c r="X90" s="256">
        <f>IFERROR(Q90+W90,0)</f>
      </c>
      <c r="Y90" s="256">
        <f>IFERROR(M90*V90,0)</f>
      </c>
      <c r="Z90" s="256">
        <f>Y90-(Y90*$B$1)</f>
      </c>
      <c r="AA90" s="285">
        <f>IFERROR(Z90/X90,0)</f>
      </c>
      <c r="AB90" s="286">
        <f>IFERROR(IF(ISBLANK(N90),Y90/O90,Y90/N90),0)</f>
      </c>
      <c r="AC90" s="286">
        <f>IFERROR(-1*(AB90*B$1),0)</f>
      </c>
      <c r="AD90" s="286">
        <f>IFERROR(SUM(AB90:AC90),0)</f>
      </c>
      <c r="AE90" s="286">
        <f>IF(ISBLANK(N90),AD90,AD90*5)</f>
      </c>
      <c r="AF90" s="287">
        <f>SUM(AG90:AZ90)</f>
      </c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18"/>
      <c r="AR90" s="18"/>
      <c r="AS90" s="18"/>
      <c r="AT90" s="1"/>
      <c r="AU90" s="18"/>
      <c r="AV90" s="18"/>
      <c r="AW90" s="18"/>
      <c r="AX90" s="18"/>
      <c r="AY90" s="18"/>
      <c r="AZ90" s="18"/>
      <c r="BA90" s="18"/>
      <c r="BB90" s="18"/>
      <c r="BC90" s="16"/>
      <c r="BD90" s="16"/>
      <c r="BE90" s="16"/>
      <c r="BF90" s="286">
        <f>Z90-AF90</f>
      </c>
      <c r="BG90" s="321">
        <f>IFERROR(AF90/Y90,0)</f>
      </c>
      <c r="BH90" s="214">
        <f>IFERROR(AF90/X90,0)</f>
      </c>
      <c r="BI90" s="284">
        <f>IFERROR((X90/SUM(X$26:X$40)),0)</f>
      </c>
      <c r="BJ90" s="284">
        <f>IFERROR((BF90/SUM(BF$3:BF287)),0)</f>
      </c>
      <c r="BK90" s="288">
        <f>BF90/'R&amp;H Portfolio'!Q$10</f>
      </c>
      <c r="BL90" s="286">
        <f>BI90*P90</f>
      </c>
      <c r="BM90" s="3"/>
      <c r="BN90" s="3"/>
      <c r="BO90" s="17"/>
    </row>
    <row x14ac:dyDescent="0.25" r="91" customHeight="1" ht="15">
      <c r="A91" s="17"/>
      <c r="B91" s="14"/>
      <c r="C91" s="3"/>
      <c r="D91" s="3"/>
      <c r="E91" s="3"/>
      <c r="F91" s="3"/>
      <c r="G91" s="16"/>
      <c r="H91" s="18"/>
      <c r="I91" s="18"/>
      <c r="J91" s="279">
        <f>H91+I91</f>
      </c>
      <c r="K91" s="1"/>
      <c r="L91" s="123">
        <f>K91*I91</f>
      </c>
      <c r="M91" s="123">
        <f>K91*J91</f>
      </c>
      <c r="N91" s="16"/>
      <c r="O91" s="16"/>
      <c r="P91" s="282">
        <f>IF(ISBLANK(N91),O91/4.3,N91/20)</f>
      </c>
      <c r="Q91" s="1"/>
      <c r="R91" s="3"/>
      <c r="S91" s="3"/>
      <c r="T91" s="256">
        <f>IF(ISBLANK(R91),0,X91)</f>
      </c>
      <c r="U91" s="256">
        <f>IF(ISBLANK(S91),0,X91)</f>
      </c>
      <c r="V91" s="284">
        <f>IFERROR(Q91/K91,0)</f>
      </c>
      <c r="W91" s="123">
        <f>IFERROR(L91*V91,0)</f>
      </c>
      <c r="X91" s="256">
        <f>IFERROR(Q91+W91,0)</f>
      </c>
      <c r="Y91" s="256">
        <f>IFERROR(M91*V91,0)</f>
      </c>
      <c r="Z91" s="256">
        <f>Y91-(Y91*$B$1)</f>
      </c>
      <c r="AA91" s="285">
        <f>IFERROR(Z91/X91,0)</f>
      </c>
      <c r="AB91" s="286">
        <f>IFERROR(IF(ISBLANK(N91),Y91/O91,Y91/N91),0)</f>
      </c>
      <c r="AC91" s="286">
        <f>IFERROR(-1*(AB91*B$1),0)</f>
      </c>
      <c r="AD91" s="286">
        <f>IFERROR(SUM(AB91:AC91),0)</f>
      </c>
      <c r="AE91" s="286">
        <f>IF(ISBLANK(N91),AD91,AD91*5)</f>
      </c>
      <c r="AF91" s="287">
        <f>SUM(AG91:AZ91)</f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18"/>
      <c r="AR91" s="18"/>
      <c r="AS91" s="18"/>
      <c r="AT91" s="1"/>
      <c r="AU91" s="18"/>
      <c r="AV91" s="18"/>
      <c r="AW91" s="18"/>
      <c r="AX91" s="18"/>
      <c r="AY91" s="18"/>
      <c r="AZ91" s="18"/>
      <c r="BA91" s="18"/>
      <c r="BB91" s="18"/>
      <c r="BC91" s="16"/>
      <c r="BD91" s="16"/>
      <c r="BE91" s="16"/>
      <c r="BF91" s="286">
        <f>Z91-AF91</f>
      </c>
      <c r="BG91" s="321">
        <f>IFERROR(AF91/Y91,0)</f>
      </c>
      <c r="BH91" s="214">
        <f>IFERROR(AF91/X91,0)</f>
      </c>
      <c r="BI91" s="284">
        <f>IFERROR((X91/SUM(X$26:X$40)),0)</f>
      </c>
      <c r="BJ91" s="284">
        <f>IFERROR((BF91/SUM(BF$3:BF288)),0)</f>
      </c>
      <c r="BK91" s="288">
        <f>BF91/'R&amp;H Portfolio'!Q$10</f>
      </c>
      <c r="BL91" s="286">
        <f>BI91*P91</f>
      </c>
      <c r="BM91" s="3"/>
      <c r="BN91" s="3"/>
      <c r="BO91" s="17"/>
    </row>
    <row x14ac:dyDescent="0.25" r="92" customHeight="1" ht="15">
      <c r="A92" s="17"/>
      <c r="B92" s="14"/>
      <c r="C92" s="3"/>
      <c r="D92" s="3"/>
      <c r="E92" s="3"/>
      <c r="F92" s="3"/>
      <c r="G92" s="16"/>
      <c r="H92" s="18"/>
      <c r="I92" s="18"/>
      <c r="J92" s="279">
        <f>H92+I92</f>
      </c>
      <c r="K92" s="1"/>
      <c r="L92" s="123">
        <f>K92*I92</f>
      </c>
      <c r="M92" s="123">
        <f>K92*J92</f>
      </c>
      <c r="N92" s="16"/>
      <c r="O92" s="16"/>
      <c r="P92" s="282">
        <f>IF(ISBLANK(N92),O92/4.3,N92/20)</f>
      </c>
      <c r="Q92" s="1"/>
      <c r="R92" s="3"/>
      <c r="S92" s="3"/>
      <c r="T92" s="256">
        <f>IF(ISBLANK(R92),0,X92)</f>
      </c>
      <c r="U92" s="256">
        <f>IF(ISBLANK(S92),0,X92)</f>
      </c>
      <c r="V92" s="284">
        <f>IFERROR(Q92/K92,0)</f>
      </c>
      <c r="W92" s="123">
        <f>IFERROR(L92*V92,0)</f>
      </c>
      <c r="X92" s="256">
        <f>IFERROR(Q92+W92,0)</f>
      </c>
      <c r="Y92" s="256">
        <f>IFERROR(M92*V92,0)</f>
      </c>
      <c r="Z92" s="256">
        <f>Y92-(Y92*$B$1)</f>
      </c>
      <c r="AA92" s="285">
        <f>IFERROR(Z92/X92,0)</f>
      </c>
      <c r="AB92" s="286">
        <f>IFERROR(IF(ISBLANK(N92),Y92/O92,Y92/N92),0)</f>
      </c>
      <c r="AC92" s="286">
        <f>IFERROR(-1*(AB92*B$1),0)</f>
      </c>
      <c r="AD92" s="286">
        <f>IFERROR(SUM(AB92:AC92),0)</f>
      </c>
      <c r="AE92" s="286">
        <f>IF(ISBLANK(N92),AD92,AD92*5)</f>
      </c>
      <c r="AF92" s="287">
        <f>SUM(AG92:AZ92)</f>
      </c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18"/>
      <c r="AR92" s="18"/>
      <c r="AS92" s="18"/>
      <c r="AT92" s="1"/>
      <c r="AU92" s="18"/>
      <c r="AV92" s="18"/>
      <c r="AW92" s="18"/>
      <c r="AX92" s="18"/>
      <c r="AY92" s="18"/>
      <c r="AZ92" s="18"/>
      <c r="BA92" s="18"/>
      <c r="BB92" s="18"/>
      <c r="BC92" s="16"/>
      <c r="BD92" s="16"/>
      <c r="BE92" s="16"/>
      <c r="BF92" s="286">
        <f>Z92-AF92</f>
      </c>
      <c r="BG92" s="321">
        <f>IFERROR(AF92/Y92,0)</f>
      </c>
      <c r="BH92" s="214">
        <f>IFERROR(AF92/X92,0)</f>
      </c>
      <c r="BI92" s="284">
        <f>IFERROR((X92/SUM(X$26:X$40)),0)</f>
      </c>
      <c r="BJ92" s="284">
        <f>IFERROR((BF92/SUM(BF$3:BF289)),0)</f>
      </c>
      <c r="BK92" s="288">
        <f>BF92/'R&amp;H Portfolio'!Q$10</f>
      </c>
      <c r="BL92" s="286">
        <f>BI92*P92</f>
      </c>
      <c r="BM92" s="3"/>
      <c r="BN92" s="3"/>
      <c r="BO92" s="17"/>
    </row>
    <row x14ac:dyDescent="0.25" r="93" customHeight="1" ht="15">
      <c r="A93" s="17"/>
      <c r="B93" s="14"/>
      <c r="C93" s="3"/>
      <c r="D93" s="3"/>
      <c r="E93" s="3"/>
      <c r="F93" s="3"/>
      <c r="G93" s="16"/>
      <c r="H93" s="18"/>
      <c r="I93" s="18"/>
      <c r="J93" s="279">
        <f>H93+I93</f>
      </c>
      <c r="K93" s="1"/>
      <c r="L93" s="123">
        <f>K93*I93</f>
      </c>
      <c r="M93" s="123">
        <f>K93*J93</f>
      </c>
      <c r="N93" s="16"/>
      <c r="O93" s="16"/>
      <c r="P93" s="282">
        <f>IF(ISBLANK(N93),O93/4.3,N93/20)</f>
      </c>
      <c r="Q93" s="1"/>
      <c r="R93" s="3"/>
      <c r="S93" s="3"/>
      <c r="T93" s="256">
        <f>IF(ISBLANK(R93),0,X93)</f>
      </c>
      <c r="U93" s="256">
        <f>IF(ISBLANK(S93),0,X93)</f>
      </c>
      <c r="V93" s="284">
        <f>IFERROR(Q93/K93,0)</f>
      </c>
      <c r="W93" s="123">
        <f>IFERROR(L93*V93,0)</f>
      </c>
      <c r="X93" s="256">
        <f>IFERROR(Q93+W93,0)</f>
      </c>
      <c r="Y93" s="256">
        <f>IFERROR(M93*V93,0)</f>
      </c>
      <c r="Z93" s="256">
        <f>Y93-(Y93*$B$1)</f>
      </c>
      <c r="AA93" s="285">
        <f>IFERROR(Z93/X93,0)</f>
      </c>
      <c r="AB93" s="286">
        <f>IFERROR(IF(ISBLANK(N93),Y93/O93,Y93/N93),0)</f>
      </c>
      <c r="AC93" s="286">
        <f>IFERROR(-1*(AB93*B$1),0)</f>
      </c>
      <c r="AD93" s="286">
        <f>IFERROR(SUM(AB93:AC93),0)</f>
      </c>
      <c r="AE93" s="286">
        <f>IF(ISBLANK(N93),AD93,AD93*5)</f>
      </c>
      <c r="AF93" s="287">
        <f>SUM(AG93:AZ93)</f>
      </c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18"/>
      <c r="AR93" s="18"/>
      <c r="AS93" s="18"/>
      <c r="AT93" s="1"/>
      <c r="AU93" s="18"/>
      <c r="AV93" s="18"/>
      <c r="AW93" s="18"/>
      <c r="AX93" s="18"/>
      <c r="AY93" s="18"/>
      <c r="AZ93" s="18"/>
      <c r="BA93" s="18"/>
      <c r="BB93" s="18"/>
      <c r="BC93" s="16"/>
      <c r="BD93" s="16"/>
      <c r="BE93" s="16"/>
      <c r="BF93" s="286">
        <f>Z93-AF93</f>
      </c>
      <c r="BG93" s="321">
        <f>IFERROR(AF93/Y93,0)</f>
      </c>
      <c r="BH93" s="214">
        <f>IFERROR(AF93/X93,0)</f>
      </c>
      <c r="BI93" s="284">
        <f>IFERROR((X93/SUM(X$26:X$40)),0)</f>
      </c>
      <c r="BJ93" s="284">
        <f>IFERROR((BF93/SUM(BF$3:BF290)),0)</f>
      </c>
      <c r="BK93" s="288">
        <f>BF93/'R&amp;H Portfolio'!Q$10</f>
      </c>
      <c r="BL93" s="286">
        <f>BI93*P93</f>
      </c>
      <c r="BM93" s="3"/>
      <c r="BN93" s="3"/>
      <c r="BO93" s="17"/>
    </row>
    <row x14ac:dyDescent="0.25" r="94" customHeight="1" ht="15">
      <c r="A94" s="17"/>
      <c r="B94" s="14"/>
      <c r="C94" s="3"/>
      <c r="D94" s="3"/>
      <c r="E94" s="3"/>
      <c r="F94" s="3"/>
      <c r="G94" s="16"/>
      <c r="H94" s="18"/>
      <c r="I94" s="18"/>
      <c r="J94" s="279">
        <f>H94+I94</f>
      </c>
      <c r="K94" s="1"/>
      <c r="L94" s="123">
        <f>K94*I94</f>
      </c>
      <c r="M94" s="123">
        <f>K94*J94</f>
      </c>
      <c r="N94" s="16"/>
      <c r="O94" s="16"/>
      <c r="P94" s="282">
        <f>IF(ISBLANK(N94),O94/4.3,N94/20)</f>
      </c>
      <c r="Q94" s="1"/>
      <c r="R94" s="3"/>
      <c r="S94" s="3"/>
      <c r="T94" s="256">
        <f>IF(ISBLANK(R94),0,X94)</f>
      </c>
      <c r="U94" s="256">
        <f>IF(ISBLANK(S94),0,X94)</f>
      </c>
      <c r="V94" s="284">
        <f>IFERROR(Q94/K94,0)</f>
      </c>
      <c r="W94" s="123">
        <f>IFERROR(L94*V94,0)</f>
      </c>
      <c r="X94" s="256">
        <f>IFERROR(Q94+W94,0)</f>
      </c>
      <c r="Y94" s="256">
        <f>IFERROR(M94*V94,0)</f>
      </c>
      <c r="Z94" s="256">
        <f>Y94-(Y94*$B$1)</f>
      </c>
      <c r="AA94" s="285">
        <f>IFERROR(Z94/X94,0)</f>
      </c>
      <c r="AB94" s="286">
        <f>IFERROR(IF(ISBLANK(N94),Y94/O94,Y94/N94),0)</f>
      </c>
      <c r="AC94" s="286">
        <f>IFERROR(-1*(AB94*B$1),0)</f>
      </c>
      <c r="AD94" s="286">
        <f>IFERROR(SUM(AB94:AC94),0)</f>
      </c>
      <c r="AE94" s="286">
        <f>IF(ISBLANK(N94),AD94,AD94*5)</f>
      </c>
      <c r="AF94" s="287">
        <f>SUM(AG94:AZ94)</f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18"/>
      <c r="AR94" s="18"/>
      <c r="AS94" s="18"/>
      <c r="AT94" s="1"/>
      <c r="AU94" s="18"/>
      <c r="AV94" s="18"/>
      <c r="AW94" s="18"/>
      <c r="AX94" s="18"/>
      <c r="AY94" s="18"/>
      <c r="AZ94" s="18"/>
      <c r="BA94" s="18"/>
      <c r="BB94" s="18"/>
      <c r="BC94" s="16"/>
      <c r="BD94" s="16"/>
      <c r="BE94" s="16"/>
      <c r="BF94" s="286">
        <f>Z94-AF94</f>
      </c>
      <c r="BG94" s="321">
        <f>IFERROR(AF94/Y94,0)</f>
      </c>
      <c r="BH94" s="214">
        <f>IFERROR(AF94/X94,0)</f>
      </c>
      <c r="BI94" s="284">
        <f>IFERROR((X94/SUM(X$26:X$40)),0)</f>
      </c>
      <c r="BJ94" s="284">
        <f>IFERROR((BF94/SUM(BF$3:BF291)),0)</f>
      </c>
      <c r="BK94" s="288">
        <f>BF94/'R&amp;H Portfolio'!Q$10</f>
      </c>
      <c r="BL94" s="286">
        <f>BI94*P94</f>
      </c>
      <c r="BM94" s="3"/>
      <c r="BN94" s="3"/>
      <c r="BO94" s="17"/>
    </row>
    <row x14ac:dyDescent="0.25" r="95" customHeight="1" ht="15">
      <c r="A95" s="17"/>
      <c r="B95" s="14"/>
      <c r="C95" s="3"/>
      <c r="D95" s="3"/>
      <c r="E95" s="3"/>
      <c r="F95" s="3"/>
      <c r="G95" s="16"/>
      <c r="H95" s="18"/>
      <c r="I95" s="18"/>
      <c r="J95" s="279">
        <f>H95+I95</f>
      </c>
      <c r="K95" s="1"/>
      <c r="L95" s="123">
        <f>K95*I95</f>
      </c>
      <c r="M95" s="123">
        <f>K95*J95</f>
      </c>
      <c r="N95" s="16"/>
      <c r="O95" s="16"/>
      <c r="P95" s="282">
        <f>IF(ISBLANK(N95),O95/4.3,N95/20)</f>
      </c>
      <c r="Q95" s="1"/>
      <c r="R95" s="3"/>
      <c r="S95" s="3"/>
      <c r="T95" s="256">
        <f>IF(ISBLANK(R95),0,X95)</f>
      </c>
      <c r="U95" s="256">
        <f>IF(ISBLANK(S95),0,X95)</f>
      </c>
      <c r="V95" s="284">
        <f>IFERROR(Q95/K95,0)</f>
      </c>
      <c r="W95" s="123">
        <f>IFERROR(L95*V95,0)</f>
      </c>
      <c r="X95" s="256">
        <f>IFERROR(Q95+W95,0)</f>
      </c>
      <c r="Y95" s="256">
        <f>IFERROR(M95*V95,0)</f>
      </c>
      <c r="Z95" s="256">
        <f>Y95-(Y95*$B$1)</f>
      </c>
      <c r="AA95" s="285">
        <f>IFERROR(Z95/X95,0)</f>
      </c>
      <c r="AB95" s="286">
        <f>IFERROR(IF(ISBLANK(N95),Y95/O95,Y95/N95),0)</f>
      </c>
      <c r="AC95" s="286">
        <f>IFERROR(-1*(AB95*B$1),0)</f>
      </c>
      <c r="AD95" s="286">
        <f>IFERROR(SUM(AB95:AC95),0)</f>
      </c>
      <c r="AE95" s="286">
        <f>IF(ISBLANK(N95),AD95,AD95*5)</f>
      </c>
      <c r="AF95" s="287">
        <f>SUM(AG95:AZ95)</f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18"/>
      <c r="AR95" s="18"/>
      <c r="AS95" s="18"/>
      <c r="AT95" s="1"/>
      <c r="AU95" s="18"/>
      <c r="AV95" s="18"/>
      <c r="AW95" s="18"/>
      <c r="AX95" s="18"/>
      <c r="AY95" s="18"/>
      <c r="AZ95" s="18"/>
      <c r="BA95" s="18"/>
      <c r="BB95" s="18"/>
      <c r="BC95" s="16"/>
      <c r="BD95" s="16"/>
      <c r="BE95" s="16"/>
      <c r="BF95" s="286">
        <f>Z95-AF95</f>
      </c>
      <c r="BG95" s="321">
        <f>IFERROR(AF95/Y95,0)</f>
      </c>
      <c r="BH95" s="214">
        <f>IFERROR(AF95/X95,0)</f>
      </c>
      <c r="BI95" s="284">
        <f>IFERROR((X95/SUM(X$26:X$40)),0)</f>
      </c>
      <c r="BJ95" s="284">
        <f>IFERROR((BF95/SUM(BF$3:BF292)),0)</f>
      </c>
      <c r="BK95" s="288">
        <f>BF95/'R&amp;H Portfolio'!Q$10</f>
      </c>
      <c r="BL95" s="286">
        <f>BI95*P95</f>
      </c>
      <c r="BM95" s="3"/>
      <c r="BN95" s="3"/>
      <c r="BO95" s="17"/>
    </row>
    <row x14ac:dyDescent="0.25" r="96" customHeight="1" ht="15">
      <c r="A96" s="17"/>
      <c r="B96" s="14"/>
      <c r="C96" s="3"/>
      <c r="D96" s="3"/>
      <c r="E96" s="3"/>
      <c r="F96" s="3"/>
      <c r="G96" s="16"/>
      <c r="H96" s="18"/>
      <c r="I96" s="18"/>
      <c r="J96" s="279">
        <f>H96+I96</f>
      </c>
      <c r="K96" s="1"/>
      <c r="L96" s="123">
        <f>K96*I96</f>
      </c>
      <c r="M96" s="123">
        <f>K96*J96</f>
      </c>
      <c r="N96" s="16"/>
      <c r="O96" s="16"/>
      <c r="P96" s="282">
        <f>IF(ISBLANK(N96),O96/4.3,N96/20)</f>
      </c>
      <c r="Q96" s="1"/>
      <c r="R96" s="3"/>
      <c r="S96" s="3"/>
      <c r="T96" s="256">
        <f>IF(ISBLANK(R96),0,X96)</f>
      </c>
      <c r="U96" s="256">
        <f>IF(ISBLANK(S96),0,X96)</f>
      </c>
      <c r="V96" s="284">
        <f>IFERROR(Q96/K96,0)</f>
      </c>
      <c r="W96" s="123">
        <f>IFERROR(L96*V96,0)</f>
      </c>
      <c r="X96" s="256">
        <f>IFERROR(Q96+W96,0)</f>
      </c>
      <c r="Y96" s="256">
        <f>IFERROR(M96*V96,0)</f>
      </c>
      <c r="Z96" s="256">
        <f>Y96-(Y96*$B$1)</f>
      </c>
      <c r="AA96" s="285">
        <f>IFERROR(Z96/X96,0)</f>
      </c>
      <c r="AB96" s="286">
        <f>IFERROR(IF(ISBLANK(N96),Y96/O96,Y96/N96),0)</f>
      </c>
      <c r="AC96" s="286">
        <f>IFERROR(-1*(AB96*B$1),0)</f>
      </c>
      <c r="AD96" s="286">
        <f>IFERROR(SUM(AB96:AC96),0)</f>
      </c>
      <c r="AE96" s="286">
        <f>IF(ISBLANK(N96),AD96,AD96*5)</f>
      </c>
      <c r="AF96" s="287">
        <f>SUM(AG96:AZ96)</f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18"/>
      <c r="AR96" s="18"/>
      <c r="AS96" s="18"/>
      <c r="AT96" s="1"/>
      <c r="AU96" s="18"/>
      <c r="AV96" s="18"/>
      <c r="AW96" s="18"/>
      <c r="AX96" s="18"/>
      <c r="AY96" s="18"/>
      <c r="AZ96" s="18"/>
      <c r="BA96" s="18"/>
      <c r="BB96" s="18"/>
      <c r="BC96" s="16"/>
      <c r="BD96" s="16"/>
      <c r="BE96" s="16"/>
      <c r="BF96" s="286">
        <f>Z96-AF96</f>
      </c>
      <c r="BG96" s="321">
        <f>IFERROR(AF96/Y96,0)</f>
      </c>
      <c r="BH96" s="214">
        <f>IFERROR(AF96/X96,0)</f>
      </c>
      <c r="BI96" s="284">
        <f>IFERROR((X96/SUM(X$26:X$40)),0)</f>
      </c>
      <c r="BJ96" s="284">
        <f>IFERROR((BF96/SUM(BF$3:BF293)),0)</f>
      </c>
      <c r="BK96" s="288">
        <f>BF96/'R&amp;H Portfolio'!Q$10</f>
      </c>
      <c r="BL96" s="286">
        <f>BI96*P96</f>
      </c>
      <c r="BM96" s="3"/>
      <c r="BN96" s="3"/>
      <c r="BO96" s="17"/>
    </row>
    <row x14ac:dyDescent="0.25" r="97" customHeight="1" ht="15">
      <c r="A97" s="17"/>
      <c r="B97" s="14"/>
      <c r="C97" s="3"/>
      <c r="D97" s="3"/>
      <c r="E97" s="3"/>
      <c r="F97" s="3"/>
      <c r="G97" s="16"/>
      <c r="H97" s="18"/>
      <c r="I97" s="18"/>
      <c r="J97" s="279">
        <f>H97+I97</f>
      </c>
      <c r="K97" s="1"/>
      <c r="L97" s="123">
        <f>K97*I97</f>
      </c>
      <c r="M97" s="123">
        <f>K97*J97</f>
      </c>
      <c r="N97" s="16"/>
      <c r="O97" s="16"/>
      <c r="P97" s="282">
        <f>IF(ISBLANK(N97),O97/4.3,N97/20)</f>
      </c>
      <c r="Q97" s="1"/>
      <c r="R97" s="3"/>
      <c r="S97" s="3"/>
      <c r="T97" s="256">
        <f>IF(ISBLANK(R97),0,X97)</f>
      </c>
      <c r="U97" s="256">
        <f>IF(ISBLANK(S97),0,X97)</f>
      </c>
      <c r="V97" s="284">
        <f>IFERROR(Q97/K97,0)</f>
      </c>
      <c r="W97" s="123">
        <f>IFERROR(L97*V97,0)</f>
      </c>
      <c r="X97" s="256">
        <f>IFERROR(Q97+W97,0)</f>
      </c>
      <c r="Y97" s="256">
        <f>IFERROR(M97*V97,0)</f>
      </c>
      <c r="Z97" s="256">
        <f>Y97-(Y97*$B$1)</f>
      </c>
      <c r="AA97" s="285">
        <f>IFERROR(Z97/X97,0)</f>
      </c>
      <c r="AB97" s="286">
        <f>IFERROR(IF(ISBLANK(N97),Y97/O97,Y97/N97),0)</f>
      </c>
      <c r="AC97" s="286">
        <f>IFERROR(-1*(AB97*B$1),0)</f>
      </c>
      <c r="AD97" s="286">
        <f>IFERROR(SUM(AB97:AC97),0)</f>
      </c>
      <c r="AE97" s="286">
        <f>IF(ISBLANK(N97),AD97,AD97*5)</f>
      </c>
      <c r="AF97" s="287">
        <f>SUM(AG97:AZ97)</f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18"/>
      <c r="AR97" s="18"/>
      <c r="AS97" s="18"/>
      <c r="AT97" s="1"/>
      <c r="AU97" s="18"/>
      <c r="AV97" s="18"/>
      <c r="AW97" s="18"/>
      <c r="AX97" s="18"/>
      <c r="AY97" s="18"/>
      <c r="AZ97" s="18"/>
      <c r="BA97" s="18"/>
      <c r="BB97" s="18"/>
      <c r="BC97" s="16"/>
      <c r="BD97" s="16"/>
      <c r="BE97" s="16"/>
      <c r="BF97" s="286">
        <f>Z97-AF97</f>
      </c>
      <c r="BG97" s="321">
        <f>IFERROR(AF97/Y97,0)</f>
      </c>
      <c r="BH97" s="214">
        <f>IFERROR(AF97/X97,0)</f>
      </c>
      <c r="BI97" s="284">
        <f>IFERROR((X97/SUM(X$26:X$40)),0)</f>
      </c>
      <c r="BJ97" s="284">
        <f>IFERROR((BF97/SUM(BF$3:BF294)),0)</f>
      </c>
      <c r="BK97" s="288">
        <f>BF97/'R&amp;H Portfolio'!Q$10</f>
      </c>
      <c r="BL97" s="286">
        <f>BI97*P97</f>
      </c>
      <c r="BM97" s="3"/>
      <c r="BN97" s="3"/>
      <c r="BO97" s="17"/>
    </row>
    <row x14ac:dyDescent="0.25" r="98" customHeight="1" ht="15">
      <c r="A98" s="17"/>
      <c r="B98" s="14"/>
      <c r="C98" s="3"/>
      <c r="D98" s="3"/>
      <c r="E98" s="3"/>
      <c r="F98" s="3"/>
      <c r="G98" s="16"/>
      <c r="H98" s="18"/>
      <c r="I98" s="18"/>
      <c r="J98" s="279">
        <f>H98+I98</f>
      </c>
      <c r="K98" s="1"/>
      <c r="L98" s="123">
        <f>K98*I98</f>
      </c>
      <c r="M98" s="123">
        <f>K98*J98</f>
      </c>
      <c r="N98" s="16"/>
      <c r="O98" s="16"/>
      <c r="P98" s="282">
        <f>IF(ISBLANK(N98),O98/4.3,N98/20)</f>
      </c>
      <c r="Q98" s="1"/>
      <c r="R98" s="3"/>
      <c r="S98" s="3"/>
      <c r="T98" s="256">
        <f>IF(ISBLANK(R98),0,X98)</f>
      </c>
      <c r="U98" s="256">
        <f>IF(ISBLANK(S98),0,X98)</f>
      </c>
      <c r="V98" s="284">
        <f>IFERROR(Q98/K98,0)</f>
      </c>
      <c r="W98" s="123">
        <f>IFERROR(L98*V98,0)</f>
      </c>
      <c r="X98" s="256">
        <f>IFERROR(Q98+W98,0)</f>
      </c>
      <c r="Y98" s="256">
        <f>IFERROR(M98*V98,0)</f>
      </c>
      <c r="Z98" s="256">
        <f>Y98-(Y98*$B$1)</f>
      </c>
      <c r="AA98" s="285">
        <f>IFERROR(Z98/X98,0)</f>
      </c>
      <c r="AB98" s="286">
        <f>IFERROR(IF(ISBLANK(N98),Y98/O98,Y98/N98),0)</f>
      </c>
      <c r="AC98" s="286">
        <f>IFERROR(-1*(AB98*B$1),0)</f>
      </c>
      <c r="AD98" s="286">
        <f>IFERROR(SUM(AB98:AC98),0)</f>
      </c>
      <c r="AE98" s="286">
        <f>IF(ISBLANK(N98),AD98,AD98*5)</f>
      </c>
      <c r="AF98" s="287">
        <f>SUM(AG98:AZ98)</f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18"/>
      <c r="AR98" s="18"/>
      <c r="AS98" s="18"/>
      <c r="AT98" s="1"/>
      <c r="AU98" s="18"/>
      <c r="AV98" s="18"/>
      <c r="AW98" s="18"/>
      <c r="AX98" s="18"/>
      <c r="AY98" s="18"/>
      <c r="AZ98" s="18"/>
      <c r="BA98" s="18"/>
      <c r="BB98" s="18"/>
      <c r="BC98" s="16"/>
      <c r="BD98" s="16"/>
      <c r="BE98" s="16"/>
      <c r="BF98" s="286">
        <f>Z98-AF98</f>
      </c>
      <c r="BG98" s="321">
        <f>IFERROR(AF98/Y98,0)</f>
      </c>
      <c r="BH98" s="214">
        <f>IFERROR(AF98/X98,0)</f>
      </c>
      <c r="BI98" s="284">
        <f>IFERROR((X98/SUM(X$26:X$40)),0)</f>
      </c>
      <c r="BJ98" s="284">
        <f>IFERROR((BF98/SUM(BF$3:BF295)),0)</f>
      </c>
      <c r="BK98" s="288">
        <f>BF98/'R&amp;H Portfolio'!Q$10</f>
      </c>
      <c r="BL98" s="286">
        <f>BI98*P98</f>
      </c>
      <c r="BM98" s="3"/>
      <c r="BN98" s="3"/>
      <c r="BO98" s="17"/>
    </row>
    <row x14ac:dyDescent="0.25" r="99" customHeight="1" ht="15">
      <c r="A99" s="17"/>
      <c r="B99" s="14"/>
      <c r="C99" s="3"/>
      <c r="D99" s="3"/>
      <c r="E99" s="3"/>
      <c r="F99" s="3"/>
      <c r="G99" s="16"/>
      <c r="H99" s="18"/>
      <c r="I99" s="18"/>
      <c r="J99" s="279">
        <f>H99+I99</f>
      </c>
      <c r="K99" s="1"/>
      <c r="L99" s="123">
        <f>K99*I99</f>
      </c>
      <c r="M99" s="123">
        <f>K99*J99</f>
      </c>
      <c r="N99" s="16"/>
      <c r="O99" s="16"/>
      <c r="P99" s="282">
        <f>IF(ISBLANK(N99),O99/4.3,N99/20)</f>
      </c>
      <c r="Q99" s="1"/>
      <c r="R99" s="3"/>
      <c r="S99" s="3"/>
      <c r="T99" s="256">
        <f>IF(ISBLANK(R99),0,X99)</f>
      </c>
      <c r="U99" s="256">
        <f>IF(ISBLANK(S99),0,X99)</f>
      </c>
      <c r="V99" s="284">
        <f>IFERROR(Q99/K99,0)</f>
      </c>
      <c r="W99" s="123">
        <f>IFERROR(L99*V99,0)</f>
      </c>
      <c r="X99" s="256">
        <f>IFERROR(Q99+W99,0)</f>
      </c>
      <c r="Y99" s="256">
        <f>IFERROR(M99*V99,0)</f>
      </c>
      <c r="Z99" s="256">
        <f>Y99-(Y99*$B$1)</f>
      </c>
      <c r="AA99" s="285">
        <f>IFERROR(Z99/X99,0)</f>
      </c>
      <c r="AB99" s="286">
        <f>IFERROR(IF(ISBLANK(N99),Y99/O99,Y99/N99),0)</f>
      </c>
      <c r="AC99" s="286">
        <f>IFERROR(-1*(AB99*B$1),0)</f>
      </c>
      <c r="AD99" s="286">
        <f>IFERROR(SUM(AB99:AC99),0)</f>
      </c>
      <c r="AE99" s="286">
        <f>IF(ISBLANK(N99),AD99,AD99*5)</f>
      </c>
      <c r="AF99" s="287">
        <f>SUM(AG99:AZ99)</f>
      </c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18"/>
      <c r="AR99" s="18"/>
      <c r="AS99" s="18"/>
      <c r="AT99" s="1"/>
      <c r="AU99" s="18"/>
      <c r="AV99" s="18"/>
      <c r="AW99" s="18"/>
      <c r="AX99" s="18"/>
      <c r="AY99" s="18"/>
      <c r="AZ99" s="18"/>
      <c r="BA99" s="18"/>
      <c r="BB99" s="18"/>
      <c r="BC99" s="16"/>
      <c r="BD99" s="16"/>
      <c r="BE99" s="16"/>
      <c r="BF99" s="286">
        <f>Z99-AF99</f>
      </c>
      <c r="BG99" s="321">
        <f>IFERROR(AF99/Y99,0)</f>
      </c>
      <c r="BH99" s="214">
        <f>IFERROR(AF99/X99,0)</f>
      </c>
      <c r="BI99" s="284">
        <f>IFERROR((X99/SUM(X$26:X$40)),0)</f>
      </c>
      <c r="BJ99" s="284">
        <f>IFERROR((BF99/SUM(BF$3:BF296)),0)</f>
      </c>
      <c r="BK99" s="288">
        <f>BF99/'R&amp;H Portfolio'!Q$10</f>
      </c>
      <c r="BL99" s="286">
        <f>BI99*P99</f>
      </c>
      <c r="BM99" s="3"/>
      <c r="BN99" s="3"/>
      <c r="BO99" s="17"/>
    </row>
    <row x14ac:dyDescent="0.25" r="100" customHeight="1" ht="15">
      <c r="A100" s="17"/>
      <c r="B100" s="14"/>
      <c r="C100" s="3"/>
      <c r="D100" s="3"/>
      <c r="E100" s="3"/>
      <c r="F100" s="3"/>
      <c r="G100" s="16"/>
      <c r="H100" s="18"/>
      <c r="I100" s="18"/>
      <c r="J100" s="279">
        <f>H100+I100</f>
      </c>
      <c r="K100" s="1"/>
      <c r="L100" s="123">
        <f>K100*I100</f>
      </c>
      <c r="M100" s="123">
        <f>K100*J100</f>
      </c>
      <c r="N100" s="16"/>
      <c r="O100" s="16"/>
      <c r="P100" s="282">
        <f>IF(ISBLANK(N100),O100/4.3,N100/20)</f>
      </c>
      <c r="Q100" s="1"/>
      <c r="R100" s="3"/>
      <c r="S100" s="3"/>
      <c r="T100" s="256">
        <f>IF(ISBLANK(R100),0,X100)</f>
      </c>
      <c r="U100" s="256">
        <f>IF(ISBLANK(S100),0,X100)</f>
      </c>
      <c r="V100" s="284">
        <f>IFERROR(Q100/K100,0)</f>
      </c>
      <c r="W100" s="123">
        <f>IFERROR(L100*V100,0)</f>
      </c>
      <c r="X100" s="256">
        <f>IFERROR(Q100+W100,0)</f>
      </c>
      <c r="Y100" s="256">
        <f>IFERROR(M100*V100,0)</f>
      </c>
      <c r="Z100" s="256">
        <f>Y100-(Y100*$B$1)</f>
      </c>
      <c r="AA100" s="285">
        <f>IFERROR(Z100/X100,0)</f>
      </c>
      <c r="AB100" s="286">
        <f>IFERROR(IF(ISBLANK(N100),Y100/O100,Y100/N100),0)</f>
      </c>
      <c r="AC100" s="286">
        <f>IFERROR(-1*(AB100*B$1),0)</f>
      </c>
      <c r="AD100" s="286">
        <f>IFERROR(SUM(AB100:AC100),0)</f>
      </c>
      <c r="AE100" s="286">
        <f>IF(ISBLANK(N100),AD100,AD100*5)</f>
      </c>
      <c r="AF100" s="287">
        <f>SUM(AG100:AZ100)</f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18"/>
      <c r="AR100" s="18"/>
      <c r="AS100" s="18"/>
      <c r="AT100" s="1"/>
      <c r="AU100" s="18"/>
      <c r="AV100" s="18"/>
      <c r="AW100" s="18"/>
      <c r="AX100" s="18"/>
      <c r="AY100" s="18"/>
      <c r="AZ100" s="18"/>
      <c r="BA100" s="18"/>
      <c r="BB100" s="18"/>
      <c r="BC100" s="16"/>
      <c r="BD100" s="16"/>
      <c r="BE100" s="16"/>
      <c r="BF100" s="286">
        <f>Z100-AF100</f>
      </c>
      <c r="BG100" s="321">
        <f>IFERROR(AF100/Y100,0)</f>
      </c>
      <c r="BH100" s="214">
        <f>IFERROR(AF100/X100,0)</f>
      </c>
      <c r="BI100" s="284">
        <f>IFERROR((X100/SUM(X$26:X$40)),0)</f>
      </c>
      <c r="BJ100" s="284">
        <f>IFERROR((BF100/SUM(BF$3:BF297)),0)</f>
      </c>
      <c r="BK100" s="288">
        <f>BF100/'R&amp;H Portfolio'!Q$10</f>
      </c>
      <c r="BL100" s="286">
        <f>BI100*P100</f>
      </c>
      <c r="BM100" s="3"/>
      <c r="BN100" s="3"/>
      <c r="BO100" s="17"/>
    </row>
    <row x14ac:dyDescent="0.25" r="101" customHeight="1" ht="15">
      <c r="A101" s="17"/>
      <c r="B101" s="14"/>
      <c r="C101" s="3"/>
      <c r="D101" s="3"/>
      <c r="E101" s="3"/>
      <c r="F101" s="3"/>
      <c r="G101" s="16"/>
      <c r="H101" s="18"/>
      <c r="I101" s="18"/>
      <c r="J101" s="279">
        <f>H101+I101</f>
      </c>
      <c r="K101" s="1"/>
      <c r="L101" s="123">
        <f>K101*I101</f>
      </c>
      <c r="M101" s="123">
        <f>K101*J101</f>
      </c>
      <c r="N101" s="16"/>
      <c r="O101" s="16"/>
      <c r="P101" s="282">
        <f>IF(ISBLANK(N101),O101/4.3,N101/20)</f>
      </c>
      <c r="Q101" s="1"/>
      <c r="R101" s="3"/>
      <c r="S101" s="3"/>
      <c r="T101" s="256">
        <f>IF(ISBLANK(R101),0,X101)</f>
      </c>
      <c r="U101" s="256">
        <f>IF(ISBLANK(S101),0,X101)</f>
      </c>
      <c r="V101" s="284">
        <f>IFERROR(Q101/K101,0)</f>
      </c>
      <c r="W101" s="123">
        <f>IFERROR(L101*V101,0)</f>
      </c>
      <c r="X101" s="256">
        <f>IFERROR(Q101+W101,0)</f>
      </c>
      <c r="Y101" s="256">
        <f>IFERROR(M101*V101,0)</f>
      </c>
      <c r="Z101" s="256">
        <f>Y101-(Y101*$B$1)</f>
      </c>
      <c r="AA101" s="285">
        <f>IFERROR(Z101/X101,0)</f>
      </c>
      <c r="AB101" s="286">
        <f>IFERROR(IF(ISBLANK(N101),Y101/O101,Y101/N101),0)</f>
      </c>
      <c r="AC101" s="286">
        <f>IFERROR(-1*(AB101*B$1),0)</f>
      </c>
      <c r="AD101" s="286">
        <f>IFERROR(SUM(AB101:AC101),0)</f>
      </c>
      <c r="AE101" s="286">
        <f>IF(ISBLANK(N101),AD101,AD101*5)</f>
      </c>
      <c r="AF101" s="287">
        <f>SUM(AG101:AZ101)</f>
      </c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18"/>
      <c r="AR101" s="18"/>
      <c r="AS101" s="18"/>
      <c r="AT101" s="1"/>
      <c r="AU101" s="18"/>
      <c r="AV101" s="18"/>
      <c r="AW101" s="18"/>
      <c r="AX101" s="18"/>
      <c r="AY101" s="18"/>
      <c r="AZ101" s="18"/>
      <c r="BA101" s="18"/>
      <c r="BB101" s="18"/>
      <c r="BC101" s="16"/>
      <c r="BD101" s="16"/>
      <c r="BE101" s="16"/>
      <c r="BF101" s="286">
        <f>Z101-AF101</f>
      </c>
      <c r="BG101" s="321">
        <f>IFERROR(AF101/Y101,0)</f>
      </c>
      <c r="BH101" s="214">
        <f>IFERROR(AF101/X101,0)</f>
      </c>
      <c r="BI101" s="284">
        <f>IFERROR((X101/SUM(X$26:X$40)),0)</f>
      </c>
      <c r="BJ101" s="284">
        <f>IFERROR((BF101/SUM(BF$3:BF298)),0)</f>
      </c>
      <c r="BK101" s="288">
        <f>BF101/'R&amp;H Portfolio'!Q$10</f>
      </c>
      <c r="BL101" s="286">
        <f>BI101*P101</f>
      </c>
      <c r="BM101" s="3"/>
      <c r="BN101" s="3"/>
      <c r="BO101" s="17"/>
    </row>
    <row x14ac:dyDescent="0.25" r="102" customHeight="1" ht="15">
      <c r="A102" s="17"/>
      <c r="B102" s="14"/>
      <c r="C102" s="3"/>
      <c r="D102" s="3"/>
      <c r="E102" s="3"/>
      <c r="F102" s="3"/>
      <c r="G102" s="16"/>
      <c r="H102" s="18"/>
      <c r="I102" s="18"/>
      <c r="J102" s="279">
        <f>H102+I102</f>
      </c>
      <c r="K102" s="1"/>
      <c r="L102" s="123">
        <f>K102*I102</f>
      </c>
      <c r="M102" s="123">
        <f>K102*J102</f>
      </c>
      <c r="N102" s="16"/>
      <c r="O102" s="16"/>
      <c r="P102" s="282">
        <f>IF(ISBLANK(N102),O102/4.3,N102/20)</f>
      </c>
      <c r="Q102" s="1"/>
      <c r="R102" s="3"/>
      <c r="S102" s="3"/>
      <c r="T102" s="256">
        <f>IF(ISBLANK(R102),0,X102)</f>
      </c>
      <c r="U102" s="256">
        <f>IF(ISBLANK(S102),0,X102)</f>
      </c>
      <c r="V102" s="284">
        <f>IFERROR(Q102/K102,0)</f>
      </c>
      <c r="W102" s="123">
        <f>IFERROR(L102*V102,0)</f>
      </c>
      <c r="X102" s="256">
        <f>IFERROR(Q102+W102,0)</f>
      </c>
      <c r="Y102" s="256">
        <f>IFERROR(M102*V102,0)</f>
      </c>
      <c r="Z102" s="256">
        <f>Y102-(Y102*$B$1)</f>
      </c>
      <c r="AA102" s="285">
        <f>IFERROR(Z102/X102,0)</f>
      </c>
      <c r="AB102" s="286">
        <f>IFERROR(IF(ISBLANK(N102),Y102/O102,Y102/N102),0)</f>
      </c>
      <c r="AC102" s="286">
        <f>IFERROR(-1*(AB102*B$1),0)</f>
      </c>
      <c r="AD102" s="286">
        <f>IFERROR(SUM(AB102:AC102),0)</f>
      </c>
      <c r="AE102" s="286">
        <f>IF(ISBLANK(N102),AD102,AD102*5)</f>
      </c>
      <c r="AF102" s="287">
        <f>SUM(AG102:AZ102)</f>
      </c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18"/>
      <c r="AR102" s="18"/>
      <c r="AS102" s="18"/>
      <c r="AT102" s="1"/>
      <c r="AU102" s="18"/>
      <c r="AV102" s="18"/>
      <c r="AW102" s="18"/>
      <c r="AX102" s="18"/>
      <c r="AY102" s="18"/>
      <c r="AZ102" s="18"/>
      <c r="BA102" s="18"/>
      <c r="BB102" s="18"/>
      <c r="BC102" s="16"/>
      <c r="BD102" s="16"/>
      <c r="BE102" s="16"/>
      <c r="BF102" s="286">
        <f>Z102-AF102</f>
      </c>
      <c r="BG102" s="321">
        <f>IFERROR(AF102/Y102,0)</f>
      </c>
      <c r="BH102" s="214">
        <f>IFERROR(AF102/X102,0)</f>
      </c>
      <c r="BI102" s="284">
        <f>IFERROR((X102/SUM(X$26:X$40)),0)</f>
      </c>
      <c r="BJ102" s="284">
        <f>IFERROR((BF102/SUM(BF$3:BF299)),0)</f>
      </c>
      <c r="BK102" s="288">
        <f>BF102/'R&amp;H Portfolio'!Q$10</f>
      </c>
      <c r="BL102" s="286">
        <f>BI102*P102</f>
      </c>
      <c r="BM102" s="3"/>
      <c r="BN102" s="3"/>
      <c r="BO102" s="17"/>
    </row>
    <row x14ac:dyDescent="0.25" r="103" customHeight="1" ht="15">
      <c r="A103" s="17"/>
      <c r="B103" s="14"/>
      <c r="C103" s="3"/>
      <c r="D103" s="3"/>
      <c r="E103" s="3"/>
      <c r="F103" s="3"/>
      <c r="G103" s="16"/>
      <c r="H103" s="18"/>
      <c r="I103" s="18"/>
      <c r="J103" s="279">
        <f>H103+I103</f>
      </c>
      <c r="K103" s="1"/>
      <c r="L103" s="123">
        <f>K103*I103</f>
      </c>
      <c r="M103" s="123">
        <f>K103*J103</f>
      </c>
      <c r="N103" s="16"/>
      <c r="O103" s="16"/>
      <c r="P103" s="282">
        <f>IF(ISBLANK(N103),O103/4.3,N103/20)</f>
      </c>
      <c r="Q103" s="1"/>
      <c r="R103" s="3"/>
      <c r="S103" s="3"/>
      <c r="T103" s="256">
        <f>IF(ISBLANK(R103),0,X103)</f>
      </c>
      <c r="U103" s="256">
        <f>IF(ISBLANK(S103),0,X103)</f>
      </c>
      <c r="V103" s="284">
        <f>IFERROR(Q103/K103,0)</f>
      </c>
      <c r="W103" s="123">
        <f>IFERROR(L103*V103,0)</f>
      </c>
      <c r="X103" s="256">
        <f>IFERROR(Q103+W103,0)</f>
      </c>
      <c r="Y103" s="256">
        <f>IFERROR(M103*V103,0)</f>
      </c>
      <c r="Z103" s="256">
        <f>Y103-(Y103*$B$1)</f>
      </c>
      <c r="AA103" s="285">
        <f>IFERROR(Z103/X103,0)</f>
      </c>
      <c r="AB103" s="286">
        <f>IFERROR(IF(ISBLANK(N103),Y103/O103,Y103/N103),0)</f>
      </c>
      <c r="AC103" s="286">
        <f>IFERROR(-1*(AB103*B$1),0)</f>
      </c>
      <c r="AD103" s="286">
        <f>IFERROR(SUM(AB103:AC103),0)</f>
      </c>
      <c r="AE103" s="286">
        <f>IF(ISBLANK(N103),AD103,AD103*5)</f>
      </c>
      <c r="AF103" s="287">
        <f>SUM(AG103:AZ103)</f>
      </c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18"/>
      <c r="AR103" s="18"/>
      <c r="AS103" s="18"/>
      <c r="AT103" s="1"/>
      <c r="AU103" s="18"/>
      <c r="AV103" s="18"/>
      <c r="AW103" s="18"/>
      <c r="AX103" s="18"/>
      <c r="AY103" s="18"/>
      <c r="AZ103" s="18"/>
      <c r="BA103" s="18"/>
      <c r="BB103" s="18"/>
      <c r="BC103" s="16"/>
      <c r="BD103" s="16"/>
      <c r="BE103" s="16"/>
      <c r="BF103" s="286">
        <f>Z103-AF103</f>
      </c>
      <c r="BG103" s="321">
        <f>IFERROR(AF103/Y103,0)</f>
      </c>
      <c r="BH103" s="214">
        <f>IFERROR(AF103/X103,0)</f>
      </c>
      <c r="BI103" s="284">
        <f>IFERROR((X103/SUM(X$26:X$40)),0)</f>
      </c>
      <c r="BJ103" s="284">
        <f>IFERROR((BF103/SUM(BF$3:BF300)),0)</f>
      </c>
      <c r="BK103" s="288">
        <f>BF103/'R&amp;H Portfolio'!Q$10</f>
      </c>
      <c r="BL103" s="286">
        <f>BI103*P103</f>
      </c>
      <c r="BM103" s="3"/>
      <c r="BN103" s="3"/>
      <c r="BO103" s="17"/>
    </row>
    <row x14ac:dyDescent="0.25" r="104" customHeight="1" ht="15">
      <c r="A104" s="17"/>
      <c r="B104" s="14"/>
      <c r="C104" s="3"/>
      <c r="D104" s="3"/>
      <c r="E104" s="3"/>
      <c r="F104" s="3"/>
      <c r="G104" s="16"/>
      <c r="H104" s="18"/>
      <c r="I104" s="18"/>
      <c r="J104" s="279">
        <f>H104+I104</f>
      </c>
      <c r="K104" s="1"/>
      <c r="L104" s="123">
        <f>K104*I104</f>
      </c>
      <c r="M104" s="123">
        <f>K104*J104</f>
      </c>
      <c r="N104" s="16"/>
      <c r="O104" s="16"/>
      <c r="P104" s="282">
        <f>IF(ISBLANK(N104),O104/4.3,N104/20)</f>
      </c>
      <c r="Q104" s="1"/>
      <c r="R104" s="3"/>
      <c r="S104" s="3"/>
      <c r="T104" s="256">
        <f>IF(ISBLANK(R104),0,X104)</f>
      </c>
      <c r="U104" s="256">
        <f>IF(ISBLANK(S104),0,X104)</f>
      </c>
      <c r="V104" s="284">
        <f>IFERROR(Q104/K104,0)</f>
      </c>
      <c r="W104" s="123">
        <f>IFERROR(L104*V104,0)</f>
      </c>
      <c r="X104" s="256">
        <f>IFERROR(Q104+W104,0)</f>
      </c>
      <c r="Y104" s="256">
        <f>IFERROR(M104*V104,0)</f>
      </c>
      <c r="Z104" s="256">
        <f>Y104-(Y104*$B$1)</f>
      </c>
      <c r="AA104" s="285">
        <f>IFERROR(Z104/X104,0)</f>
      </c>
      <c r="AB104" s="286">
        <f>IFERROR(IF(ISBLANK(N104),Y104/O104,Y104/N104),0)</f>
      </c>
      <c r="AC104" s="286">
        <f>IFERROR(-1*(AB104*B$1),0)</f>
      </c>
      <c r="AD104" s="286">
        <f>IFERROR(SUM(AB104:AC104),0)</f>
      </c>
      <c r="AE104" s="286">
        <f>IF(ISBLANK(N104),AD104,AD104*5)</f>
      </c>
      <c r="AF104" s="287">
        <f>SUM(AG104:AZ104)</f>
      </c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18"/>
      <c r="AR104" s="18"/>
      <c r="AS104" s="18"/>
      <c r="AT104" s="1"/>
      <c r="AU104" s="18"/>
      <c r="AV104" s="18"/>
      <c r="AW104" s="18"/>
      <c r="AX104" s="18"/>
      <c r="AY104" s="18"/>
      <c r="AZ104" s="18"/>
      <c r="BA104" s="18"/>
      <c r="BB104" s="18"/>
      <c r="BC104" s="16"/>
      <c r="BD104" s="16"/>
      <c r="BE104" s="16"/>
      <c r="BF104" s="286">
        <f>Z104-AF104</f>
      </c>
      <c r="BG104" s="321">
        <f>IFERROR(AF104/Y104,0)</f>
      </c>
      <c r="BH104" s="214">
        <f>IFERROR(AF104/X104,0)</f>
      </c>
      <c r="BI104" s="284">
        <f>IFERROR((X104/SUM(X$26:X$40)),0)</f>
      </c>
      <c r="BJ104" s="284">
        <f>IFERROR((BF104/SUM(BF$3:BF301)),0)</f>
      </c>
      <c r="BK104" s="288">
        <f>BF104/'R&amp;H Portfolio'!Q$10</f>
      </c>
      <c r="BL104" s="286">
        <f>BI104*P104</f>
      </c>
      <c r="BM104" s="3"/>
      <c r="BN104" s="3"/>
      <c r="BO104" s="17"/>
    </row>
    <row x14ac:dyDescent="0.25" r="105" customHeight="1" ht="15">
      <c r="A105" s="17"/>
      <c r="B105" s="14"/>
      <c r="C105" s="3"/>
      <c r="D105" s="3"/>
      <c r="E105" s="3"/>
      <c r="F105" s="3"/>
      <c r="G105" s="16"/>
      <c r="H105" s="18"/>
      <c r="I105" s="18"/>
      <c r="J105" s="279">
        <f>H105+I105</f>
      </c>
      <c r="K105" s="1"/>
      <c r="L105" s="123">
        <f>K105*I105</f>
      </c>
      <c r="M105" s="123">
        <f>K105*J105</f>
      </c>
      <c r="N105" s="16"/>
      <c r="O105" s="16"/>
      <c r="P105" s="282">
        <f>IF(ISBLANK(N105),O105/4.3,N105/20)</f>
      </c>
      <c r="Q105" s="1"/>
      <c r="R105" s="3"/>
      <c r="S105" s="3"/>
      <c r="T105" s="256">
        <f>IF(ISBLANK(R105),0,X105)</f>
      </c>
      <c r="U105" s="256">
        <f>IF(ISBLANK(S105),0,X105)</f>
      </c>
      <c r="V105" s="284">
        <f>IFERROR(Q105/K105,0)</f>
      </c>
      <c r="W105" s="123">
        <f>IFERROR(L105*V105,0)</f>
      </c>
      <c r="X105" s="256">
        <f>IFERROR(Q105+W105,0)</f>
      </c>
      <c r="Y105" s="256">
        <f>IFERROR(M105*V105,0)</f>
      </c>
      <c r="Z105" s="256">
        <f>Y105-(Y105*$B$1)</f>
      </c>
      <c r="AA105" s="285">
        <f>IFERROR(Z105/X105,0)</f>
      </c>
      <c r="AB105" s="286">
        <f>IFERROR(IF(ISBLANK(N105),Y105/O105,Y105/N105),0)</f>
      </c>
      <c r="AC105" s="286">
        <f>IFERROR(-1*(AB105*B$1),0)</f>
      </c>
      <c r="AD105" s="286">
        <f>IFERROR(SUM(AB105:AC105),0)</f>
      </c>
      <c r="AE105" s="286">
        <f>IF(ISBLANK(N105),AD105,AD105*5)</f>
      </c>
      <c r="AF105" s="287">
        <f>SUM(AG105:AZ105)</f>
      </c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18"/>
      <c r="AR105" s="18"/>
      <c r="AS105" s="18"/>
      <c r="AT105" s="1"/>
      <c r="AU105" s="18"/>
      <c r="AV105" s="18"/>
      <c r="AW105" s="18"/>
      <c r="AX105" s="18"/>
      <c r="AY105" s="18"/>
      <c r="AZ105" s="18"/>
      <c r="BA105" s="18"/>
      <c r="BB105" s="18"/>
      <c r="BC105" s="16"/>
      <c r="BD105" s="16"/>
      <c r="BE105" s="16"/>
      <c r="BF105" s="286">
        <f>Z105-AF105</f>
      </c>
      <c r="BG105" s="321">
        <f>IFERROR(AF105/Y105,0)</f>
      </c>
      <c r="BH105" s="214">
        <f>IFERROR(AF105/X105,0)</f>
      </c>
      <c r="BI105" s="284">
        <f>IFERROR((X105/SUM(X$26:X$40)),0)</f>
      </c>
      <c r="BJ105" s="284">
        <f>IFERROR((BF105/SUM(BF$3:BF302)),0)</f>
      </c>
      <c r="BK105" s="288">
        <f>BF105/'R&amp;H Portfolio'!Q$10</f>
      </c>
      <c r="BL105" s="286">
        <f>BI105*P105</f>
      </c>
      <c r="BM105" s="3"/>
      <c r="BN105" s="3"/>
      <c r="BO105" s="17"/>
    </row>
    <row x14ac:dyDescent="0.25" r="106" customHeight="1" ht="15">
      <c r="A106" s="17"/>
      <c r="B106" s="14"/>
      <c r="C106" s="3"/>
      <c r="D106" s="3"/>
      <c r="E106" s="3"/>
      <c r="F106" s="3"/>
      <c r="G106" s="16"/>
      <c r="H106" s="18"/>
      <c r="I106" s="18"/>
      <c r="J106" s="279">
        <f>H106+I106</f>
      </c>
      <c r="K106" s="1"/>
      <c r="L106" s="123">
        <f>K106*I106</f>
      </c>
      <c r="M106" s="123">
        <f>K106*J106</f>
      </c>
      <c r="N106" s="16"/>
      <c r="O106" s="16"/>
      <c r="P106" s="282">
        <f>IF(ISBLANK(N106),O106/4.3,N106/20)</f>
      </c>
      <c r="Q106" s="1"/>
      <c r="R106" s="3"/>
      <c r="S106" s="3"/>
      <c r="T106" s="256">
        <f>IF(ISBLANK(R106),0,X106)</f>
      </c>
      <c r="U106" s="256">
        <f>IF(ISBLANK(S106),0,X106)</f>
      </c>
      <c r="V106" s="284">
        <f>IFERROR(Q106/K106,0)</f>
      </c>
      <c r="W106" s="123">
        <f>IFERROR(L106*V106,0)</f>
      </c>
      <c r="X106" s="256">
        <f>IFERROR(Q106+W106,0)</f>
      </c>
      <c r="Y106" s="256">
        <f>IFERROR(M106*V106,0)</f>
      </c>
      <c r="Z106" s="256">
        <f>Y106-(Y106*$B$1)</f>
      </c>
      <c r="AA106" s="285">
        <f>IFERROR(Z106/X106,0)</f>
      </c>
      <c r="AB106" s="286">
        <f>IFERROR(IF(ISBLANK(N106),Y106/O106,Y106/N106),0)</f>
      </c>
      <c r="AC106" s="286">
        <f>IFERROR(-1*(AB106*B$1),0)</f>
      </c>
      <c r="AD106" s="286">
        <f>IFERROR(SUM(AB106:AC106),0)</f>
      </c>
      <c r="AE106" s="286">
        <f>IF(ISBLANK(N106),AD106,AD106*5)</f>
      </c>
      <c r="AF106" s="287">
        <f>SUM(AG106:AZ106)</f>
      </c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18"/>
      <c r="AR106" s="18"/>
      <c r="AS106" s="18"/>
      <c r="AT106" s="1"/>
      <c r="AU106" s="18"/>
      <c r="AV106" s="18"/>
      <c r="AW106" s="18"/>
      <c r="AX106" s="18"/>
      <c r="AY106" s="18"/>
      <c r="AZ106" s="18"/>
      <c r="BA106" s="18"/>
      <c r="BB106" s="18"/>
      <c r="BC106" s="16"/>
      <c r="BD106" s="16"/>
      <c r="BE106" s="16"/>
      <c r="BF106" s="286">
        <f>Z106-AF106</f>
      </c>
      <c r="BG106" s="321">
        <f>IFERROR(AF106/Y106,0)</f>
      </c>
      <c r="BH106" s="214">
        <f>IFERROR(AF106/X106,0)</f>
      </c>
      <c r="BI106" s="284">
        <f>IFERROR((X106/SUM(X$26:X$40)),0)</f>
      </c>
      <c r="BJ106" s="284">
        <f>IFERROR((BF106/SUM(BF$3:BF303)),0)</f>
      </c>
      <c r="BK106" s="288">
        <f>BF106/'R&amp;H Portfolio'!Q$10</f>
      </c>
      <c r="BL106" s="286">
        <f>BI106*P106</f>
      </c>
      <c r="BM106" s="3"/>
      <c r="BN106" s="3"/>
      <c r="BO106" s="17"/>
    </row>
    <row x14ac:dyDescent="0.25" r="107" customHeight="1" ht="15">
      <c r="A107" s="17"/>
      <c r="B107" s="14"/>
      <c r="C107" s="3"/>
      <c r="D107" s="3"/>
      <c r="E107" s="3"/>
      <c r="F107" s="3"/>
      <c r="G107" s="16"/>
      <c r="H107" s="18"/>
      <c r="I107" s="18"/>
      <c r="J107" s="279">
        <f>H107+I107</f>
      </c>
      <c r="K107" s="1"/>
      <c r="L107" s="123">
        <f>K107*I107</f>
      </c>
      <c r="M107" s="123">
        <f>K107*J107</f>
      </c>
      <c r="N107" s="16"/>
      <c r="O107" s="16"/>
      <c r="P107" s="282">
        <f>IF(ISBLANK(N107),O107/4.3,N107/20)</f>
      </c>
      <c r="Q107" s="1"/>
      <c r="R107" s="3"/>
      <c r="S107" s="3"/>
      <c r="T107" s="256">
        <f>IF(ISBLANK(R107),0,X107)</f>
      </c>
      <c r="U107" s="256">
        <f>IF(ISBLANK(S107),0,X107)</f>
      </c>
      <c r="V107" s="284">
        <f>IFERROR(Q107/K107,0)</f>
      </c>
      <c r="W107" s="123">
        <f>IFERROR(L107*V107,0)</f>
      </c>
      <c r="X107" s="256">
        <f>IFERROR(Q107+W107,0)</f>
      </c>
      <c r="Y107" s="256">
        <f>IFERROR(M107*V107,0)</f>
      </c>
      <c r="Z107" s="256">
        <f>Y107-(Y107*$B$1)</f>
      </c>
      <c r="AA107" s="285">
        <f>IFERROR(Z107/X107,0)</f>
      </c>
      <c r="AB107" s="286">
        <f>IFERROR(IF(ISBLANK(N107),Y107/O107,Y107/N107),0)</f>
      </c>
      <c r="AC107" s="286">
        <f>IFERROR(-1*(AB107*B$1),0)</f>
      </c>
      <c r="AD107" s="286">
        <f>IFERROR(SUM(AB107:AC107),0)</f>
      </c>
      <c r="AE107" s="286">
        <f>IF(ISBLANK(N107),AD107,AD107*5)</f>
      </c>
      <c r="AF107" s="287">
        <f>SUM(AG107:AZ107)</f>
      </c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18"/>
      <c r="AR107" s="18"/>
      <c r="AS107" s="18"/>
      <c r="AT107" s="1"/>
      <c r="AU107" s="18"/>
      <c r="AV107" s="18"/>
      <c r="AW107" s="18"/>
      <c r="AX107" s="18"/>
      <c r="AY107" s="18"/>
      <c r="AZ107" s="18"/>
      <c r="BA107" s="18"/>
      <c r="BB107" s="18"/>
      <c r="BC107" s="16"/>
      <c r="BD107" s="16"/>
      <c r="BE107" s="16"/>
      <c r="BF107" s="286">
        <f>Z107-AF107</f>
      </c>
      <c r="BG107" s="321">
        <f>IFERROR(AF107/Y107,0)</f>
      </c>
      <c r="BH107" s="214">
        <f>IFERROR(AF107/X107,0)</f>
      </c>
      <c r="BI107" s="284">
        <f>IFERROR((X107/SUM(X$26:X$40)),0)</f>
      </c>
      <c r="BJ107" s="284">
        <f>IFERROR((BF107/SUM(BF$3:BF304)),0)</f>
      </c>
      <c r="BK107" s="288">
        <f>BF107/'R&amp;H Portfolio'!Q$10</f>
      </c>
      <c r="BL107" s="286">
        <f>BI107*P107</f>
      </c>
      <c r="BM107" s="3"/>
      <c r="BN107" s="3"/>
      <c r="BO107" s="17"/>
    </row>
    <row x14ac:dyDescent="0.25" r="108" customHeight="1" ht="15">
      <c r="A108" s="17"/>
      <c r="B108" s="14"/>
      <c r="C108" s="3"/>
      <c r="D108" s="3"/>
      <c r="E108" s="3"/>
      <c r="F108" s="3"/>
      <c r="G108" s="16"/>
      <c r="H108" s="18"/>
      <c r="I108" s="18"/>
      <c r="J108" s="279">
        <f>H108+I108</f>
      </c>
      <c r="K108" s="1"/>
      <c r="L108" s="123">
        <f>K108*I108</f>
      </c>
      <c r="M108" s="123">
        <f>K108*J108</f>
      </c>
      <c r="N108" s="16"/>
      <c r="O108" s="16"/>
      <c r="P108" s="282">
        <f>IF(ISBLANK(N108),O108/4.3,N108/20)</f>
      </c>
      <c r="Q108" s="1"/>
      <c r="R108" s="3"/>
      <c r="S108" s="3"/>
      <c r="T108" s="256">
        <f>IF(ISBLANK(R108),0,X108)</f>
      </c>
      <c r="U108" s="256">
        <f>IF(ISBLANK(S108),0,X108)</f>
      </c>
      <c r="V108" s="284">
        <f>IFERROR(Q108/K108,0)</f>
      </c>
      <c r="W108" s="123">
        <f>IFERROR(L108*V108,0)</f>
      </c>
      <c r="X108" s="256">
        <f>IFERROR(Q108+W108,0)</f>
      </c>
      <c r="Y108" s="256">
        <f>IFERROR(M108*V108,0)</f>
      </c>
      <c r="Z108" s="256">
        <f>Y108-(Y108*$B$1)</f>
      </c>
      <c r="AA108" s="285">
        <f>IFERROR(Z108/X108,0)</f>
      </c>
      <c r="AB108" s="286">
        <f>IFERROR(IF(ISBLANK(N108),Y108/O108,Y108/N108),0)</f>
      </c>
      <c r="AC108" s="286">
        <f>IFERROR(-1*(AB108*B$1),0)</f>
      </c>
      <c r="AD108" s="286">
        <f>IFERROR(SUM(AB108:AC108),0)</f>
      </c>
      <c r="AE108" s="286">
        <f>IF(ISBLANK(N108),AD108,AD108*5)</f>
      </c>
      <c r="AF108" s="287">
        <f>SUM(AG108:AZ108)</f>
      </c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18"/>
      <c r="AR108" s="18"/>
      <c r="AS108" s="18"/>
      <c r="AT108" s="1"/>
      <c r="AU108" s="18"/>
      <c r="AV108" s="18"/>
      <c r="AW108" s="18"/>
      <c r="AX108" s="18"/>
      <c r="AY108" s="18"/>
      <c r="AZ108" s="18"/>
      <c r="BA108" s="18"/>
      <c r="BB108" s="18"/>
      <c r="BC108" s="16"/>
      <c r="BD108" s="16"/>
      <c r="BE108" s="16"/>
      <c r="BF108" s="286">
        <f>Z108-AF108</f>
      </c>
      <c r="BG108" s="321">
        <f>IFERROR(AF108/Y108,0)</f>
      </c>
      <c r="BH108" s="214">
        <f>IFERROR(AF108/X108,0)</f>
      </c>
      <c r="BI108" s="284">
        <f>IFERROR((X108/SUM(X$26:X$40)),0)</f>
      </c>
      <c r="BJ108" s="284">
        <f>IFERROR((BF108/SUM(BF$3:BF305)),0)</f>
      </c>
      <c r="BK108" s="288">
        <f>BF108/'R&amp;H Portfolio'!Q$10</f>
      </c>
      <c r="BL108" s="286">
        <f>BI108*P108</f>
      </c>
      <c r="BM108" s="3"/>
      <c r="BN108" s="3"/>
      <c r="BO108" s="17"/>
    </row>
    <row x14ac:dyDescent="0.25" r="109" customHeight="1" ht="15">
      <c r="A109" s="17"/>
      <c r="B109" s="14"/>
      <c r="C109" s="3"/>
      <c r="D109" s="3"/>
      <c r="E109" s="3"/>
      <c r="F109" s="3"/>
      <c r="G109" s="16"/>
      <c r="H109" s="18"/>
      <c r="I109" s="18"/>
      <c r="J109" s="279">
        <f>H109+I109</f>
      </c>
      <c r="K109" s="1"/>
      <c r="L109" s="123">
        <f>K109*I109</f>
      </c>
      <c r="M109" s="123">
        <f>K109*J109</f>
      </c>
      <c r="N109" s="16"/>
      <c r="O109" s="16"/>
      <c r="P109" s="282">
        <f>IF(ISBLANK(N109),O109/4.3,N109/20)</f>
      </c>
      <c r="Q109" s="1"/>
      <c r="R109" s="3"/>
      <c r="S109" s="3"/>
      <c r="T109" s="256">
        <f>IF(ISBLANK(R109),0,X109)</f>
      </c>
      <c r="U109" s="256">
        <f>IF(ISBLANK(S109),0,X109)</f>
      </c>
      <c r="V109" s="284">
        <f>IFERROR(Q109/K109,0)</f>
      </c>
      <c r="W109" s="123">
        <f>IFERROR(L109*V109,0)</f>
      </c>
      <c r="X109" s="256">
        <f>IFERROR(Q109+W109,0)</f>
      </c>
      <c r="Y109" s="256">
        <f>IFERROR(M109*V109,0)</f>
      </c>
      <c r="Z109" s="256">
        <f>Y109-(Y109*$B$1)</f>
      </c>
      <c r="AA109" s="285">
        <f>IFERROR(Z109/X109,0)</f>
      </c>
      <c r="AB109" s="286">
        <f>IFERROR(IF(ISBLANK(N109),Y109/O109,Y109/N109),0)</f>
      </c>
      <c r="AC109" s="286">
        <f>IFERROR(-1*(AB109*B$1),0)</f>
      </c>
      <c r="AD109" s="286">
        <f>IFERROR(SUM(AB109:AC109),0)</f>
      </c>
      <c r="AE109" s="286">
        <f>IF(ISBLANK(N109),AD109,AD109*5)</f>
      </c>
      <c r="AF109" s="287">
        <f>SUM(AG109:AZ109)</f>
      </c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18"/>
      <c r="AR109" s="18"/>
      <c r="AS109" s="18"/>
      <c r="AT109" s="1"/>
      <c r="AU109" s="18"/>
      <c r="AV109" s="18"/>
      <c r="AW109" s="18"/>
      <c r="AX109" s="18"/>
      <c r="AY109" s="18"/>
      <c r="AZ109" s="18"/>
      <c r="BA109" s="18"/>
      <c r="BB109" s="18"/>
      <c r="BC109" s="16"/>
      <c r="BD109" s="16"/>
      <c r="BE109" s="16"/>
      <c r="BF109" s="286">
        <f>Z109-AF109</f>
      </c>
      <c r="BG109" s="321">
        <f>IFERROR(AF109/Y109,0)</f>
      </c>
      <c r="BH109" s="214">
        <f>IFERROR(AF109/X109,0)</f>
      </c>
      <c r="BI109" s="284">
        <f>IFERROR((X109/SUM(X$26:X$40)),0)</f>
      </c>
      <c r="BJ109" s="284">
        <f>IFERROR((BF109/SUM(BF$3:BF306)),0)</f>
      </c>
      <c r="BK109" s="288">
        <f>BF109/'R&amp;H Portfolio'!Q$10</f>
      </c>
      <c r="BL109" s="286">
        <f>BI109*P109</f>
      </c>
      <c r="BM109" s="3"/>
      <c r="BN109" s="3"/>
      <c r="BO109" s="17"/>
    </row>
    <row x14ac:dyDescent="0.25" r="110" customHeight="1" ht="15">
      <c r="A110" s="17"/>
      <c r="B110" s="14"/>
      <c r="C110" s="3"/>
      <c r="D110" s="3"/>
      <c r="E110" s="3"/>
      <c r="F110" s="3"/>
      <c r="G110" s="16"/>
      <c r="H110" s="18"/>
      <c r="I110" s="18"/>
      <c r="J110" s="279">
        <f>H110+I110</f>
      </c>
      <c r="K110" s="1"/>
      <c r="L110" s="123">
        <f>K110*I110</f>
      </c>
      <c r="M110" s="123">
        <f>K110*J110</f>
      </c>
      <c r="N110" s="16"/>
      <c r="O110" s="16"/>
      <c r="P110" s="282">
        <f>IF(ISBLANK(N110),O110/4.3,N110/20)</f>
      </c>
      <c r="Q110" s="1"/>
      <c r="R110" s="3"/>
      <c r="S110" s="3"/>
      <c r="T110" s="256">
        <f>IF(ISBLANK(R110),0,X110)</f>
      </c>
      <c r="U110" s="256">
        <f>IF(ISBLANK(S110),0,X110)</f>
      </c>
      <c r="V110" s="284">
        <f>IFERROR(Q110/K110,0)</f>
      </c>
      <c r="W110" s="123">
        <f>IFERROR(L110*V110,0)</f>
      </c>
      <c r="X110" s="256">
        <f>IFERROR(Q110+W110,0)</f>
      </c>
      <c r="Y110" s="256">
        <f>IFERROR(M110*V110,0)</f>
      </c>
      <c r="Z110" s="256">
        <f>Y110-(Y110*$B$1)</f>
      </c>
      <c r="AA110" s="285">
        <f>IFERROR(Z110/X110,0)</f>
      </c>
      <c r="AB110" s="286">
        <f>IFERROR(IF(ISBLANK(N110),Y110/O110,Y110/N110),0)</f>
      </c>
      <c r="AC110" s="286">
        <f>IFERROR(-1*(AB110*B$1),0)</f>
      </c>
      <c r="AD110" s="286">
        <f>IFERROR(SUM(AB110:AC110),0)</f>
      </c>
      <c r="AE110" s="286">
        <f>IF(ISBLANK(N110),AD110,AD110*5)</f>
      </c>
      <c r="AF110" s="287">
        <f>SUM(AG110:AZ110)</f>
      </c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18"/>
      <c r="AR110" s="18"/>
      <c r="AS110" s="18"/>
      <c r="AT110" s="1"/>
      <c r="AU110" s="18"/>
      <c r="AV110" s="18"/>
      <c r="AW110" s="18"/>
      <c r="AX110" s="18"/>
      <c r="AY110" s="18"/>
      <c r="AZ110" s="18"/>
      <c r="BA110" s="18"/>
      <c r="BB110" s="18"/>
      <c r="BC110" s="16"/>
      <c r="BD110" s="16"/>
      <c r="BE110" s="16"/>
      <c r="BF110" s="286">
        <f>Z110-AF110</f>
      </c>
      <c r="BG110" s="321">
        <f>IFERROR(AF110/Y110,0)</f>
      </c>
      <c r="BH110" s="214">
        <f>IFERROR(AF110/X110,0)</f>
      </c>
      <c r="BI110" s="284">
        <f>IFERROR((X110/SUM(X$26:X$40)),0)</f>
      </c>
      <c r="BJ110" s="284">
        <f>IFERROR((BF110/SUM(BF$3:BF307)),0)</f>
      </c>
      <c r="BK110" s="288">
        <f>BF110/'R&amp;H Portfolio'!Q$10</f>
      </c>
      <c r="BL110" s="286">
        <f>BI110*P110</f>
      </c>
      <c r="BM110" s="3"/>
      <c r="BN110" s="3"/>
      <c r="BO110" s="17"/>
    </row>
    <row x14ac:dyDescent="0.25" r="111" customHeight="1" ht="15">
      <c r="A111" s="17"/>
      <c r="B111" s="14"/>
      <c r="C111" s="3"/>
      <c r="D111" s="3"/>
      <c r="E111" s="3"/>
      <c r="F111" s="3"/>
      <c r="G111" s="16"/>
      <c r="H111" s="18"/>
      <c r="I111" s="18"/>
      <c r="J111" s="279">
        <f>H111+I111</f>
      </c>
      <c r="K111" s="1"/>
      <c r="L111" s="123">
        <f>K111*I111</f>
      </c>
      <c r="M111" s="123">
        <f>K111*J111</f>
      </c>
      <c r="N111" s="16"/>
      <c r="O111" s="16"/>
      <c r="P111" s="282">
        <f>IF(ISBLANK(N111),O111/4.3,N111/20)</f>
      </c>
      <c r="Q111" s="1"/>
      <c r="R111" s="3"/>
      <c r="S111" s="3"/>
      <c r="T111" s="256">
        <f>IF(ISBLANK(R111),0,X111)</f>
      </c>
      <c r="U111" s="256">
        <f>IF(ISBLANK(S111),0,X111)</f>
      </c>
      <c r="V111" s="284">
        <f>IFERROR(Q111/K111,0)</f>
      </c>
      <c r="W111" s="123">
        <f>IFERROR(L111*V111,0)</f>
      </c>
      <c r="X111" s="256">
        <f>IFERROR(Q111+W111,0)</f>
      </c>
      <c r="Y111" s="256">
        <f>IFERROR(M111*V111,0)</f>
      </c>
      <c r="Z111" s="256">
        <f>Y111-(Y111*$B$1)</f>
      </c>
      <c r="AA111" s="285">
        <f>IFERROR(Z111/X111,0)</f>
      </c>
      <c r="AB111" s="286">
        <f>IFERROR(IF(ISBLANK(N111),Y111/O111,Y111/N111),0)</f>
      </c>
      <c r="AC111" s="286">
        <f>IFERROR(-1*(AB111*B$1),0)</f>
      </c>
      <c r="AD111" s="286">
        <f>IFERROR(SUM(AB111:AC111),0)</f>
      </c>
      <c r="AE111" s="286">
        <f>IF(ISBLANK(N111),AD111,AD111*5)</f>
      </c>
      <c r="AF111" s="287">
        <f>SUM(AG111:AZ111)</f>
      </c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18"/>
      <c r="AR111" s="18"/>
      <c r="AS111" s="18"/>
      <c r="AT111" s="1"/>
      <c r="AU111" s="18"/>
      <c r="AV111" s="18"/>
      <c r="AW111" s="18"/>
      <c r="AX111" s="18"/>
      <c r="AY111" s="18"/>
      <c r="AZ111" s="18"/>
      <c r="BA111" s="18"/>
      <c r="BB111" s="18"/>
      <c r="BC111" s="16"/>
      <c r="BD111" s="16"/>
      <c r="BE111" s="16"/>
      <c r="BF111" s="286">
        <f>Z111-AF111</f>
      </c>
      <c r="BG111" s="321">
        <f>IFERROR(AF111/Y111,0)</f>
      </c>
      <c r="BH111" s="214">
        <f>IFERROR(AF111/X111,0)</f>
      </c>
      <c r="BI111" s="284">
        <f>IFERROR((X111/SUM(X$26:X$40)),0)</f>
      </c>
      <c r="BJ111" s="284">
        <f>IFERROR((BF111/SUM(BF$3:BF308)),0)</f>
      </c>
      <c r="BK111" s="288">
        <f>BF111/'R&amp;H Portfolio'!Q$10</f>
      </c>
      <c r="BL111" s="286">
        <f>BI111*P111</f>
      </c>
      <c r="BM111" s="3"/>
      <c r="BN111" s="3"/>
      <c r="BO111" s="17"/>
    </row>
    <row x14ac:dyDescent="0.25" r="112" customHeight="1" ht="15">
      <c r="A112" s="17"/>
      <c r="B112" s="14"/>
      <c r="C112" s="3"/>
      <c r="D112" s="3"/>
      <c r="E112" s="3"/>
      <c r="F112" s="3"/>
      <c r="G112" s="16"/>
      <c r="H112" s="18"/>
      <c r="I112" s="18"/>
      <c r="J112" s="279">
        <f>H112+I112</f>
      </c>
      <c r="K112" s="1"/>
      <c r="L112" s="123">
        <f>K112*I112</f>
      </c>
      <c r="M112" s="123">
        <f>K112*J112</f>
      </c>
      <c r="N112" s="16"/>
      <c r="O112" s="16"/>
      <c r="P112" s="282">
        <f>IF(ISBLANK(N112),O112/4.3,N112/20)</f>
      </c>
      <c r="Q112" s="1"/>
      <c r="R112" s="3"/>
      <c r="S112" s="3"/>
      <c r="T112" s="256">
        <f>IF(ISBLANK(R112),0,X112)</f>
      </c>
      <c r="U112" s="256">
        <f>IF(ISBLANK(S112),0,X112)</f>
      </c>
      <c r="V112" s="284">
        <f>IFERROR(Q112/K112,0)</f>
      </c>
      <c r="W112" s="123">
        <f>IFERROR(L112*V112,0)</f>
      </c>
      <c r="X112" s="256">
        <f>IFERROR(Q112+W112,0)</f>
      </c>
      <c r="Y112" s="256">
        <f>IFERROR(M112*V112,0)</f>
      </c>
      <c r="Z112" s="256">
        <f>Y112-(Y112*$B$1)</f>
      </c>
      <c r="AA112" s="285">
        <f>IFERROR(Z112/X112,0)</f>
      </c>
      <c r="AB112" s="286">
        <f>IFERROR(IF(ISBLANK(N112),Y112/O112,Y112/N112),0)</f>
      </c>
      <c r="AC112" s="286">
        <f>IFERROR(-1*(AB112*B$1),0)</f>
      </c>
      <c r="AD112" s="286">
        <f>IFERROR(SUM(AB112:AC112),0)</f>
      </c>
      <c r="AE112" s="286">
        <f>IF(ISBLANK(N112),AD112,AD112*5)</f>
      </c>
      <c r="AF112" s="287">
        <f>SUM(AG112:AZ112)</f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18"/>
      <c r="AR112" s="18"/>
      <c r="AS112" s="18"/>
      <c r="AT112" s="1"/>
      <c r="AU112" s="18"/>
      <c r="AV112" s="18"/>
      <c r="AW112" s="18"/>
      <c r="AX112" s="18"/>
      <c r="AY112" s="18"/>
      <c r="AZ112" s="18"/>
      <c r="BA112" s="18"/>
      <c r="BB112" s="18"/>
      <c r="BC112" s="16"/>
      <c r="BD112" s="16"/>
      <c r="BE112" s="16"/>
      <c r="BF112" s="286">
        <f>Z112-AF112</f>
      </c>
      <c r="BG112" s="321">
        <f>IFERROR(AF112/Y112,0)</f>
      </c>
      <c r="BH112" s="214">
        <f>IFERROR(AF112/X112,0)</f>
      </c>
      <c r="BI112" s="284">
        <f>IFERROR((X112/SUM(X$26:X$40)),0)</f>
      </c>
      <c r="BJ112" s="284">
        <f>IFERROR((BF112/SUM(BF$3:BF309)),0)</f>
      </c>
      <c r="BK112" s="288">
        <f>BF112/'R&amp;H Portfolio'!Q$10</f>
      </c>
      <c r="BL112" s="286">
        <f>BI112*P112</f>
      </c>
      <c r="BM112" s="3"/>
      <c r="BN112" s="3"/>
      <c r="BO112" s="17"/>
    </row>
    <row x14ac:dyDescent="0.25" r="113" customHeight="1" ht="15">
      <c r="A113" s="17"/>
      <c r="B113" s="14"/>
      <c r="C113" s="3"/>
      <c r="D113" s="3"/>
      <c r="E113" s="3"/>
      <c r="F113" s="3"/>
      <c r="G113" s="16"/>
      <c r="H113" s="18"/>
      <c r="I113" s="18"/>
      <c r="J113" s="279">
        <f>H113+I113</f>
      </c>
      <c r="K113" s="1"/>
      <c r="L113" s="123">
        <f>K113*I113</f>
      </c>
      <c r="M113" s="123">
        <f>K113*J113</f>
      </c>
      <c r="N113" s="16"/>
      <c r="O113" s="16"/>
      <c r="P113" s="282">
        <f>IF(ISBLANK(N113),O113/4.3,N113/20)</f>
      </c>
      <c r="Q113" s="1"/>
      <c r="R113" s="3"/>
      <c r="S113" s="3"/>
      <c r="T113" s="256">
        <f>IF(ISBLANK(R113),0,X113)</f>
      </c>
      <c r="U113" s="256">
        <f>IF(ISBLANK(S113),0,X113)</f>
      </c>
      <c r="V113" s="284">
        <f>IFERROR(Q113/K113,0)</f>
      </c>
      <c r="W113" s="123">
        <f>IFERROR(L113*V113,0)</f>
      </c>
      <c r="X113" s="256">
        <f>IFERROR(Q113+W113,0)</f>
      </c>
      <c r="Y113" s="256">
        <f>IFERROR(M113*V113,0)</f>
      </c>
      <c r="Z113" s="256">
        <f>Y113-(Y113*$B$1)</f>
      </c>
      <c r="AA113" s="285">
        <f>IFERROR(Z113/X113,0)</f>
      </c>
      <c r="AB113" s="286">
        <f>IFERROR(IF(ISBLANK(N113),Y113/O113,Y113/N113),0)</f>
      </c>
      <c r="AC113" s="286">
        <f>IFERROR(-1*(AB113*B$1),0)</f>
      </c>
      <c r="AD113" s="286">
        <f>IFERROR(SUM(AB113:AC113),0)</f>
      </c>
      <c r="AE113" s="286">
        <f>IF(ISBLANK(N113),AD113,AD113*5)</f>
      </c>
      <c r="AF113" s="287">
        <f>SUM(AG113:AZ113)</f>
      </c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18"/>
      <c r="AR113" s="18"/>
      <c r="AS113" s="18"/>
      <c r="AT113" s="1"/>
      <c r="AU113" s="18"/>
      <c r="AV113" s="18"/>
      <c r="AW113" s="18"/>
      <c r="AX113" s="18"/>
      <c r="AY113" s="18"/>
      <c r="AZ113" s="18"/>
      <c r="BA113" s="18"/>
      <c r="BB113" s="18"/>
      <c r="BC113" s="16"/>
      <c r="BD113" s="16"/>
      <c r="BE113" s="16"/>
      <c r="BF113" s="286">
        <f>Z113-AF113</f>
      </c>
      <c r="BG113" s="321">
        <f>IFERROR(AF113/Y113,0)</f>
      </c>
      <c r="BH113" s="214">
        <f>IFERROR(AF113/X113,0)</f>
      </c>
      <c r="BI113" s="284">
        <f>IFERROR((X113/SUM(X$26:X$40)),0)</f>
      </c>
      <c r="BJ113" s="284">
        <f>IFERROR((BF113/SUM(BF$3:BF310)),0)</f>
      </c>
      <c r="BK113" s="288">
        <f>BF113/'R&amp;H Portfolio'!Q$10</f>
      </c>
      <c r="BL113" s="286">
        <f>BI113*P113</f>
      </c>
      <c r="BM113" s="3"/>
      <c r="BN113" s="3"/>
      <c r="BO113" s="17"/>
    </row>
    <row x14ac:dyDescent="0.25" r="114" customHeight="1" ht="15">
      <c r="A114" s="17"/>
      <c r="B114" s="14"/>
      <c r="C114" s="3"/>
      <c r="D114" s="3"/>
      <c r="E114" s="3"/>
      <c r="F114" s="3"/>
      <c r="G114" s="16"/>
      <c r="H114" s="18"/>
      <c r="I114" s="18"/>
      <c r="J114" s="279">
        <f>H114+I114</f>
      </c>
      <c r="K114" s="1"/>
      <c r="L114" s="123">
        <f>K114*I114</f>
      </c>
      <c r="M114" s="123">
        <f>K114*J114</f>
      </c>
      <c r="N114" s="16"/>
      <c r="O114" s="16"/>
      <c r="P114" s="282">
        <f>IF(ISBLANK(N114),O114/4.3,N114/20)</f>
      </c>
      <c r="Q114" s="1"/>
      <c r="R114" s="3"/>
      <c r="S114" s="3"/>
      <c r="T114" s="256">
        <f>IF(ISBLANK(R114),0,X114)</f>
      </c>
      <c r="U114" s="256">
        <f>IF(ISBLANK(S114),0,X114)</f>
      </c>
      <c r="V114" s="284">
        <f>IFERROR(Q114/K114,0)</f>
      </c>
      <c r="W114" s="123">
        <f>IFERROR(L114*V114,0)</f>
      </c>
      <c r="X114" s="256">
        <f>IFERROR(Q114+W114,0)</f>
      </c>
      <c r="Y114" s="256">
        <f>IFERROR(M114*V114,0)</f>
      </c>
      <c r="Z114" s="256">
        <f>Y114-(Y114*$B$1)</f>
      </c>
      <c r="AA114" s="285">
        <f>IFERROR(Z114/X114,0)</f>
      </c>
      <c r="AB114" s="286">
        <f>IFERROR(IF(ISBLANK(N114),Y114/O114,Y114/N114),0)</f>
      </c>
      <c r="AC114" s="286">
        <f>IFERROR(-1*(AB114*B$1),0)</f>
      </c>
      <c r="AD114" s="286">
        <f>IFERROR(SUM(AB114:AC114),0)</f>
      </c>
      <c r="AE114" s="286">
        <f>IF(ISBLANK(N114),AD114,AD114*5)</f>
      </c>
      <c r="AF114" s="287">
        <f>SUM(AG114:AZ114)</f>
      </c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18"/>
      <c r="AR114" s="18"/>
      <c r="AS114" s="18"/>
      <c r="AT114" s="1"/>
      <c r="AU114" s="18"/>
      <c r="AV114" s="18"/>
      <c r="AW114" s="18"/>
      <c r="AX114" s="18"/>
      <c r="AY114" s="18"/>
      <c r="AZ114" s="18"/>
      <c r="BA114" s="18"/>
      <c r="BB114" s="18"/>
      <c r="BC114" s="16"/>
      <c r="BD114" s="16"/>
      <c r="BE114" s="16"/>
      <c r="BF114" s="286">
        <f>Z114-AF114</f>
      </c>
      <c r="BG114" s="321">
        <f>IFERROR(AF114/Y114,0)</f>
      </c>
      <c r="BH114" s="214">
        <f>IFERROR(AF114/X114,0)</f>
      </c>
      <c r="BI114" s="284">
        <f>IFERROR((X114/SUM(X$26:X$40)),0)</f>
      </c>
      <c r="BJ114" s="284">
        <f>IFERROR((BF114/SUM(BF$3:BF311)),0)</f>
      </c>
      <c r="BK114" s="288">
        <f>BF114/'R&amp;H Portfolio'!Q$10</f>
      </c>
      <c r="BL114" s="286">
        <f>BI114*P114</f>
      </c>
      <c r="BM114" s="3"/>
      <c r="BN114" s="3"/>
      <c r="BO114" s="17"/>
    </row>
    <row x14ac:dyDescent="0.25" r="115" customHeight="1" ht="15">
      <c r="A115" s="17"/>
      <c r="B115" s="14"/>
      <c r="C115" s="3"/>
      <c r="D115" s="3"/>
      <c r="E115" s="3"/>
      <c r="F115" s="3"/>
      <c r="G115" s="16"/>
      <c r="H115" s="18"/>
      <c r="I115" s="18"/>
      <c r="J115" s="279">
        <f>H115+I115</f>
      </c>
      <c r="K115" s="1"/>
      <c r="L115" s="123">
        <f>K115*I115</f>
      </c>
      <c r="M115" s="123">
        <f>K115*J115</f>
      </c>
      <c r="N115" s="16"/>
      <c r="O115" s="16"/>
      <c r="P115" s="282">
        <f>IF(ISBLANK(N115),O115/4.3,N115/20)</f>
      </c>
      <c r="Q115" s="1"/>
      <c r="R115" s="3"/>
      <c r="S115" s="3"/>
      <c r="T115" s="256">
        <f>IF(ISBLANK(R115),0,X115)</f>
      </c>
      <c r="U115" s="256">
        <f>IF(ISBLANK(S115),0,X115)</f>
      </c>
      <c r="V115" s="284">
        <f>IFERROR(Q115/K115,0)</f>
      </c>
      <c r="W115" s="123">
        <f>IFERROR(L115*V115,0)</f>
      </c>
      <c r="X115" s="256">
        <f>IFERROR(Q115+W115,0)</f>
      </c>
      <c r="Y115" s="256">
        <f>IFERROR(M115*V115,0)</f>
      </c>
      <c r="Z115" s="256">
        <f>Y115-(Y115*$B$1)</f>
      </c>
      <c r="AA115" s="285">
        <f>IFERROR(Z115/X115,0)</f>
      </c>
      <c r="AB115" s="286">
        <f>IFERROR(IF(ISBLANK(N115),Y115/O115,Y115/N115),0)</f>
      </c>
      <c r="AC115" s="286">
        <f>IFERROR(-1*(AB115*B$1),0)</f>
      </c>
      <c r="AD115" s="286">
        <f>IFERROR(SUM(AB115:AC115),0)</f>
      </c>
      <c r="AE115" s="286">
        <f>IF(ISBLANK(N115),AD115,AD115*5)</f>
      </c>
      <c r="AF115" s="287">
        <f>SUM(AG115:AZ115)</f>
      </c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18"/>
      <c r="AR115" s="18"/>
      <c r="AS115" s="18"/>
      <c r="AT115" s="1"/>
      <c r="AU115" s="18"/>
      <c r="AV115" s="18"/>
      <c r="AW115" s="18"/>
      <c r="AX115" s="18"/>
      <c r="AY115" s="18"/>
      <c r="AZ115" s="18"/>
      <c r="BA115" s="18"/>
      <c r="BB115" s="18"/>
      <c r="BC115" s="16"/>
      <c r="BD115" s="16"/>
      <c r="BE115" s="16"/>
      <c r="BF115" s="286">
        <f>Z115-AF115</f>
      </c>
      <c r="BG115" s="321">
        <f>IFERROR(AF115/Y115,0)</f>
      </c>
      <c r="BH115" s="214">
        <f>IFERROR(AF115/X115,0)</f>
      </c>
      <c r="BI115" s="284">
        <f>IFERROR((X115/SUM(X$26:X$40)),0)</f>
      </c>
      <c r="BJ115" s="284">
        <f>IFERROR((BF115/SUM(BF$3:BF312)),0)</f>
      </c>
      <c r="BK115" s="288">
        <f>BF115/'R&amp;H Portfolio'!Q$10</f>
      </c>
      <c r="BL115" s="286">
        <f>BI115*P115</f>
      </c>
      <c r="BM115" s="3"/>
      <c r="BN115" s="3"/>
      <c r="BO115" s="17"/>
    </row>
    <row x14ac:dyDescent="0.25" r="116" customHeight="1" ht="15">
      <c r="A116" s="17"/>
      <c r="B116" s="14"/>
      <c r="C116" s="3"/>
      <c r="D116" s="3"/>
      <c r="E116" s="3"/>
      <c r="F116" s="3"/>
      <c r="G116" s="16"/>
      <c r="H116" s="18"/>
      <c r="I116" s="18"/>
      <c r="J116" s="279">
        <f>H116+I116</f>
      </c>
      <c r="K116" s="1"/>
      <c r="L116" s="123">
        <f>K116*I116</f>
      </c>
      <c r="M116" s="123">
        <f>K116*J116</f>
      </c>
      <c r="N116" s="16"/>
      <c r="O116" s="16"/>
      <c r="P116" s="282">
        <f>IF(ISBLANK(N116),O116/4.3,N116/20)</f>
      </c>
      <c r="Q116" s="1"/>
      <c r="R116" s="3"/>
      <c r="S116" s="3"/>
      <c r="T116" s="256">
        <f>IF(ISBLANK(R116),0,X116)</f>
      </c>
      <c r="U116" s="256">
        <f>IF(ISBLANK(S116),0,X116)</f>
      </c>
      <c r="V116" s="284">
        <f>IFERROR(Q116/K116,0)</f>
      </c>
      <c r="W116" s="123">
        <f>IFERROR(L116*V116,0)</f>
      </c>
      <c r="X116" s="256">
        <f>IFERROR(Q116+W116,0)</f>
      </c>
      <c r="Y116" s="256">
        <f>IFERROR(M116*V116,0)</f>
      </c>
      <c r="Z116" s="256">
        <f>Y116-(Y116*$B$1)</f>
      </c>
      <c r="AA116" s="285">
        <f>IFERROR(Z116/X116,0)</f>
      </c>
      <c r="AB116" s="286">
        <f>IFERROR(IF(ISBLANK(N116),Y116/O116,Y116/N116),0)</f>
      </c>
      <c r="AC116" s="286">
        <f>IFERROR(-1*(AB116*B$1),0)</f>
      </c>
      <c r="AD116" s="286">
        <f>IFERROR(SUM(AB116:AC116),0)</f>
      </c>
      <c r="AE116" s="286">
        <f>IF(ISBLANK(N116),AD116,AD116*5)</f>
      </c>
      <c r="AF116" s="287">
        <f>SUM(AG116:AZ116)</f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18"/>
      <c r="AR116" s="18"/>
      <c r="AS116" s="18"/>
      <c r="AT116" s="1"/>
      <c r="AU116" s="18"/>
      <c r="AV116" s="18"/>
      <c r="AW116" s="18"/>
      <c r="AX116" s="18"/>
      <c r="AY116" s="18"/>
      <c r="AZ116" s="18"/>
      <c r="BA116" s="18"/>
      <c r="BB116" s="18"/>
      <c r="BC116" s="16"/>
      <c r="BD116" s="16"/>
      <c r="BE116" s="16"/>
      <c r="BF116" s="286">
        <f>Z116-AF116</f>
      </c>
      <c r="BG116" s="321">
        <f>IFERROR(AF116/Y116,0)</f>
      </c>
      <c r="BH116" s="214">
        <f>IFERROR(AF116/X116,0)</f>
      </c>
      <c r="BI116" s="284">
        <f>IFERROR((X116/SUM(X$26:X$40)),0)</f>
      </c>
      <c r="BJ116" s="284">
        <f>IFERROR((BF116/SUM(BF$3:BF313)),0)</f>
      </c>
      <c r="BK116" s="288">
        <f>BF116/'R&amp;H Portfolio'!Q$10</f>
      </c>
      <c r="BL116" s="286">
        <f>BI116*P116</f>
      </c>
      <c r="BM116" s="3"/>
      <c r="BN116" s="3"/>
      <c r="BO116" s="17"/>
    </row>
    <row x14ac:dyDescent="0.25" r="117" customHeight="1" ht="15">
      <c r="A117" s="17"/>
      <c r="B117" s="14"/>
      <c r="C117" s="3"/>
      <c r="D117" s="3"/>
      <c r="E117" s="3"/>
      <c r="F117" s="3"/>
      <c r="G117" s="16"/>
      <c r="H117" s="18"/>
      <c r="I117" s="18"/>
      <c r="J117" s="279">
        <f>H117+I117</f>
      </c>
      <c r="K117" s="1"/>
      <c r="L117" s="123">
        <f>K117*I117</f>
      </c>
      <c r="M117" s="123">
        <f>K117*J117</f>
      </c>
      <c r="N117" s="16"/>
      <c r="O117" s="16"/>
      <c r="P117" s="282">
        <f>IF(ISBLANK(N117),O117/4.3,N117/20)</f>
      </c>
      <c r="Q117" s="1"/>
      <c r="R117" s="3"/>
      <c r="S117" s="3"/>
      <c r="T117" s="256">
        <f>IF(ISBLANK(R117),0,X117)</f>
      </c>
      <c r="U117" s="256">
        <f>IF(ISBLANK(S117),0,X117)</f>
      </c>
      <c r="V117" s="284">
        <f>IFERROR(Q117/K117,0)</f>
      </c>
      <c r="W117" s="123">
        <f>IFERROR(L117*V117,0)</f>
      </c>
      <c r="X117" s="256">
        <f>IFERROR(Q117+W117,0)</f>
      </c>
      <c r="Y117" s="256">
        <f>IFERROR(M117*V117,0)</f>
      </c>
      <c r="Z117" s="256">
        <f>Y117-(Y117*$B$1)</f>
      </c>
      <c r="AA117" s="285">
        <f>IFERROR(Z117/X117,0)</f>
      </c>
      <c r="AB117" s="286">
        <f>IFERROR(IF(ISBLANK(N117),Y117/O117,Y117/N117),0)</f>
      </c>
      <c r="AC117" s="286">
        <f>IFERROR(-1*(AB117*B$1),0)</f>
      </c>
      <c r="AD117" s="286">
        <f>IFERROR(SUM(AB117:AC117),0)</f>
      </c>
      <c r="AE117" s="286">
        <f>IF(ISBLANK(N117),AD117,AD117*5)</f>
      </c>
      <c r="AF117" s="287">
        <f>SUM(AG117:AZ117)</f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18"/>
      <c r="AR117" s="18"/>
      <c r="AS117" s="18"/>
      <c r="AT117" s="1"/>
      <c r="AU117" s="18"/>
      <c r="AV117" s="18"/>
      <c r="AW117" s="18"/>
      <c r="AX117" s="18"/>
      <c r="AY117" s="18"/>
      <c r="AZ117" s="18"/>
      <c r="BA117" s="18"/>
      <c r="BB117" s="18"/>
      <c r="BC117" s="16"/>
      <c r="BD117" s="16"/>
      <c r="BE117" s="16"/>
      <c r="BF117" s="286">
        <f>Z117-AF117</f>
      </c>
      <c r="BG117" s="321">
        <f>IFERROR(AF117/Y117,0)</f>
      </c>
      <c r="BH117" s="214">
        <f>IFERROR(AF117/X117,0)</f>
      </c>
      <c r="BI117" s="284">
        <f>IFERROR((X117/SUM(X$26:X$40)),0)</f>
      </c>
      <c r="BJ117" s="284">
        <f>IFERROR((BF117/SUM(BF$3:BF314)),0)</f>
      </c>
      <c r="BK117" s="288">
        <f>BF117/'R&amp;H Portfolio'!Q$10</f>
      </c>
      <c r="BL117" s="286">
        <f>BI117*P117</f>
      </c>
      <c r="BM117" s="3"/>
      <c r="BN117" s="3"/>
      <c r="BO117" s="17"/>
    </row>
    <row x14ac:dyDescent="0.25" r="118" customHeight="1" ht="15">
      <c r="A118" s="17"/>
      <c r="B118" s="14"/>
      <c r="C118" s="3"/>
      <c r="D118" s="3"/>
      <c r="E118" s="3"/>
      <c r="F118" s="3"/>
      <c r="G118" s="16"/>
      <c r="H118" s="18"/>
      <c r="I118" s="18"/>
      <c r="J118" s="279">
        <f>H118+I118</f>
      </c>
      <c r="K118" s="1"/>
      <c r="L118" s="123">
        <f>K118*I118</f>
      </c>
      <c r="M118" s="123">
        <f>K118*J118</f>
      </c>
      <c r="N118" s="16"/>
      <c r="O118" s="16"/>
      <c r="P118" s="282">
        <f>IF(ISBLANK(N118),O118/4.3,N118/20)</f>
      </c>
      <c r="Q118" s="1"/>
      <c r="R118" s="3"/>
      <c r="S118" s="3"/>
      <c r="T118" s="256">
        <f>IF(ISBLANK(R118),0,X118)</f>
      </c>
      <c r="U118" s="256">
        <f>IF(ISBLANK(S118),0,X118)</f>
      </c>
      <c r="V118" s="284">
        <f>IFERROR(Q118/K118,0)</f>
      </c>
      <c r="W118" s="123">
        <f>IFERROR(L118*V118,0)</f>
      </c>
      <c r="X118" s="256">
        <f>IFERROR(Q118+W118,0)</f>
      </c>
      <c r="Y118" s="256">
        <f>IFERROR(M118*V118,0)</f>
      </c>
      <c r="Z118" s="256">
        <f>Y118-(Y118*$B$1)</f>
      </c>
      <c r="AA118" s="285">
        <f>IFERROR(Z118/X118,0)</f>
      </c>
      <c r="AB118" s="286">
        <f>IFERROR(IF(ISBLANK(N118),Y118/O118,Y118/N118),0)</f>
      </c>
      <c r="AC118" s="286">
        <f>IFERROR(-1*(AB118*B$1),0)</f>
      </c>
      <c r="AD118" s="286">
        <f>IFERROR(SUM(AB118:AC118),0)</f>
      </c>
      <c r="AE118" s="286">
        <f>IF(ISBLANK(N118),AD118,AD118*5)</f>
      </c>
      <c r="AF118" s="287">
        <f>SUM(AG118:AZ118)</f>
      </c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18"/>
      <c r="AR118" s="18"/>
      <c r="AS118" s="18"/>
      <c r="AT118" s="1"/>
      <c r="AU118" s="18"/>
      <c r="AV118" s="18"/>
      <c r="AW118" s="18"/>
      <c r="AX118" s="18"/>
      <c r="AY118" s="18"/>
      <c r="AZ118" s="18"/>
      <c r="BA118" s="18"/>
      <c r="BB118" s="18"/>
      <c r="BC118" s="16"/>
      <c r="BD118" s="16"/>
      <c r="BE118" s="16"/>
      <c r="BF118" s="286">
        <f>Z118-AF118</f>
      </c>
      <c r="BG118" s="321">
        <f>IFERROR(AF118/Y118,0)</f>
      </c>
      <c r="BH118" s="214">
        <f>IFERROR(AF118/X118,0)</f>
      </c>
      <c r="BI118" s="284">
        <f>IFERROR((X118/SUM(X$26:X$40)),0)</f>
      </c>
      <c r="BJ118" s="284">
        <f>IFERROR((BF118/SUM(BF$3:BF315)),0)</f>
      </c>
      <c r="BK118" s="288">
        <f>BF118/'R&amp;H Portfolio'!Q$10</f>
      </c>
      <c r="BL118" s="286">
        <f>BI118*P118</f>
      </c>
      <c r="BM118" s="3"/>
      <c r="BN118" s="3"/>
      <c r="BO118" s="17"/>
    </row>
    <row x14ac:dyDescent="0.25" r="119" customHeight="1" ht="15">
      <c r="A119" s="17"/>
      <c r="B119" s="14"/>
      <c r="C119" s="3"/>
      <c r="D119" s="3"/>
      <c r="E119" s="3"/>
      <c r="F119" s="3"/>
      <c r="G119" s="16"/>
      <c r="H119" s="18"/>
      <c r="I119" s="18"/>
      <c r="J119" s="279">
        <f>H119+I119</f>
      </c>
      <c r="K119" s="1"/>
      <c r="L119" s="123">
        <f>K119*I119</f>
      </c>
      <c r="M119" s="123">
        <f>K119*J119</f>
      </c>
      <c r="N119" s="16"/>
      <c r="O119" s="16"/>
      <c r="P119" s="282">
        <f>IF(ISBLANK(N119),O119/4.3,N119/20)</f>
      </c>
      <c r="Q119" s="1"/>
      <c r="R119" s="3"/>
      <c r="S119" s="3"/>
      <c r="T119" s="256">
        <f>IF(ISBLANK(R119),0,X119)</f>
      </c>
      <c r="U119" s="256">
        <f>IF(ISBLANK(S119),0,X119)</f>
      </c>
      <c r="V119" s="284">
        <f>IFERROR(Q119/K119,0)</f>
      </c>
      <c r="W119" s="123">
        <f>IFERROR(L119*V119,0)</f>
      </c>
      <c r="X119" s="256">
        <f>IFERROR(Q119+W119,0)</f>
      </c>
      <c r="Y119" s="256">
        <f>IFERROR(M119*V119,0)</f>
      </c>
      <c r="Z119" s="256">
        <f>Y119-(Y119*$B$1)</f>
      </c>
      <c r="AA119" s="285">
        <f>IFERROR(Z119/X119,0)</f>
      </c>
      <c r="AB119" s="286">
        <f>IFERROR(IF(ISBLANK(N119),Y119/O119,Y119/N119),0)</f>
      </c>
      <c r="AC119" s="286">
        <f>IFERROR(-1*(AB119*B$1),0)</f>
      </c>
      <c r="AD119" s="286">
        <f>IFERROR(SUM(AB119:AC119),0)</f>
      </c>
      <c r="AE119" s="286">
        <f>IF(ISBLANK(N119),AD119,AD119*5)</f>
      </c>
      <c r="AF119" s="287">
        <f>SUM(AG119:AZ119)</f>
      </c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18"/>
      <c r="AR119" s="18"/>
      <c r="AS119" s="18"/>
      <c r="AT119" s="1"/>
      <c r="AU119" s="18"/>
      <c r="AV119" s="18"/>
      <c r="AW119" s="18"/>
      <c r="AX119" s="18"/>
      <c r="AY119" s="18"/>
      <c r="AZ119" s="18"/>
      <c r="BA119" s="18"/>
      <c r="BB119" s="18"/>
      <c r="BC119" s="16"/>
      <c r="BD119" s="16"/>
      <c r="BE119" s="16"/>
      <c r="BF119" s="286">
        <f>Z119-AF119</f>
      </c>
      <c r="BG119" s="321">
        <f>IFERROR(AF119/Y119,0)</f>
      </c>
      <c r="BH119" s="214">
        <f>IFERROR(AF119/X119,0)</f>
      </c>
      <c r="BI119" s="284">
        <f>IFERROR((X119/SUM(X$26:X$40)),0)</f>
      </c>
      <c r="BJ119" s="284">
        <f>IFERROR((BF119/SUM(BF$3:BF316)),0)</f>
      </c>
      <c r="BK119" s="288">
        <f>BF119/'R&amp;H Portfolio'!Q$10</f>
      </c>
      <c r="BL119" s="286">
        <f>BI119*P119</f>
      </c>
      <c r="BM119" s="3"/>
      <c r="BN119" s="3"/>
      <c r="BO119" s="17"/>
    </row>
    <row x14ac:dyDescent="0.25" r="120" customHeight="1" ht="15">
      <c r="A120" s="17"/>
      <c r="B120" s="14"/>
      <c r="C120" s="3"/>
      <c r="D120" s="3"/>
      <c r="E120" s="3"/>
      <c r="F120" s="3"/>
      <c r="G120" s="16"/>
      <c r="H120" s="18"/>
      <c r="I120" s="18"/>
      <c r="J120" s="279">
        <f>H120+I120</f>
      </c>
      <c r="K120" s="1"/>
      <c r="L120" s="123">
        <f>K120*I120</f>
      </c>
      <c r="M120" s="123">
        <f>K120*J120</f>
      </c>
      <c r="N120" s="16"/>
      <c r="O120" s="16"/>
      <c r="P120" s="282">
        <f>IF(ISBLANK(N120),O120/4.3,N120/20)</f>
      </c>
      <c r="Q120" s="1"/>
      <c r="R120" s="3"/>
      <c r="S120" s="3"/>
      <c r="T120" s="256">
        <f>IF(ISBLANK(R120),0,X120)</f>
      </c>
      <c r="U120" s="256">
        <f>IF(ISBLANK(S120),0,X120)</f>
      </c>
      <c r="V120" s="284">
        <f>IFERROR(Q120/K120,0)</f>
      </c>
      <c r="W120" s="123">
        <f>IFERROR(L120*V120,0)</f>
      </c>
      <c r="X120" s="256">
        <f>IFERROR(Q120+W120,0)</f>
      </c>
      <c r="Y120" s="256">
        <f>IFERROR(M120*V120,0)</f>
      </c>
      <c r="Z120" s="256">
        <f>Y120-(Y120*$B$1)</f>
      </c>
      <c r="AA120" s="285">
        <f>IFERROR(Z120/X120,0)</f>
      </c>
      <c r="AB120" s="286">
        <f>IFERROR(IF(ISBLANK(N120),Y120/O120,Y120/N120),0)</f>
      </c>
      <c r="AC120" s="286">
        <f>IFERROR(-1*(AB120*B$1),0)</f>
      </c>
      <c r="AD120" s="286">
        <f>IFERROR(SUM(AB120:AC120),0)</f>
      </c>
      <c r="AE120" s="286">
        <f>IF(ISBLANK(N120),AD120,AD120*5)</f>
      </c>
      <c r="AF120" s="287">
        <f>SUM(AG120:AZ120)</f>
      </c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18"/>
      <c r="AR120" s="18"/>
      <c r="AS120" s="18"/>
      <c r="AT120" s="1"/>
      <c r="AU120" s="18"/>
      <c r="AV120" s="18"/>
      <c r="AW120" s="18"/>
      <c r="AX120" s="18"/>
      <c r="AY120" s="18"/>
      <c r="AZ120" s="18"/>
      <c r="BA120" s="18"/>
      <c r="BB120" s="18"/>
      <c r="BC120" s="16"/>
      <c r="BD120" s="16"/>
      <c r="BE120" s="16"/>
      <c r="BF120" s="286">
        <f>Z120-AF120</f>
      </c>
      <c r="BG120" s="321">
        <f>IFERROR(AF120/Y120,0)</f>
      </c>
      <c r="BH120" s="214">
        <f>IFERROR(AF120/X120,0)</f>
      </c>
      <c r="BI120" s="284">
        <f>IFERROR((X120/SUM(X$26:X$40)),0)</f>
      </c>
      <c r="BJ120" s="284">
        <f>IFERROR((BF120/SUM(BF$3:BF317)),0)</f>
      </c>
      <c r="BK120" s="288">
        <f>BF120/'R&amp;H Portfolio'!Q$10</f>
      </c>
      <c r="BL120" s="286">
        <f>BI120*P120</f>
      </c>
      <c r="BM120" s="3"/>
      <c r="BN120" s="3"/>
      <c r="BO120" s="17"/>
    </row>
    <row x14ac:dyDescent="0.25" r="121" customHeight="1" ht="15">
      <c r="A121" s="17"/>
      <c r="B121" s="14"/>
      <c r="C121" s="3"/>
      <c r="D121" s="3"/>
      <c r="E121" s="3"/>
      <c r="F121" s="3"/>
      <c r="G121" s="16"/>
      <c r="H121" s="18"/>
      <c r="I121" s="18"/>
      <c r="J121" s="279">
        <f>H121+I121</f>
      </c>
      <c r="K121" s="1"/>
      <c r="L121" s="123">
        <f>K121*I121</f>
      </c>
      <c r="M121" s="123">
        <f>K121*J121</f>
      </c>
      <c r="N121" s="16"/>
      <c r="O121" s="16"/>
      <c r="P121" s="282">
        <f>IF(ISBLANK(N121),O121/4.3,N121/20)</f>
      </c>
      <c r="Q121" s="1"/>
      <c r="R121" s="3"/>
      <c r="S121" s="3"/>
      <c r="T121" s="256">
        <f>IF(ISBLANK(R121),0,X121)</f>
      </c>
      <c r="U121" s="256">
        <f>IF(ISBLANK(S121),0,X121)</f>
      </c>
      <c r="V121" s="284">
        <f>IFERROR(Q121/K121,0)</f>
      </c>
      <c r="W121" s="123">
        <f>IFERROR(L121*V121,0)</f>
      </c>
      <c r="X121" s="256">
        <f>IFERROR(Q121+W121,0)</f>
      </c>
      <c r="Y121" s="256">
        <f>IFERROR(M121*V121,0)</f>
      </c>
      <c r="Z121" s="256">
        <f>Y121-(Y121*$B$1)</f>
      </c>
      <c r="AA121" s="285">
        <f>IFERROR(Z121/X121,0)</f>
      </c>
      <c r="AB121" s="286">
        <f>IFERROR(IF(ISBLANK(N121),Y121/O121,Y121/N121),0)</f>
      </c>
      <c r="AC121" s="286">
        <f>IFERROR(-1*(AB121*B$1),0)</f>
      </c>
      <c r="AD121" s="286">
        <f>IFERROR(SUM(AB121:AC121),0)</f>
      </c>
      <c r="AE121" s="286">
        <f>IF(ISBLANK(N121),AD121,AD121*5)</f>
      </c>
      <c r="AF121" s="287">
        <f>SUM(AG121:AZ121)</f>
      </c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18"/>
      <c r="AR121" s="18"/>
      <c r="AS121" s="18"/>
      <c r="AT121" s="1"/>
      <c r="AU121" s="18"/>
      <c r="AV121" s="18"/>
      <c r="AW121" s="18"/>
      <c r="AX121" s="18"/>
      <c r="AY121" s="18"/>
      <c r="AZ121" s="18"/>
      <c r="BA121" s="18"/>
      <c r="BB121" s="18"/>
      <c r="BC121" s="16"/>
      <c r="BD121" s="16"/>
      <c r="BE121" s="16"/>
      <c r="BF121" s="286">
        <f>Z121-AF121</f>
      </c>
      <c r="BG121" s="321">
        <f>IFERROR(AF121/Y121,0)</f>
      </c>
      <c r="BH121" s="214">
        <f>IFERROR(AF121/X121,0)</f>
      </c>
      <c r="BI121" s="284">
        <f>IFERROR((X121/SUM(X$26:X$40)),0)</f>
      </c>
      <c r="BJ121" s="284">
        <f>IFERROR((BF121/SUM(BF$3:BF318)),0)</f>
      </c>
      <c r="BK121" s="288">
        <f>BF121/'R&amp;H Portfolio'!Q$10</f>
      </c>
      <c r="BL121" s="286">
        <f>BI121*P121</f>
      </c>
      <c r="BM121" s="3"/>
      <c r="BN121" s="3"/>
      <c r="BO121" s="17"/>
    </row>
    <row x14ac:dyDescent="0.25" r="122" customHeight="1" ht="15">
      <c r="A122" s="17"/>
      <c r="B122" s="14"/>
      <c r="C122" s="3"/>
      <c r="D122" s="3"/>
      <c r="E122" s="3"/>
      <c r="F122" s="3"/>
      <c r="G122" s="16"/>
      <c r="H122" s="18"/>
      <c r="I122" s="18"/>
      <c r="J122" s="279">
        <f>H122+I122</f>
      </c>
      <c r="K122" s="1"/>
      <c r="L122" s="123">
        <f>K122*I122</f>
      </c>
      <c r="M122" s="123">
        <f>K122*J122</f>
      </c>
      <c r="N122" s="16"/>
      <c r="O122" s="16"/>
      <c r="P122" s="282">
        <f>IF(ISBLANK(N122),O122/4.3,N122/20)</f>
      </c>
      <c r="Q122" s="1"/>
      <c r="R122" s="3"/>
      <c r="S122" s="3"/>
      <c r="T122" s="256">
        <f>IF(ISBLANK(R122),0,X122)</f>
      </c>
      <c r="U122" s="256">
        <f>IF(ISBLANK(S122),0,X122)</f>
      </c>
      <c r="V122" s="284">
        <f>IFERROR(Q122/K122,0)</f>
      </c>
      <c r="W122" s="123">
        <f>IFERROR(L122*V122,0)</f>
      </c>
      <c r="X122" s="256">
        <f>IFERROR(Q122+W122,0)</f>
      </c>
      <c r="Y122" s="256">
        <f>IFERROR(M122*V122,0)</f>
      </c>
      <c r="Z122" s="256">
        <f>Y122-(Y122*$B$1)</f>
      </c>
      <c r="AA122" s="285">
        <f>IFERROR(Z122/X122,0)</f>
      </c>
      <c r="AB122" s="286">
        <f>IFERROR(IF(ISBLANK(N122),Y122/O122,Y122/N122),0)</f>
      </c>
      <c r="AC122" s="286">
        <f>IFERROR(-1*(AB122*B$1),0)</f>
      </c>
      <c r="AD122" s="286">
        <f>IFERROR(SUM(AB122:AC122),0)</f>
      </c>
      <c r="AE122" s="286">
        <f>IF(ISBLANK(N122),AD122,AD122*5)</f>
      </c>
      <c r="AF122" s="287">
        <f>SUM(AG122:AZ122)</f>
      </c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18"/>
      <c r="AR122" s="18"/>
      <c r="AS122" s="18"/>
      <c r="AT122" s="1"/>
      <c r="AU122" s="18"/>
      <c r="AV122" s="18"/>
      <c r="AW122" s="18"/>
      <c r="AX122" s="18"/>
      <c r="AY122" s="18"/>
      <c r="AZ122" s="18"/>
      <c r="BA122" s="18"/>
      <c r="BB122" s="18"/>
      <c r="BC122" s="16"/>
      <c r="BD122" s="16"/>
      <c r="BE122" s="16"/>
      <c r="BF122" s="286">
        <f>Z122-AF122</f>
      </c>
      <c r="BG122" s="321">
        <f>IFERROR(AF122/Y122,0)</f>
      </c>
      <c r="BH122" s="214">
        <f>IFERROR(AF122/X122,0)</f>
      </c>
      <c r="BI122" s="284">
        <f>IFERROR((X122/SUM(X$26:X$40)),0)</f>
      </c>
      <c r="BJ122" s="284">
        <f>IFERROR((BF122/SUM(BF$3:BF319)),0)</f>
      </c>
      <c r="BK122" s="288">
        <f>BF122/'R&amp;H Portfolio'!Q$10</f>
      </c>
      <c r="BL122" s="286">
        <f>BI122*P122</f>
      </c>
      <c r="BM122" s="3"/>
      <c r="BN122" s="3"/>
      <c r="BO122" s="17"/>
    </row>
    <row x14ac:dyDescent="0.25" r="123" customHeight="1" ht="15">
      <c r="A123" s="17"/>
      <c r="B123" s="14"/>
      <c r="C123" s="3"/>
      <c r="D123" s="3"/>
      <c r="E123" s="3"/>
      <c r="F123" s="3"/>
      <c r="G123" s="16"/>
      <c r="H123" s="18"/>
      <c r="I123" s="18"/>
      <c r="J123" s="279">
        <f>H123+I123</f>
      </c>
      <c r="K123" s="1"/>
      <c r="L123" s="123">
        <f>K123*I123</f>
      </c>
      <c r="M123" s="123">
        <f>K123*J123</f>
      </c>
      <c r="N123" s="16"/>
      <c r="O123" s="16"/>
      <c r="P123" s="282">
        <f>IF(ISBLANK(N123),O123/4.3,N123/20)</f>
      </c>
      <c r="Q123" s="1"/>
      <c r="R123" s="3"/>
      <c r="S123" s="3"/>
      <c r="T123" s="256">
        <f>IF(ISBLANK(R123),0,X123)</f>
      </c>
      <c r="U123" s="256">
        <f>IF(ISBLANK(S123),0,X123)</f>
      </c>
      <c r="V123" s="284">
        <f>IFERROR(Q123/K123,0)</f>
      </c>
      <c r="W123" s="123">
        <f>IFERROR(L123*V123,0)</f>
      </c>
      <c r="X123" s="256">
        <f>IFERROR(Q123+W123,0)</f>
      </c>
      <c r="Y123" s="256">
        <f>IFERROR(M123*V123,0)</f>
      </c>
      <c r="Z123" s="256">
        <f>Y123-(Y123*$B$1)</f>
      </c>
      <c r="AA123" s="285">
        <f>IFERROR(Z123/X123,0)</f>
      </c>
      <c r="AB123" s="286">
        <f>IFERROR(IF(ISBLANK(N123),Y123/O123,Y123/N123),0)</f>
      </c>
      <c r="AC123" s="286">
        <f>IFERROR(-1*(AB123*B$1),0)</f>
      </c>
      <c r="AD123" s="286">
        <f>IFERROR(SUM(AB123:AC123),0)</f>
      </c>
      <c r="AE123" s="286">
        <f>IF(ISBLANK(N123),AD123,AD123*5)</f>
      </c>
      <c r="AF123" s="287">
        <f>SUM(AG123:AZ123)</f>
      </c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18"/>
      <c r="AR123" s="18"/>
      <c r="AS123" s="18"/>
      <c r="AT123" s="1"/>
      <c r="AU123" s="18"/>
      <c r="AV123" s="18"/>
      <c r="AW123" s="18"/>
      <c r="AX123" s="18"/>
      <c r="AY123" s="18"/>
      <c r="AZ123" s="18"/>
      <c r="BA123" s="18"/>
      <c r="BB123" s="18"/>
      <c r="BC123" s="16"/>
      <c r="BD123" s="16"/>
      <c r="BE123" s="16"/>
      <c r="BF123" s="286">
        <f>Z123-AF123</f>
      </c>
      <c r="BG123" s="321">
        <f>IFERROR(AF123/Y123,0)</f>
      </c>
      <c r="BH123" s="214">
        <f>IFERROR(AF123/X123,0)</f>
      </c>
      <c r="BI123" s="284">
        <f>IFERROR((X123/SUM(X$26:X$40)),0)</f>
      </c>
      <c r="BJ123" s="284">
        <f>IFERROR((BF123/SUM(BF$3:BF320)),0)</f>
      </c>
      <c r="BK123" s="288">
        <f>BF123/'R&amp;H Portfolio'!Q$10</f>
      </c>
      <c r="BL123" s="286">
        <f>BI123*P123</f>
      </c>
      <c r="BM123" s="3"/>
      <c r="BN123" s="3"/>
      <c r="BO123" s="17"/>
    </row>
    <row x14ac:dyDescent="0.25" r="124" customHeight="1" ht="15">
      <c r="A124" s="17"/>
      <c r="B124" s="14"/>
      <c r="C124" s="3"/>
      <c r="D124" s="3"/>
      <c r="E124" s="3"/>
      <c r="F124" s="3"/>
      <c r="G124" s="16"/>
      <c r="H124" s="18"/>
      <c r="I124" s="18"/>
      <c r="J124" s="279">
        <f>H124+I124</f>
      </c>
      <c r="K124" s="1"/>
      <c r="L124" s="123">
        <f>K124*I124</f>
      </c>
      <c r="M124" s="123">
        <f>K124*J124</f>
      </c>
      <c r="N124" s="16"/>
      <c r="O124" s="16"/>
      <c r="P124" s="282">
        <f>IF(ISBLANK(N124),O124/4.3,N124/20)</f>
      </c>
      <c r="Q124" s="1"/>
      <c r="R124" s="3"/>
      <c r="S124" s="3"/>
      <c r="T124" s="256">
        <f>IF(ISBLANK(R124),0,X124)</f>
      </c>
      <c r="U124" s="256">
        <f>IF(ISBLANK(S124),0,X124)</f>
      </c>
      <c r="V124" s="284">
        <f>IFERROR(Q124/K124,0)</f>
      </c>
      <c r="W124" s="123">
        <f>IFERROR(L124*V124,0)</f>
      </c>
      <c r="X124" s="256">
        <f>IFERROR(Q124+W124,0)</f>
      </c>
      <c r="Y124" s="256">
        <f>IFERROR(M124*V124,0)</f>
      </c>
      <c r="Z124" s="256">
        <f>Y124-(Y124*$B$1)</f>
      </c>
      <c r="AA124" s="285">
        <f>IFERROR(Z124/X124,0)</f>
      </c>
      <c r="AB124" s="286">
        <f>IFERROR(IF(ISBLANK(N124),Y124/O124,Y124/N124),0)</f>
      </c>
      <c r="AC124" s="286">
        <f>IFERROR(-1*(AB124*B$1),0)</f>
      </c>
      <c r="AD124" s="286">
        <f>IFERROR(SUM(AB124:AC124),0)</f>
      </c>
      <c r="AE124" s="286">
        <f>IF(ISBLANK(N124),AD124,AD124*5)</f>
      </c>
      <c r="AF124" s="287">
        <f>SUM(AG124:AZ124)</f>
      </c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18"/>
      <c r="AR124" s="18"/>
      <c r="AS124" s="18"/>
      <c r="AT124" s="1"/>
      <c r="AU124" s="18"/>
      <c r="AV124" s="18"/>
      <c r="AW124" s="18"/>
      <c r="AX124" s="18"/>
      <c r="AY124" s="18"/>
      <c r="AZ124" s="18"/>
      <c r="BA124" s="18"/>
      <c r="BB124" s="18"/>
      <c r="BC124" s="16"/>
      <c r="BD124" s="16"/>
      <c r="BE124" s="16"/>
      <c r="BF124" s="286">
        <f>Z124-AF124</f>
      </c>
      <c r="BG124" s="321">
        <f>IFERROR(AF124/Y124,0)</f>
      </c>
      <c r="BH124" s="214">
        <f>IFERROR(AF124/X124,0)</f>
      </c>
      <c r="BI124" s="284">
        <f>IFERROR((X124/SUM(X$26:X$40)),0)</f>
      </c>
      <c r="BJ124" s="284">
        <f>IFERROR((BF124/SUM(BF$3:BF321)),0)</f>
      </c>
      <c r="BK124" s="288">
        <f>BF124/'R&amp;H Portfolio'!Q$10</f>
      </c>
      <c r="BL124" s="286">
        <f>BI124*P124</f>
      </c>
      <c r="BM124" s="3"/>
      <c r="BN124" s="3"/>
      <c r="BO124" s="17"/>
    </row>
    <row x14ac:dyDescent="0.25" r="125" customHeight="1" ht="15">
      <c r="A125" s="17"/>
      <c r="B125" s="14"/>
      <c r="C125" s="3"/>
      <c r="D125" s="3"/>
      <c r="E125" s="3"/>
      <c r="F125" s="3"/>
      <c r="G125" s="16"/>
      <c r="H125" s="18"/>
      <c r="I125" s="18"/>
      <c r="J125" s="279">
        <f>H125+I125</f>
      </c>
      <c r="K125" s="1"/>
      <c r="L125" s="123">
        <f>K125*I125</f>
      </c>
      <c r="M125" s="123">
        <f>K125*J125</f>
      </c>
      <c r="N125" s="16"/>
      <c r="O125" s="16"/>
      <c r="P125" s="282">
        <f>IF(ISBLANK(N125),O125/4.3,N125/20)</f>
      </c>
      <c r="Q125" s="1"/>
      <c r="R125" s="3"/>
      <c r="S125" s="3"/>
      <c r="T125" s="256">
        <f>IF(ISBLANK(R125),0,X125)</f>
      </c>
      <c r="U125" s="256">
        <f>IF(ISBLANK(S125),0,X125)</f>
      </c>
      <c r="V125" s="284">
        <f>IFERROR(Q125/K125,0)</f>
      </c>
      <c r="W125" s="123">
        <f>IFERROR(L125*V125,0)</f>
      </c>
      <c r="X125" s="256">
        <f>IFERROR(Q125+W125,0)</f>
      </c>
      <c r="Y125" s="256">
        <f>IFERROR(M125*V125,0)</f>
      </c>
      <c r="Z125" s="256">
        <f>Y125-(Y125*$B$1)</f>
      </c>
      <c r="AA125" s="285">
        <f>IFERROR(Z125/X125,0)</f>
      </c>
      <c r="AB125" s="286">
        <f>IFERROR(IF(ISBLANK(N125),Y125/O125,Y125/N125),0)</f>
      </c>
      <c r="AC125" s="286">
        <f>IFERROR(-1*(AB125*B$1),0)</f>
      </c>
      <c r="AD125" s="286">
        <f>IFERROR(SUM(AB125:AC125),0)</f>
      </c>
      <c r="AE125" s="286">
        <f>IF(ISBLANK(N125),AD125,AD125*5)</f>
      </c>
      <c r="AF125" s="287">
        <f>SUM(AG125:AZ125)</f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18"/>
      <c r="AR125" s="18"/>
      <c r="AS125" s="18"/>
      <c r="AT125" s="1"/>
      <c r="AU125" s="18"/>
      <c r="AV125" s="18"/>
      <c r="AW125" s="18"/>
      <c r="AX125" s="18"/>
      <c r="AY125" s="18"/>
      <c r="AZ125" s="18"/>
      <c r="BA125" s="18"/>
      <c r="BB125" s="18"/>
      <c r="BC125" s="16"/>
      <c r="BD125" s="16"/>
      <c r="BE125" s="16"/>
      <c r="BF125" s="286">
        <f>Z125-AF125</f>
      </c>
      <c r="BG125" s="321">
        <f>IFERROR(AF125/Y125,0)</f>
      </c>
      <c r="BH125" s="214">
        <f>IFERROR(AF125/X125,0)</f>
      </c>
      <c r="BI125" s="284">
        <f>IFERROR((X125/SUM(X$26:X$40)),0)</f>
      </c>
      <c r="BJ125" s="284">
        <f>IFERROR((BF125/SUM(BF$3:BF322)),0)</f>
      </c>
      <c r="BK125" s="288">
        <f>BF125/'R&amp;H Portfolio'!Q$10</f>
      </c>
      <c r="BL125" s="286">
        <f>BI125*P125</f>
      </c>
      <c r="BM125" s="3"/>
      <c r="BN125" s="3"/>
      <c r="BO125" s="17"/>
    </row>
    <row x14ac:dyDescent="0.25" r="126" customHeight="1" ht="15">
      <c r="A126" s="17"/>
      <c r="B126" s="14"/>
      <c r="C126" s="3"/>
      <c r="D126" s="3"/>
      <c r="E126" s="3"/>
      <c r="F126" s="3"/>
      <c r="G126" s="16"/>
      <c r="H126" s="18"/>
      <c r="I126" s="18"/>
      <c r="J126" s="279">
        <f>H126+I126</f>
      </c>
      <c r="K126" s="1"/>
      <c r="L126" s="123">
        <f>K126*I126</f>
      </c>
      <c r="M126" s="123">
        <f>K126*J126</f>
      </c>
      <c r="N126" s="16"/>
      <c r="O126" s="16"/>
      <c r="P126" s="282">
        <f>IF(ISBLANK(N126),O126/4.3,N126/20)</f>
      </c>
      <c r="Q126" s="1"/>
      <c r="R126" s="3"/>
      <c r="S126" s="3"/>
      <c r="T126" s="256">
        <f>IF(ISBLANK(R126),0,X126)</f>
      </c>
      <c r="U126" s="256">
        <f>IF(ISBLANK(S126),0,X126)</f>
      </c>
      <c r="V126" s="284">
        <f>IFERROR(Q126/K126,0)</f>
      </c>
      <c r="W126" s="123">
        <f>IFERROR(L126*V126,0)</f>
      </c>
      <c r="X126" s="256">
        <f>IFERROR(Q126+W126,0)</f>
      </c>
      <c r="Y126" s="256">
        <f>IFERROR(M126*V126,0)</f>
      </c>
      <c r="Z126" s="256">
        <f>Y126-(Y126*$B$1)</f>
      </c>
      <c r="AA126" s="285">
        <f>IFERROR(Z126/X126,0)</f>
      </c>
      <c r="AB126" s="286">
        <f>IFERROR(IF(ISBLANK(N126),Y126/O126,Y126/N126),0)</f>
      </c>
      <c r="AC126" s="286">
        <f>IFERROR(-1*(AB126*B$1),0)</f>
      </c>
      <c r="AD126" s="286">
        <f>IFERROR(SUM(AB126:AC126),0)</f>
      </c>
      <c r="AE126" s="286">
        <f>IF(ISBLANK(N126),AD126,AD126*5)</f>
      </c>
      <c r="AF126" s="287">
        <f>SUM(AG126:AZ126)</f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18"/>
      <c r="AR126" s="18"/>
      <c r="AS126" s="18"/>
      <c r="AT126" s="1"/>
      <c r="AU126" s="18"/>
      <c r="AV126" s="18"/>
      <c r="AW126" s="18"/>
      <c r="AX126" s="18"/>
      <c r="AY126" s="18"/>
      <c r="AZ126" s="18"/>
      <c r="BA126" s="18"/>
      <c r="BB126" s="18"/>
      <c r="BC126" s="16"/>
      <c r="BD126" s="16"/>
      <c r="BE126" s="16"/>
      <c r="BF126" s="286">
        <f>Z126-AF126</f>
      </c>
      <c r="BG126" s="321">
        <f>IFERROR(AF126/Y126,0)</f>
      </c>
      <c r="BH126" s="214">
        <f>IFERROR(AF126/X126,0)</f>
      </c>
      <c r="BI126" s="284">
        <f>IFERROR((X126/SUM(X$26:X$40)),0)</f>
      </c>
      <c r="BJ126" s="284">
        <f>IFERROR((BF126/SUM(BF$3:BF323)),0)</f>
      </c>
      <c r="BK126" s="288">
        <f>BF126/'R&amp;H Portfolio'!Q$10</f>
      </c>
      <c r="BL126" s="286">
        <f>BI126*P126</f>
      </c>
      <c r="BM126" s="3"/>
      <c r="BN126" s="3"/>
      <c r="BO126" s="17"/>
    </row>
    <row x14ac:dyDescent="0.25" r="127" customHeight="1" ht="15">
      <c r="A127" s="17"/>
      <c r="B127" s="14"/>
      <c r="C127" s="3"/>
      <c r="D127" s="3"/>
      <c r="E127" s="3"/>
      <c r="F127" s="3"/>
      <c r="G127" s="16"/>
      <c r="H127" s="18"/>
      <c r="I127" s="18"/>
      <c r="J127" s="279">
        <f>H127+I127</f>
      </c>
      <c r="K127" s="1"/>
      <c r="L127" s="123">
        <f>K127*I127</f>
      </c>
      <c r="M127" s="123">
        <f>K127*J127</f>
      </c>
      <c r="N127" s="16"/>
      <c r="O127" s="16"/>
      <c r="P127" s="282">
        <f>IF(ISBLANK(N127),O127/4.3,N127/20)</f>
      </c>
      <c r="Q127" s="1"/>
      <c r="R127" s="3"/>
      <c r="S127" s="3"/>
      <c r="T127" s="256">
        <f>IF(ISBLANK(R127),0,X127)</f>
      </c>
      <c r="U127" s="256">
        <f>IF(ISBLANK(S127),0,X127)</f>
      </c>
      <c r="V127" s="284">
        <f>IFERROR(Q127/K127,0)</f>
      </c>
      <c r="W127" s="123">
        <f>IFERROR(L127*V127,0)</f>
      </c>
      <c r="X127" s="256">
        <f>IFERROR(Q127+W127,0)</f>
      </c>
      <c r="Y127" s="256">
        <f>IFERROR(M127*V127,0)</f>
      </c>
      <c r="Z127" s="256">
        <f>Y127-(Y127*$B$1)</f>
      </c>
      <c r="AA127" s="285">
        <f>IFERROR(Z127/X127,0)</f>
      </c>
      <c r="AB127" s="286">
        <f>IFERROR(IF(ISBLANK(N127),Y127/O127,Y127/N127),0)</f>
      </c>
      <c r="AC127" s="286">
        <f>IFERROR(-1*(AB127*B$1),0)</f>
      </c>
      <c r="AD127" s="286">
        <f>IFERROR(SUM(AB127:AC127),0)</f>
      </c>
      <c r="AE127" s="286">
        <f>IF(ISBLANK(N127),AD127,AD127*5)</f>
      </c>
      <c r="AF127" s="287">
        <f>SUM(AG127:AZ127)</f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18"/>
      <c r="AR127" s="18"/>
      <c r="AS127" s="18"/>
      <c r="AT127" s="1"/>
      <c r="AU127" s="18"/>
      <c r="AV127" s="18"/>
      <c r="AW127" s="18"/>
      <c r="AX127" s="18"/>
      <c r="AY127" s="18"/>
      <c r="AZ127" s="18"/>
      <c r="BA127" s="18"/>
      <c r="BB127" s="18"/>
      <c r="BC127" s="16"/>
      <c r="BD127" s="16"/>
      <c r="BE127" s="16"/>
      <c r="BF127" s="286">
        <f>Z127-AF127</f>
      </c>
      <c r="BG127" s="321">
        <f>IFERROR(AF127/Y127,0)</f>
      </c>
      <c r="BH127" s="214">
        <f>IFERROR(AF127/X127,0)</f>
      </c>
      <c r="BI127" s="284">
        <f>IFERROR((X127/SUM(X$26:X$40)),0)</f>
      </c>
      <c r="BJ127" s="284">
        <f>IFERROR((BF127/SUM(BF$3:BF324)),0)</f>
      </c>
      <c r="BK127" s="288">
        <f>BF127/'R&amp;H Portfolio'!Q$10</f>
      </c>
      <c r="BL127" s="286">
        <f>BI127*P127</f>
      </c>
      <c r="BM127" s="3"/>
      <c r="BN127" s="3"/>
      <c r="BO127" s="17"/>
    </row>
    <row x14ac:dyDescent="0.25" r="128" customHeight="1" ht="15">
      <c r="A128" s="17"/>
      <c r="B128" s="14"/>
      <c r="C128" s="3"/>
      <c r="D128" s="3"/>
      <c r="E128" s="3"/>
      <c r="F128" s="3"/>
      <c r="G128" s="16"/>
      <c r="H128" s="18"/>
      <c r="I128" s="18"/>
      <c r="J128" s="279">
        <f>H128+I128</f>
      </c>
      <c r="K128" s="1"/>
      <c r="L128" s="123">
        <f>K128*I128</f>
      </c>
      <c r="M128" s="123">
        <f>K128*J128</f>
      </c>
      <c r="N128" s="16"/>
      <c r="O128" s="16"/>
      <c r="P128" s="282">
        <f>IF(ISBLANK(N128),O128/4.3,N128/20)</f>
      </c>
      <c r="Q128" s="1"/>
      <c r="R128" s="3"/>
      <c r="S128" s="3"/>
      <c r="T128" s="256">
        <f>IF(ISBLANK(R128),0,X128)</f>
      </c>
      <c r="U128" s="256">
        <f>IF(ISBLANK(S128),0,X128)</f>
      </c>
      <c r="V128" s="284">
        <f>IFERROR(Q128/K128,0)</f>
      </c>
      <c r="W128" s="123">
        <f>IFERROR(L128*V128,0)</f>
      </c>
      <c r="X128" s="256">
        <f>IFERROR(Q128+W128,0)</f>
      </c>
      <c r="Y128" s="256">
        <f>IFERROR(M128*V128,0)</f>
      </c>
      <c r="Z128" s="256">
        <f>Y128-(Y128*$B$1)</f>
      </c>
      <c r="AA128" s="285">
        <f>IFERROR(Z128/X128,0)</f>
      </c>
      <c r="AB128" s="286">
        <f>IFERROR(IF(ISBLANK(N128),Y128/O128,Y128/N128),0)</f>
      </c>
      <c r="AC128" s="286">
        <f>IFERROR(-1*(AB128*B$1),0)</f>
      </c>
      <c r="AD128" s="286">
        <f>IFERROR(SUM(AB128:AC128),0)</f>
      </c>
      <c r="AE128" s="286">
        <f>IF(ISBLANK(N128),AD128,AD128*5)</f>
      </c>
      <c r="AF128" s="287">
        <f>SUM(AG128:AZ128)</f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18"/>
      <c r="AR128" s="18"/>
      <c r="AS128" s="18"/>
      <c r="AT128" s="1"/>
      <c r="AU128" s="18"/>
      <c r="AV128" s="18"/>
      <c r="AW128" s="18"/>
      <c r="AX128" s="18"/>
      <c r="AY128" s="18"/>
      <c r="AZ128" s="18"/>
      <c r="BA128" s="18"/>
      <c r="BB128" s="18"/>
      <c r="BC128" s="16"/>
      <c r="BD128" s="16"/>
      <c r="BE128" s="16"/>
      <c r="BF128" s="286">
        <f>Z128-AF128</f>
      </c>
      <c r="BG128" s="321">
        <f>IFERROR(AF128/Y128,0)</f>
      </c>
      <c r="BH128" s="214">
        <f>IFERROR(AF128/X128,0)</f>
      </c>
      <c r="BI128" s="284">
        <f>IFERROR((X128/SUM(X$26:X$40)),0)</f>
      </c>
      <c r="BJ128" s="284">
        <f>IFERROR((BF128/SUM(BF$3:BF325)),0)</f>
      </c>
      <c r="BK128" s="288">
        <f>BF128/'R&amp;H Portfolio'!Q$10</f>
      </c>
      <c r="BL128" s="286">
        <f>BI128*P128</f>
      </c>
      <c r="BM128" s="3"/>
      <c r="BN128" s="3"/>
      <c r="BO128" s="17"/>
    </row>
    <row x14ac:dyDescent="0.25" r="129" customHeight="1" ht="15">
      <c r="A129" s="17"/>
      <c r="B129" s="14"/>
      <c r="C129" s="3"/>
      <c r="D129" s="3"/>
      <c r="E129" s="3"/>
      <c r="F129" s="3"/>
      <c r="G129" s="16"/>
      <c r="H129" s="18"/>
      <c r="I129" s="18"/>
      <c r="J129" s="279">
        <f>H129+I129</f>
      </c>
      <c r="K129" s="1"/>
      <c r="L129" s="123">
        <f>K129*I129</f>
      </c>
      <c r="M129" s="123">
        <f>K129*J129</f>
      </c>
      <c r="N129" s="16"/>
      <c r="O129" s="16"/>
      <c r="P129" s="282">
        <f>IF(ISBLANK(N129),O129/4.3,N129/20)</f>
      </c>
      <c r="Q129" s="1"/>
      <c r="R129" s="3"/>
      <c r="S129" s="3"/>
      <c r="T129" s="256">
        <f>IF(ISBLANK(R129),0,X129)</f>
      </c>
      <c r="U129" s="256">
        <f>IF(ISBLANK(S129),0,X129)</f>
      </c>
      <c r="V129" s="284">
        <f>IFERROR(Q129/K129,0)</f>
      </c>
      <c r="W129" s="123">
        <f>IFERROR(L129*V129,0)</f>
      </c>
      <c r="X129" s="256">
        <f>IFERROR(Q129+W129,0)</f>
      </c>
      <c r="Y129" s="256">
        <f>IFERROR(M129*V129,0)</f>
      </c>
      <c r="Z129" s="256">
        <f>Y129-(Y129*$B$1)</f>
      </c>
      <c r="AA129" s="285">
        <f>IFERROR(Z129/X129,0)</f>
      </c>
      <c r="AB129" s="286">
        <f>IFERROR(IF(ISBLANK(N129),Y129/O129,Y129/N129),0)</f>
      </c>
      <c r="AC129" s="286">
        <f>IFERROR(-1*(AB129*B$1),0)</f>
      </c>
      <c r="AD129" s="286">
        <f>IFERROR(SUM(AB129:AC129),0)</f>
      </c>
      <c r="AE129" s="286">
        <f>IF(ISBLANK(N129),AD129,AD129*5)</f>
      </c>
      <c r="AF129" s="287">
        <f>SUM(AG129:AZ129)</f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18"/>
      <c r="AR129" s="18"/>
      <c r="AS129" s="18"/>
      <c r="AT129" s="1"/>
      <c r="AU129" s="18"/>
      <c r="AV129" s="18"/>
      <c r="AW129" s="18"/>
      <c r="AX129" s="18"/>
      <c r="AY129" s="18"/>
      <c r="AZ129" s="18"/>
      <c r="BA129" s="18"/>
      <c r="BB129" s="18"/>
      <c r="BC129" s="16"/>
      <c r="BD129" s="16"/>
      <c r="BE129" s="16"/>
      <c r="BF129" s="286">
        <f>Z129-AF129</f>
      </c>
      <c r="BG129" s="321">
        <f>IFERROR(AF129/Y129,0)</f>
      </c>
      <c r="BH129" s="214">
        <f>IFERROR(AF129/X129,0)</f>
      </c>
      <c r="BI129" s="284">
        <f>IFERROR((X129/SUM(X$26:X$40)),0)</f>
      </c>
      <c r="BJ129" s="284">
        <f>IFERROR((BF129/SUM(BF$3:BF326)),0)</f>
      </c>
      <c r="BK129" s="288">
        <f>BF129/'R&amp;H Portfolio'!Q$10</f>
      </c>
      <c r="BL129" s="286">
        <f>BI129*P129</f>
      </c>
      <c r="BM129" s="3"/>
      <c r="BN129" s="3"/>
      <c r="BO129" s="17"/>
    </row>
    <row x14ac:dyDescent="0.25" r="130" customHeight="1" ht="15">
      <c r="A130" s="17"/>
      <c r="B130" s="14"/>
      <c r="C130" s="3"/>
      <c r="D130" s="3"/>
      <c r="E130" s="3"/>
      <c r="F130" s="3"/>
      <c r="G130" s="16"/>
      <c r="H130" s="18"/>
      <c r="I130" s="18"/>
      <c r="J130" s="279">
        <f>H130+I130</f>
      </c>
      <c r="K130" s="1"/>
      <c r="L130" s="123">
        <f>K130*I130</f>
      </c>
      <c r="M130" s="123">
        <f>K130*J130</f>
      </c>
      <c r="N130" s="16"/>
      <c r="O130" s="16"/>
      <c r="P130" s="282">
        <f>IF(ISBLANK(N130),O130/4.3,N130/20)</f>
      </c>
      <c r="Q130" s="1"/>
      <c r="R130" s="3"/>
      <c r="S130" s="3"/>
      <c r="T130" s="256">
        <f>IF(ISBLANK(R130),0,X130)</f>
      </c>
      <c r="U130" s="256">
        <f>IF(ISBLANK(S130),0,X130)</f>
      </c>
      <c r="V130" s="284">
        <f>IFERROR(Q130/K130,0)</f>
      </c>
      <c r="W130" s="123">
        <f>IFERROR(L130*V130,0)</f>
      </c>
      <c r="X130" s="256">
        <f>IFERROR(Q130+W130,0)</f>
      </c>
      <c r="Y130" s="256">
        <f>IFERROR(M130*V130,0)</f>
      </c>
      <c r="Z130" s="256">
        <f>Y130-(Y130*$B$1)</f>
      </c>
      <c r="AA130" s="285">
        <f>IFERROR(Z130/X130,0)</f>
      </c>
      <c r="AB130" s="286">
        <f>IFERROR(IF(ISBLANK(N130),Y130/O130,Y130/N130),0)</f>
      </c>
      <c r="AC130" s="286">
        <f>IFERROR(-1*(AB130*B$1),0)</f>
      </c>
      <c r="AD130" s="286">
        <f>IFERROR(SUM(AB130:AC130),0)</f>
      </c>
      <c r="AE130" s="286">
        <f>IF(ISBLANK(N130),AD130,AD130*5)</f>
      </c>
      <c r="AF130" s="287">
        <f>SUM(AG130:AZ130)</f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18"/>
      <c r="AR130" s="18"/>
      <c r="AS130" s="18"/>
      <c r="AT130" s="1"/>
      <c r="AU130" s="18"/>
      <c r="AV130" s="18"/>
      <c r="AW130" s="18"/>
      <c r="AX130" s="18"/>
      <c r="AY130" s="18"/>
      <c r="AZ130" s="18"/>
      <c r="BA130" s="18"/>
      <c r="BB130" s="18"/>
      <c r="BC130" s="16"/>
      <c r="BD130" s="16"/>
      <c r="BE130" s="16"/>
      <c r="BF130" s="286">
        <f>Z130-AF130</f>
      </c>
      <c r="BG130" s="321">
        <f>IFERROR(AF130/Y130,0)</f>
      </c>
      <c r="BH130" s="214">
        <f>IFERROR(AF130/X130,0)</f>
      </c>
      <c r="BI130" s="284">
        <f>IFERROR((X130/SUM(X$26:X$40)),0)</f>
      </c>
      <c r="BJ130" s="284">
        <f>IFERROR((BF130/SUM(BF$3:BF327)),0)</f>
      </c>
      <c r="BK130" s="288">
        <f>BF130/'R&amp;H Portfolio'!Q$10</f>
      </c>
      <c r="BL130" s="286">
        <f>BI130*P130</f>
      </c>
      <c r="BM130" s="3"/>
      <c r="BN130" s="3"/>
      <c r="BO130" s="17"/>
    </row>
    <row x14ac:dyDescent="0.25" r="131" customHeight="1" ht="15">
      <c r="A131" s="17"/>
      <c r="B131" s="14"/>
      <c r="C131" s="3"/>
      <c r="D131" s="3"/>
      <c r="E131" s="3"/>
      <c r="F131" s="3"/>
      <c r="G131" s="16"/>
      <c r="H131" s="18"/>
      <c r="I131" s="18"/>
      <c r="J131" s="279">
        <f>H131+I131</f>
      </c>
      <c r="K131" s="1"/>
      <c r="L131" s="123">
        <f>K131*I131</f>
      </c>
      <c r="M131" s="123">
        <f>K131*J131</f>
      </c>
      <c r="N131" s="16"/>
      <c r="O131" s="16"/>
      <c r="P131" s="282">
        <f>IF(ISBLANK(N131),O131/4.3,N131/20)</f>
      </c>
      <c r="Q131" s="1"/>
      <c r="R131" s="3"/>
      <c r="S131" s="3"/>
      <c r="T131" s="256">
        <f>IF(ISBLANK(R131),0,X131)</f>
      </c>
      <c r="U131" s="256">
        <f>IF(ISBLANK(S131),0,X131)</f>
      </c>
      <c r="V131" s="284">
        <f>IFERROR(Q131/K131,0)</f>
      </c>
      <c r="W131" s="123">
        <f>IFERROR(L131*V131,0)</f>
      </c>
      <c r="X131" s="256">
        <f>IFERROR(Q131+W131,0)</f>
      </c>
      <c r="Y131" s="256">
        <f>IFERROR(M131*V131,0)</f>
      </c>
      <c r="Z131" s="256">
        <f>Y131-(Y131*$B$1)</f>
      </c>
      <c r="AA131" s="285">
        <f>IFERROR(Z131/X131,0)</f>
      </c>
      <c r="AB131" s="286">
        <f>IFERROR(IF(ISBLANK(N131),Y131/O131,Y131/N131),0)</f>
      </c>
      <c r="AC131" s="286">
        <f>IFERROR(-1*(AB131*B$1),0)</f>
      </c>
      <c r="AD131" s="286">
        <f>IFERROR(SUM(AB131:AC131),0)</f>
      </c>
      <c r="AE131" s="286">
        <f>IF(ISBLANK(N131),AD131,AD131*5)</f>
      </c>
      <c r="AF131" s="287">
        <f>SUM(AG131:AZ131)</f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18"/>
      <c r="AR131" s="18"/>
      <c r="AS131" s="18"/>
      <c r="AT131" s="1"/>
      <c r="AU131" s="18"/>
      <c r="AV131" s="18"/>
      <c r="AW131" s="18"/>
      <c r="AX131" s="18"/>
      <c r="AY131" s="18"/>
      <c r="AZ131" s="18"/>
      <c r="BA131" s="18"/>
      <c r="BB131" s="18"/>
      <c r="BC131" s="16"/>
      <c r="BD131" s="16"/>
      <c r="BE131" s="16"/>
      <c r="BF131" s="286">
        <f>Z131-AF131</f>
      </c>
      <c r="BG131" s="321">
        <f>IFERROR(AF131/Y131,0)</f>
      </c>
      <c r="BH131" s="214">
        <f>IFERROR(AF131/X131,0)</f>
      </c>
      <c r="BI131" s="284">
        <f>IFERROR((X131/SUM(X$26:X$40)),0)</f>
      </c>
      <c r="BJ131" s="284">
        <f>IFERROR((BF131/SUM(BF$3:BF328)),0)</f>
      </c>
      <c r="BK131" s="288">
        <f>BF131/'R&amp;H Portfolio'!Q$10</f>
      </c>
      <c r="BL131" s="286">
        <f>BI131*P131</f>
      </c>
      <c r="BM131" s="3"/>
      <c r="BN131" s="3"/>
      <c r="BO131" s="17"/>
    </row>
    <row x14ac:dyDescent="0.25" r="132" customHeight="1" ht="15">
      <c r="A132" s="17"/>
      <c r="B132" s="14"/>
      <c r="C132" s="3"/>
      <c r="D132" s="3"/>
      <c r="E132" s="3"/>
      <c r="F132" s="3"/>
      <c r="G132" s="16"/>
      <c r="H132" s="18"/>
      <c r="I132" s="18"/>
      <c r="J132" s="279">
        <f>H132+I132</f>
      </c>
      <c r="K132" s="1"/>
      <c r="L132" s="123">
        <f>K132*I132</f>
      </c>
      <c r="M132" s="123">
        <f>K132*J132</f>
      </c>
      <c r="N132" s="16"/>
      <c r="O132" s="16"/>
      <c r="P132" s="282">
        <f>IF(ISBLANK(N132),O132/4.3,N132/20)</f>
      </c>
      <c r="Q132" s="1"/>
      <c r="R132" s="3"/>
      <c r="S132" s="3"/>
      <c r="T132" s="256">
        <f>IF(ISBLANK(R132),0,X132)</f>
      </c>
      <c r="U132" s="256">
        <f>IF(ISBLANK(S132),0,X132)</f>
      </c>
      <c r="V132" s="284">
        <f>IFERROR(Q132/K132,0)</f>
      </c>
      <c r="W132" s="123">
        <f>IFERROR(L132*V132,0)</f>
      </c>
      <c r="X132" s="256">
        <f>IFERROR(Q132+W132,0)</f>
      </c>
      <c r="Y132" s="256">
        <f>IFERROR(M132*V132,0)</f>
      </c>
      <c r="Z132" s="256">
        <f>Y132-(Y132*$B$1)</f>
      </c>
      <c r="AA132" s="285">
        <f>IFERROR(Z132/X132,0)</f>
      </c>
      <c r="AB132" s="286">
        <f>IFERROR(IF(ISBLANK(N132),Y132/O132,Y132/N132),0)</f>
      </c>
      <c r="AC132" s="286">
        <f>IFERROR(-1*(AB132*B$1),0)</f>
      </c>
      <c r="AD132" s="286">
        <f>IFERROR(SUM(AB132:AC132),0)</f>
      </c>
      <c r="AE132" s="286">
        <f>IF(ISBLANK(N132),AD132,AD132*5)</f>
      </c>
      <c r="AF132" s="287">
        <f>SUM(AG132:AZ132)</f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18"/>
      <c r="AR132" s="18"/>
      <c r="AS132" s="18"/>
      <c r="AT132" s="1"/>
      <c r="AU132" s="18"/>
      <c r="AV132" s="18"/>
      <c r="AW132" s="18"/>
      <c r="AX132" s="18"/>
      <c r="AY132" s="18"/>
      <c r="AZ132" s="18"/>
      <c r="BA132" s="18"/>
      <c r="BB132" s="18"/>
      <c r="BC132" s="16"/>
      <c r="BD132" s="16"/>
      <c r="BE132" s="16"/>
      <c r="BF132" s="286">
        <f>Z132-AF132</f>
      </c>
      <c r="BG132" s="321">
        <f>IFERROR(AF132/Y132,0)</f>
      </c>
      <c r="BH132" s="214">
        <f>IFERROR(AF132/X132,0)</f>
      </c>
      <c r="BI132" s="284">
        <f>IFERROR((X132/SUM(X$26:X$40)),0)</f>
      </c>
      <c r="BJ132" s="284">
        <f>IFERROR((BF132/SUM(BF$3:BF329)),0)</f>
      </c>
      <c r="BK132" s="288">
        <f>BF132/'R&amp;H Portfolio'!Q$10</f>
      </c>
      <c r="BL132" s="286">
        <f>BI132*P132</f>
      </c>
      <c r="BM132" s="3"/>
      <c r="BN132" s="3"/>
      <c r="BO132" s="17"/>
    </row>
    <row x14ac:dyDescent="0.25" r="133" customHeight="1" ht="15">
      <c r="A133" s="17"/>
      <c r="B133" s="14"/>
      <c r="C133" s="3"/>
      <c r="D133" s="3"/>
      <c r="E133" s="3"/>
      <c r="F133" s="3"/>
      <c r="G133" s="16"/>
      <c r="H133" s="18"/>
      <c r="I133" s="18"/>
      <c r="J133" s="279">
        <f>H133+I133</f>
      </c>
      <c r="K133" s="1"/>
      <c r="L133" s="123">
        <f>K133*I133</f>
      </c>
      <c r="M133" s="123">
        <f>K133*J133</f>
      </c>
      <c r="N133" s="16"/>
      <c r="O133" s="16"/>
      <c r="P133" s="282">
        <f>IF(ISBLANK(N133),O133/4.3,N133/20)</f>
      </c>
      <c r="Q133" s="1"/>
      <c r="R133" s="3"/>
      <c r="S133" s="3"/>
      <c r="T133" s="256">
        <f>IF(ISBLANK(R133),0,X133)</f>
      </c>
      <c r="U133" s="256">
        <f>IF(ISBLANK(S133),0,X133)</f>
      </c>
      <c r="V133" s="284">
        <f>IFERROR(Q133/K133,0)</f>
      </c>
      <c r="W133" s="123">
        <f>IFERROR(L133*V133,0)</f>
      </c>
      <c r="X133" s="256">
        <f>IFERROR(Q133+W133,0)</f>
      </c>
      <c r="Y133" s="256">
        <f>IFERROR(M133*V133,0)</f>
      </c>
      <c r="Z133" s="256">
        <f>Y133-(Y133*$B$1)</f>
      </c>
      <c r="AA133" s="285">
        <f>IFERROR(Z133/X133,0)</f>
      </c>
      <c r="AB133" s="286">
        <f>IFERROR(IF(ISBLANK(N133),Y133/O133,Y133/N133),0)</f>
      </c>
      <c r="AC133" s="286">
        <f>IFERROR(-1*(AB133*B$1),0)</f>
      </c>
      <c r="AD133" s="286">
        <f>IFERROR(SUM(AB133:AC133),0)</f>
      </c>
      <c r="AE133" s="286">
        <f>IF(ISBLANK(N133),AD133,AD133*5)</f>
      </c>
      <c r="AF133" s="287">
        <f>SUM(AG133:AZ133)</f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18"/>
      <c r="AR133" s="18"/>
      <c r="AS133" s="18"/>
      <c r="AT133" s="1"/>
      <c r="AU133" s="18"/>
      <c r="AV133" s="18"/>
      <c r="AW133" s="18"/>
      <c r="AX133" s="18"/>
      <c r="AY133" s="18"/>
      <c r="AZ133" s="18"/>
      <c r="BA133" s="18"/>
      <c r="BB133" s="18"/>
      <c r="BC133" s="16"/>
      <c r="BD133" s="16"/>
      <c r="BE133" s="16"/>
      <c r="BF133" s="286">
        <f>Z133-AF133</f>
      </c>
      <c r="BG133" s="321">
        <f>IFERROR(AF133/Y133,0)</f>
      </c>
      <c r="BH133" s="214">
        <f>IFERROR(AF133/X133,0)</f>
      </c>
      <c r="BI133" s="284">
        <f>IFERROR((X133/SUM(X$26:X$40)),0)</f>
      </c>
      <c r="BJ133" s="284">
        <f>IFERROR((BF133/SUM(BF$3:BF330)),0)</f>
      </c>
      <c r="BK133" s="288">
        <f>BF133/'R&amp;H Portfolio'!Q$10</f>
      </c>
      <c r="BL133" s="286">
        <f>BI133*P133</f>
      </c>
      <c r="BM133" s="3"/>
      <c r="BN133" s="3"/>
      <c r="BO133" s="17"/>
    </row>
    <row x14ac:dyDescent="0.25" r="134" customHeight="1" ht="15">
      <c r="A134" s="17"/>
      <c r="B134" s="14"/>
      <c r="C134" s="3"/>
      <c r="D134" s="3"/>
      <c r="E134" s="3"/>
      <c r="F134" s="3"/>
      <c r="G134" s="16"/>
      <c r="H134" s="18"/>
      <c r="I134" s="18"/>
      <c r="J134" s="279">
        <f>H134+I134</f>
      </c>
      <c r="K134" s="1"/>
      <c r="L134" s="123">
        <f>K134*I134</f>
      </c>
      <c r="M134" s="123">
        <f>K134*J134</f>
      </c>
      <c r="N134" s="16"/>
      <c r="O134" s="16"/>
      <c r="P134" s="282">
        <f>IF(ISBLANK(N134),O134/4.3,N134/20)</f>
      </c>
      <c r="Q134" s="1"/>
      <c r="R134" s="3"/>
      <c r="S134" s="3"/>
      <c r="T134" s="256">
        <f>IF(ISBLANK(R134),0,X134)</f>
      </c>
      <c r="U134" s="256">
        <f>IF(ISBLANK(S134),0,X134)</f>
      </c>
      <c r="V134" s="284">
        <f>IFERROR(Q134/K134,0)</f>
      </c>
      <c r="W134" s="123">
        <f>IFERROR(L134*V134,0)</f>
      </c>
      <c r="X134" s="256">
        <f>IFERROR(Q134+W134,0)</f>
      </c>
      <c r="Y134" s="256">
        <f>IFERROR(M134*V134,0)</f>
      </c>
      <c r="Z134" s="256">
        <f>Y134-(Y134*$B$1)</f>
      </c>
      <c r="AA134" s="285">
        <f>IFERROR(Z134/X134,0)</f>
      </c>
      <c r="AB134" s="286">
        <f>IFERROR(IF(ISBLANK(N134),Y134/O134,Y134/N134),0)</f>
      </c>
      <c r="AC134" s="286">
        <f>IFERROR(-1*(AB134*B$1),0)</f>
      </c>
      <c r="AD134" s="286">
        <f>IFERROR(SUM(AB134:AC134),0)</f>
      </c>
      <c r="AE134" s="286">
        <f>IF(ISBLANK(N134),AD134,AD134*5)</f>
      </c>
      <c r="AF134" s="287">
        <f>SUM(AG134:AZ134)</f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18"/>
      <c r="AR134" s="18"/>
      <c r="AS134" s="18"/>
      <c r="AT134" s="1"/>
      <c r="AU134" s="18"/>
      <c r="AV134" s="18"/>
      <c r="AW134" s="18"/>
      <c r="AX134" s="18"/>
      <c r="AY134" s="18"/>
      <c r="AZ134" s="18"/>
      <c r="BA134" s="18"/>
      <c r="BB134" s="18"/>
      <c r="BC134" s="16"/>
      <c r="BD134" s="16"/>
      <c r="BE134" s="16"/>
      <c r="BF134" s="286">
        <f>Z134-AF134</f>
      </c>
      <c r="BG134" s="321">
        <f>IFERROR(AF134/Y134,0)</f>
      </c>
      <c r="BH134" s="214">
        <f>IFERROR(AF134/X134,0)</f>
      </c>
      <c r="BI134" s="284">
        <f>IFERROR((X134/SUM(X$26:X$40)),0)</f>
      </c>
      <c r="BJ134" s="284">
        <f>IFERROR((BF134/SUM(BF$3:BF331)),0)</f>
      </c>
      <c r="BK134" s="288">
        <f>BF134/'R&amp;H Portfolio'!Q$10</f>
      </c>
      <c r="BL134" s="286">
        <f>BI134*P134</f>
      </c>
      <c r="BM134" s="3"/>
      <c r="BN134" s="3"/>
      <c r="BO134" s="17"/>
    </row>
    <row x14ac:dyDescent="0.25" r="135" customHeight="1" ht="15">
      <c r="A135" s="17"/>
      <c r="B135" s="14"/>
      <c r="C135" s="3"/>
      <c r="D135" s="3"/>
      <c r="E135" s="3"/>
      <c r="F135" s="3"/>
      <c r="G135" s="16"/>
      <c r="H135" s="18"/>
      <c r="I135" s="18"/>
      <c r="J135" s="279">
        <f>H135+I135</f>
      </c>
      <c r="K135" s="1"/>
      <c r="L135" s="123">
        <f>K135*I135</f>
      </c>
      <c r="M135" s="123">
        <f>K135*J135</f>
      </c>
      <c r="N135" s="16"/>
      <c r="O135" s="16"/>
      <c r="P135" s="282">
        <f>IF(ISBLANK(N135),O135/4.3,N135/20)</f>
      </c>
      <c r="Q135" s="1"/>
      <c r="R135" s="3"/>
      <c r="S135" s="3"/>
      <c r="T135" s="256">
        <f>IF(ISBLANK(R135),0,X135)</f>
      </c>
      <c r="U135" s="256">
        <f>IF(ISBLANK(S135),0,X135)</f>
      </c>
      <c r="V135" s="284">
        <f>IFERROR(Q135/K135,0)</f>
      </c>
      <c r="W135" s="123">
        <f>IFERROR(L135*V135,0)</f>
      </c>
      <c r="X135" s="256">
        <f>IFERROR(Q135+W135,0)</f>
      </c>
      <c r="Y135" s="256">
        <f>IFERROR(M135*V135,0)</f>
      </c>
      <c r="Z135" s="256">
        <f>Y135-(Y135*$B$1)</f>
      </c>
      <c r="AA135" s="285">
        <f>IFERROR(Z135/X135,0)</f>
      </c>
      <c r="AB135" s="286">
        <f>IFERROR(IF(ISBLANK(N135),Y135/O135,Y135/N135),0)</f>
      </c>
      <c r="AC135" s="286">
        <f>IFERROR(-1*(AB135*B$1),0)</f>
      </c>
      <c r="AD135" s="286">
        <f>IFERROR(SUM(AB135:AC135),0)</f>
      </c>
      <c r="AE135" s="286">
        <f>IF(ISBLANK(N135),AD135,AD135*5)</f>
      </c>
      <c r="AF135" s="287">
        <f>SUM(AG135:AZ135)</f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18"/>
      <c r="AR135" s="18"/>
      <c r="AS135" s="18"/>
      <c r="AT135" s="1"/>
      <c r="AU135" s="18"/>
      <c r="AV135" s="18"/>
      <c r="AW135" s="18"/>
      <c r="AX135" s="18"/>
      <c r="AY135" s="18"/>
      <c r="AZ135" s="18"/>
      <c r="BA135" s="18"/>
      <c r="BB135" s="18"/>
      <c r="BC135" s="16"/>
      <c r="BD135" s="16"/>
      <c r="BE135" s="16"/>
      <c r="BF135" s="286">
        <f>Z135-AF135</f>
      </c>
      <c r="BG135" s="321">
        <f>IFERROR(AF135/Y135,0)</f>
      </c>
      <c r="BH135" s="214">
        <f>IFERROR(AF135/X135,0)</f>
      </c>
      <c r="BI135" s="284">
        <f>IFERROR((X135/SUM(X$26:X$40)),0)</f>
      </c>
      <c r="BJ135" s="284">
        <f>IFERROR((BF135/SUM(BF$3:BF332)),0)</f>
      </c>
      <c r="BK135" s="288">
        <f>BF135/'R&amp;H Portfolio'!Q$10</f>
      </c>
      <c r="BL135" s="286">
        <f>BI135*P135</f>
      </c>
      <c r="BM135" s="3"/>
      <c r="BN135" s="3"/>
      <c r="BO135" s="17"/>
    </row>
    <row x14ac:dyDescent="0.25" r="136" customHeight="1" ht="15">
      <c r="A136" s="17"/>
      <c r="B136" s="14"/>
      <c r="C136" s="3"/>
      <c r="D136" s="3"/>
      <c r="E136" s="3"/>
      <c r="F136" s="3"/>
      <c r="G136" s="16"/>
      <c r="H136" s="18"/>
      <c r="I136" s="18"/>
      <c r="J136" s="279">
        <f>H136+I136</f>
      </c>
      <c r="K136" s="1"/>
      <c r="L136" s="123">
        <f>K136*I136</f>
      </c>
      <c r="M136" s="123">
        <f>K136*J136</f>
      </c>
      <c r="N136" s="16"/>
      <c r="O136" s="16"/>
      <c r="P136" s="282">
        <f>IF(ISBLANK(N136),O136/4.3,N136/20)</f>
      </c>
      <c r="Q136" s="1"/>
      <c r="R136" s="3"/>
      <c r="S136" s="3"/>
      <c r="T136" s="256">
        <f>IF(ISBLANK(R136),0,X136)</f>
      </c>
      <c r="U136" s="256">
        <f>IF(ISBLANK(S136),0,X136)</f>
      </c>
      <c r="V136" s="284">
        <f>IFERROR(Q136/K136,0)</f>
      </c>
      <c r="W136" s="123">
        <f>IFERROR(L136*V136,0)</f>
      </c>
      <c r="X136" s="256">
        <f>IFERROR(Q136+W136,0)</f>
      </c>
      <c r="Y136" s="256">
        <f>IFERROR(M136*V136,0)</f>
      </c>
      <c r="Z136" s="256">
        <f>Y136-(Y136*$B$1)</f>
      </c>
      <c r="AA136" s="285">
        <f>IFERROR(Z136/X136,0)</f>
      </c>
      <c r="AB136" s="286">
        <f>IFERROR(IF(ISBLANK(N136),Y136/O136,Y136/N136),0)</f>
      </c>
      <c r="AC136" s="286">
        <f>IFERROR(-1*(AB136*B$1),0)</f>
      </c>
      <c r="AD136" s="286">
        <f>IFERROR(SUM(AB136:AC136),0)</f>
      </c>
      <c r="AE136" s="286">
        <f>IF(ISBLANK(N136),AD136,AD136*5)</f>
      </c>
      <c r="AF136" s="287">
        <f>SUM(AG136:AZ136)</f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18"/>
      <c r="AR136" s="18"/>
      <c r="AS136" s="18"/>
      <c r="AT136" s="1"/>
      <c r="AU136" s="18"/>
      <c r="AV136" s="18"/>
      <c r="AW136" s="18"/>
      <c r="AX136" s="18"/>
      <c r="AY136" s="18"/>
      <c r="AZ136" s="18"/>
      <c r="BA136" s="18"/>
      <c r="BB136" s="18"/>
      <c r="BC136" s="16"/>
      <c r="BD136" s="16"/>
      <c r="BE136" s="16"/>
      <c r="BF136" s="286">
        <f>Z136-AF136</f>
      </c>
      <c r="BG136" s="321">
        <f>IFERROR(AF136/Y136,0)</f>
      </c>
      <c r="BH136" s="214">
        <f>IFERROR(AF136/X136,0)</f>
      </c>
      <c r="BI136" s="284">
        <f>IFERROR((X136/SUM(X$26:X$40)),0)</f>
      </c>
      <c r="BJ136" s="284">
        <f>IFERROR((BF136/SUM(BF$3:BF333)),0)</f>
      </c>
      <c r="BK136" s="288">
        <f>BF136/'R&amp;H Portfolio'!Q$10</f>
      </c>
      <c r="BL136" s="286">
        <f>BI136*P136</f>
      </c>
      <c r="BM136" s="3"/>
      <c r="BN136" s="3"/>
      <c r="BO136" s="17"/>
    </row>
    <row x14ac:dyDescent="0.25" r="137" customHeight="1" ht="15">
      <c r="A137" s="17"/>
      <c r="B137" s="14"/>
      <c r="C137" s="3"/>
      <c r="D137" s="3"/>
      <c r="E137" s="3"/>
      <c r="F137" s="3"/>
      <c r="G137" s="16"/>
      <c r="H137" s="18"/>
      <c r="I137" s="18"/>
      <c r="J137" s="279">
        <f>H137+I137</f>
      </c>
      <c r="K137" s="1"/>
      <c r="L137" s="123">
        <f>K137*I137</f>
      </c>
      <c r="M137" s="123">
        <f>K137*J137</f>
      </c>
      <c r="N137" s="16"/>
      <c r="O137" s="16"/>
      <c r="P137" s="282">
        <f>IF(ISBLANK(N137),O137/4.3,N137/20)</f>
      </c>
      <c r="Q137" s="1"/>
      <c r="R137" s="3"/>
      <c r="S137" s="3"/>
      <c r="T137" s="256">
        <f>IF(ISBLANK(R137),0,X137)</f>
      </c>
      <c r="U137" s="256">
        <f>IF(ISBLANK(S137),0,X137)</f>
      </c>
      <c r="V137" s="284">
        <f>IFERROR(Q137/K137,0)</f>
      </c>
      <c r="W137" s="123">
        <f>IFERROR(L137*V137,0)</f>
      </c>
      <c r="X137" s="256">
        <f>IFERROR(Q137+W137,0)</f>
      </c>
      <c r="Y137" s="256">
        <f>IFERROR(M137*V137,0)</f>
      </c>
      <c r="Z137" s="256">
        <f>Y137-(Y137*$B$1)</f>
      </c>
      <c r="AA137" s="285">
        <f>IFERROR(Z137/X137,0)</f>
      </c>
      <c r="AB137" s="286">
        <f>IFERROR(IF(ISBLANK(N137),Y137/O137,Y137/N137),0)</f>
      </c>
      <c r="AC137" s="286">
        <f>IFERROR(-1*(AB137*B$1),0)</f>
      </c>
      <c r="AD137" s="286">
        <f>IFERROR(SUM(AB137:AC137),0)</f>
      </c>
      <c r="AE137" s="286">
        <f>IF(ISBLANK(N137),AD137,AD137*5)</f>
      </c>
      <c r="AF137" s="287">
        <f>SUM(AG137:AZ137)</f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18"/>
      <c r="AR137" s="18"/>
      <c r="AS137" s="18"/>
      <c r="AT137" s="1"/>
      <c r="AU137" s="18"/>
      <c r="AV137" s="18"/>
      <c r="AW137" s="18"/>
      <c r="AX137" s="18"/>
      <c r="AY137" s="18"/>
      <c r="AZ137" s="18"/>
      <c r="BA137" s="18"/>
      <c r="BB137" s="18"/>
      <c r="BC137" s="16"/>
      <c r="BD137" s="16"/>
      <c r="BE137" s="16"/>
      <c r="BF137" s="286">
        <f>Z137-AF137</f>
      </c>
      <c r="BG137" s="321">
        <f>IFERROR(AF137/Y137,0)</f>
      </c>
      <c r="BH137" s="214">
        <f>IFERROR(AF137/X137,0)</f>
      </c>
      <c r="BI137" s="284">
        <f>IFERROR((X137/SUM(X$26:X$40)),0)</f>
      </c>
      <c r="BJ137" s="284">
        <f>IFERROR((BF137/SUM(BF$3:BF334)),0)</f>
      </c>
      <c r="BK137" s="288">
        <f>BF137/'R&amp;H Portfolio'!Q$10</f>
      </c>
      <c r="BL137" s="286">
        <f>BI137*P137</f>
      </c>
      <c r="BM137" s="3"/>
      <c r="BN137" s="3"/>
      <c r="BO137" s="17"/>
    </row>
    <row x14ac:dyDescent="0.25" r="138" customHeight="1" ht="15">
      <c r="A138" s="17"/>
      <c r="B138" s="14"/>
      <c r="C138" s="3"/>
      <c r="D138" s="3"/>
      <c r="E138" s="3"/>
      <c r="F138" s="3"/>
      <c r="G138" s="16"/>
      <c r="H138" s="18"/>
      <c r="I138" s="18"/>
      <c r="J138" s="279">
        <f>H138+I138</f>
      </c>
      <c r="K138" s="1"/>
      <c r="L138" s="123">
        <f>K138*I138</f>
      </c>
      <c r="M138" s="123">
        <f>K138*J138</f>
      </c>
      <c r="N138" s="16"/>
      <c r="O138" s="16"/>
      <c r="P138" s="282">
        <f>IF(ISBLANK(N138),O138/4.3,N138/20)</f>
      </c>
      <c r="Q138" s="1"/>
      <c r="R138" s="3"/>
      <c r="S138" s="3"/>
      <c r="T138" s="256">
        <f>IF(ISBLANK(R138),0,X138)</f>
      </c>
      <c r="U138" s="256">
        <f>IF(ISBLANK(S138),0,X138)</f>
      </c>
      <c r="V138" s="284">
        <f>IFERROR(Q138/K138,0)</f>
      </c>
      <c r="W138" s="123">
        <f>IFERROR(L138*V138,0)</f>
      </c>
      <c r="X138" s="256">
        <f>IFERROR(Q138+W138,0)</f>
      </c>
      <c r="Y138" s="256">
        <f>IFERROR(M138*V138,0)</f>
      </c>
      <c r="Z138" s="256">
        <f>Y138-(Y138*$B$1)</f>
      </c>
      <c r="AA138" s="285">
        <f>IFERROR(Z138/X138,0)</f>
      </c>
      <c r="AB138" s="286">
        <f>IFERROR(IF(ISBLANK(N138),Y138/O138,Y138/N138),0)</f>
      </c>
      <c r="AC138" s="286">
        <f>IFERROR(-1*(AB138*B$1),0)</f>
      </c>
      <c r="AD138" s="286">
        <f>IFERROR(SUM(AB138:AC138),0)</f>
      </c>
      <c r="AE138" s="286">
        <f>IF(ISBLANK(N138),AD138,AD138*5)</f>
      </c>
      <c r="AF138" s="287">
        <f>SUM(AG138:AZ138)</f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18"/>
      <c r="AR138" s="18"/>
      <c r="AS138" s="18"/>
      <c r="AT138" s="1"/>
      <c r="AU138" s="18"/>
      <c r="AV138" s="18"/>
      <c r="AW138" s="18"/>
      <c r="AX138" s="18"/>
      <c r="AY138" s="18"/>
      <c r="AZ138" s="18"/>
      <c r="BA138" s="18"/>
      <c r="BB138" s="18"/>
      <c r="BC138" s="16"/>
      <c r="BD138" s="16"/>
      <c r="BE138" s="16"/>
      <c r="BF138" s="286">
        <f>Z138-AF138</f>
      </c>
      <c r="BG138" s="321">
        <f>IFERROR(AF138/Y138,0)</f>
      </c>
      <c r="BH138" s="214">
        <f>IFERROR(AF138/X138,0)</f>
      </c>
      <c r="BI138" s="284">
        <f>IFERROR((X138/SUM(X$26:X$40)),0)</f>
      </c>
      <c r="BJ138" s="284">
        <f>IFERROR((BF138/SUM(BF$3:BF335)),0)</f>
      </c>
      <c r="BK138" s="288">
        <f>BF138/'R&amp;H Portfolio'!Q$10</f>
      </c>
      <c r="BL138" s="286">
        <f>BI138*P138</f>
      </c>
      <c r="BM138" s="3"/>
      <c r="BN138" s="3"/>
      <c r="BO138" s="17"/>
    </row>
    <row x14ac:dyDescent="0.25" r="139" customHeight="1" ht="15">
      <c r="A139" s="17"/>
      <c r="B139" s="14"/>
      <c r="C139" s="3"/>
      <c r="D139" s="3"/>
      <c r="E139" s="3"/>
      <c r="F139" s="3"/>
      <c r="G139" s="16"/>
      <c r="H139" s="18"/>
      <c r="I139" s="18"/>
      <c r="J139" s="279">
        <f>H139+I139</f>
      </c>
      <c r="K139" s="1"/>
      <c r="L139" s="123">
        <f>K139*I139</f>
      </c>
      <c r="M139" s="123">
        <f>K139*J139</f>
      </c>
      <c r="N139" s="16"/>
      <c r="O139" s="16"/>
      <c r="P139" s="282">
        <f>IF(ISBLANK(N139),O139/4.3,N139/20)</f>
      </c>
      <c r="Q139" s="1"/>
      <c r="R139" s="3"/>
      <c r="S139" s="3"/>
      <c r="T139" s="256">
        <f>IF(ISBLANK(R139),0,X139)</f>
      </c>
      <c r="U139" s="256">
        <f>IF(ISBLANK(S139),0,X139)</f>
      </c>
      <c r="V139" s="284">
        <f>IFERROR(Q139/K139,0)</f>
      </c>
      <c r="W139" s="123">
        <f>IFERROR(L139*V139,0)</f>
      </c>
      <c r="X139" s="256">
        <f>IFERROR(Q139+W139,0)</f>
      </c>
      <c r="Y139" s="256">
        <f>IFERROR(M139*V139,0)</f>
      </c>
      <c r="Z139" s="256">
        <f>Y139-(Y139*$B$1)</f>
      </c>
      <c r="AA139" s="285">
        <f>IFERROR(Z139/X139,0)</f>
      </c>
      <c r="AB139" s="286">
        <f>IFERROR(IF(ISBLANK(N139),Y139/O139,Y139/N139),0)</f>
      </c>
      <c r="AC139" s="286">
        <f>IFERROR(-1*(AB139*B$1),0)</f>
      </c>
      <c r="AD139" s="286">
        <f>IFERROR(SUM(AB139:AC139),0)</f>
      </c>
      <c r="AE139" s="286">
        <f>IF(ISBLANK(N139),AD139,AD139*5)</f>
      </c>
      <c r="AF139" s="287">
        <f>SUM(AG139:AZ139)</f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18"/>
      <c r="AR139" s="18"/>
      <c r="AS139" s="18"/>
      <c r="AT139" s="1"/>
      <c r="AU139" s="18"/>
      <c r="AV139" s="18"/>
      <c r="AW139" s="18"/>
      <c r="AX139" s="18"/>
      <c r="AY139" s="18"/>
      <c r="AZ139" s="18"/>
      <c r="BA139" s="18"/>
      <c r="BB139" s="18"/>
      <c r="BC139" s="16"/>
      <c r="BD139" s="16"/>
      <c r="BE139" s="16"/>
      <c r="BF139" s="286">
        <f>Z139-AF139</f>
      </c>
      <c r="BG139" s="321">
        <f>IFERROR(AF139/Y139,0)</f>
      </c>
      <c r="BH139" s="214">
        <f>IFERROR(AF139/X139,0)</f>
      </c>
      <c r="BI139" s="284">
        <f>IFERROR((X139/SUM(X$26:X$40)),0)</f>
      </c>
      <c r="BJ139" s="284">
        <f>IFERROR((BF139/SUM(BF$3:BF336)),0)</f>
      </c>
      <c r="BK139" s="288">
        <f>BF139/'R&amp;H Portfolio'!Q$10</f>
      </c>
      <c r="BL139" s="286">
        <f>BI139*P139</f>
      </c>
      <c r="BM139" s="3"/>
      <c r="BN139" s="3"/>
      <c r="BO139" s="17"/>
    </row>
    <row x14ac:dyDescent="0.25" r="140" customHeight="1" ht="15">
      <c r="A140" s="17"/>
      <c r="B140" s="14"/>
      <c r="C140" s="3"/>
      <c r="D140" s="3"/>
      <c r="E140" s="3"/>
      <c r="F140" s="3"/>
      <c r="G140" s="16"/>
      <c r="H140" s="18"/>
      <c r="I140" s="18"/>
      <c r="J140" s="279">
        <f>H140+I140</f>
      </c>
      <c r="K140" s="1"/>
      <c r="L140" s="123">
        <f>K140*I140</f>
      </c>
      <c r="M140" s="123">
        <f>K140*J140</f>
      </c>
      <c r="N140" s="16"/>
      <c r="O140" s="16"/>
      <c r="P140" s="282">
        <f>IF(ISBLANK(N140),O140/4.3,N140/20)</f>
      </c>
      <c r="Q140" s="1"/>
      <c r="R140" s="3"/>
      <c r="S140" s="3"/>
      <c r="T140" s="256">
        <f>IF(ISBLANK(R140),0,X140)</f>
      </c>
      <c r="U140" s="256">
        <f>IF(ISBLANK(S140),0,X140)</f>
      </c>
      <c r="V140" s="284">
        <f>IFERROR(Q140/K140,0)</f>
      </c>
      <c r="W140" s="123">
        <f>IFERROR(L140*V140,0)</f>
      </c>
      <c r="X140" s="256">
        <f>IFERROR(Q140+W140,0)</f>
      </c>
      <c r="Y140" s="256">
        <f>IFERROR(M140*V140,0)</f>
      </c>
      <c r="Z140" s="256">
        <f>Y140-(Y140*$B$1)</f>
      </c>
      <c r="AA140" s="285">
        <f>IFERROR(Z140/X140,0)</f>
      </c>
      <c r="AB140" s="286">
        <f>IFERROR(IF(ISBLANK(N140),Y140/O140,Y140/N140),0)</f>
      </c>
      <c r="AC140" s="286">
        <f>IFERROR(-1*(AB140*B$1),0)</f>
      </c>
      <c r="AD140" s="286">
        <f>IFERROR(SUM(AB140:AC140),0)</f>
      </c>
      <c r="AE140" s="286">
        <f>IF(ISBLANK(N140),AD140,AD140*5)</f>
      </c>
      <c r="AF140" s="287">
        <f>SUM(AG140:AZ140)</f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18"/>
      <c r="AR140" s="18"/>
      <c r="AS140" s="18"/>
      <c r="AT140" s="1"/>
      <c r="AU140" s="18"/>
      <c r="AV140" s="18"/>
      <c r="AW140" s="18"/>
      <c r="AX140" s="18"/>
      <c r="AY140" s="18"/>
      <c r="AZ140" s="18"/>
      <c r="BA140" s="18"/>
      <c r="BB140" s="18"/>
      <c r="BC140" s="16"/>
      <c r="BD140" s="16"/>
      <c r="BE140" s="16"/>
      <c r="BF140" s="286">
        <f>Z140-AF140</f>
      </c>
      <c r="BG140" s="321">
        <f>IFERROR(AF140/Y140,0)</f>
      </c>
      <c r="BH140" s="214">
        <f>IFERROR(AF140/X140,0)</f>
      </c>
      <c r="BI140" s="284">
        <f>IFERROR((X140/SUM(X$26:X$40)),0)</f>
      </c>
      <c r="BJ140" s="284">
        <f>IFERROR((BF140/SUM(BF$3:BF337)),0)</f>
      </c>
      <c r="BK140" s="288">
        <f>BF140/'R&amp;H Portfolio'!Q$10</f>
      </c>
      <c r="BL140" s="286">
        <f>BI140*P140</f>
      </c>
      <c r="BM140" s="3"/>
      <c r="BN140" s="3"/>
      <c r="BO140" s="17"/>
    </row>
    <row x14ac:dyDescent="0.25" r="141" customHeight="1" ht="15">
      <c r="A141" s="17"/>
      <c r="B141" s="14"/>
      <c r="C141" s="3"/>
      <c r="D141" s="3"/>
      <c r="E141" s="3"/>
      <c r="F141" s="3"/>
      <c r="G141" s="16"/>
      <c r="H141" s="18"/>
      <c r="I141" s="18"/>
      <c r="J141" s="279">
        <f>H141+I141</f>
      </c>
      <c r="K141" s="1"/>
      <c r="L141" s="123">
        <f>K141*I141</f>
      </c>
      <c r="M141" s="123">
        <f>K141*J141</f>
      </c>
      <c r="N141" s="16"/>
      <c r="O141" s="16"/>
      <c r="P141" s="282">
        <f>IF(ISBLANK(N141),O141/4.3,N141/20)</f>
      </c>
      <c r="Q141" s="1"/>
      <c r="R141" s="3"/>
      <c r="S141" s="3"/>
      <c r="T141" s="256">
        <f>IF(ISBLANK(R141),0,X141)</f>
      </c>
      <c r="U141" s="256">
        <f>IF(ISBLANK(S141),0,X141)</f>
      </c>
      <c r="V141" s="284">
        <f>IFERROR(Q141/K141,0)</f>
      </c>
      <c r="W141" s="123">
        <f>IFERROR(L141*V141,0)</f>
      </c>
      <c r="X141" s="256">
        <f>IFERROR(Q141+W141,0)</f>
      </c>
      <c r="Y141" s="256">
        <f>IFERROR(M141*V141,0)</f>
      </c>
      <c r="Z141" s="256">
        <f>Y141-(Y141*$B$1)</f>
      </c>
      <c r="AA141" s="285">
        <f>IFERROR(Z141/X141,0)</f>
      </c>
      <c r="AB141" s="286">
        <f>IFERROR(IF(ISBLANK(N141),Y141/O141,Y141/N141),0)</f>
      </c>
      <c r="AC141" s="286">
        <f>IFERROR(-1*(AB141*B$1),0)</f>
      </c>
      <c r="AD141" s="286">
        <f>IFERROR(SUM(AB141:AC141),0)</f>
      </c>
      <c r="AE141" s="286">
        <f>IF(ISBLANK(N141),AD141,AD141*5)</f>
      </c>
      <c r="AF141" s="287">
        <f>SUM(AG141:AZ141)</f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18"/>
      <c r="AR141" s="18"/>
      <c r="AS141" s="18"/>
      <c r="AT141" s="1"/>
      <c r="AU141" s="18"/>
      <c r="AV141" s="18"/>
      <c r="AW141" s="18"/>
      <c r="AX141" s="18"/>
      <c r="AY141" s="18"/>
      <c r="AZ141" s="18"/>
      <c r="BA141" s="18"/>
      <c r="BB141" s="18"/>
      <c r="BC141" s="16"/>
      <c r="BD141" s="16"/>
      <c r="BE141" s="16"/>
      <c r="BF141" s="286">
        <f>Z141-AF141</f>
      </c>
      <c r="BG141" s="321">
        <f>IFERROR(AF141/Y141,0)</f>
      </c>
      <c r="BH141" s="214">
        <f>IFERROR(AF141/X141,0)</f>
      </c>
      <c r="BI141" s="284">
        <f>IFERROR((X141/SUM(X$26:X$40)),0)</f>
      </c>
      <c r="BJ141" s="284">
        <f>IFERROR((BF141/SUM(BF$3:BF338)),0)</f>
      </c>
      <c r="BK141" s="288">
        <f>BF141/'R&amp;H Portfolio'!Q$10</f>
      </c>
      <c r="BL141" s="286">
        <f>BI141*P141</f>
      </c>
      <c r="BM141" s="3"/>
      <c r="BN141" s="3"/>
      <c r="BO141" s="17"/>
    </row>
    <row x14ac:dyDescent="0.25" r="142" customHeight="1" ht="15">
      <c r="A142" s="17"/>
      <c r="B142" s="14"/>
      <c r="C142" s="3"/>
      <c r="D142" s="3"/>
      <c r="E142" s="3"/>
      <c r="F142" s="3"/>
      <c r="G142" s="16"/>
      <c r="H142" s="18"/>
      <c r="I142" s="18"/>
      <c r="J142" s="279">
        <f>H142+I142</f>
      </c>
      <c r="K142" s="1"/>
      <c r="L142" s="123">
        <f>K142*I142</f>
      </c>
      <c r="M142" s="123">
        <f>K142*J142</f>
      </c>
      <c r="N142" s="16"/>
      <c r="O142" s="16"/>
      <c r="P142" s="282">
        <f>IF(ISBLANK(N142),O142/4.3,N142/20)</f>
      </c>
      <c r="Q142" s="1"/>
      <c r="R142" s="3"/>
      <c r="S142" s="3"/>
      <c r="T142" s="256">
        <f>IF(ISBLANK(R142),0,X142)</f>
      </c>
      <c r="U142" s="256">
        <f>IF(ISBLANK(S142),0,X142)</f>
      </c>
      <c r="V142" s="284">
        <f>IFERROR(Q142/K142,0)</f>
      </c>
      <c r="W142" s="123">
        <f>IFERROR(L142*V142,0)</f>
      </c>
      <c r="X142" s="256">
        <f>IFERROR(Q142+W142,0)</f>
      </c>
      <c r="Y142" s="256">
        <f>IFERROR(M142*V142,0)</f>
      </c>
      <c r="Z142" s="256">
        <f>Y142-(Y142*$B$1)</f>
      </c>
      <c r="AA142" s="285">
        <f>IFERROR(Z142/X142,0)</f>
      </c>
      <c r="AB142" s="286">
        <f>IFERROR(IF(ISBLANK(N142),Y142/O142,Y142/N142),0)</f>
      </c>
      <c r="AC142" s="286">
        <f>IFERROR(-1*(AB142*B$1),0)</f>
      </c>
      <c r="AD142" s="286">
        <f>IFERROR(SUM(AB142:AC142),0)</f>
      </c>
      <c r="AE142" s="286">
        <f>IF(ISBLANK(N142),AD142,AD142*5)</f>
      </c>
      <c r="AF142" s="287">
        <f>SUM(AG142:AZ142)</f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18"/>
      <c r="AR142" s="18"/>
      <c r="AS142" s="18"/>
      <c r="AT142" s="1"/>
      <c r="AU142" s="18"/>
      <c r="AV142" s="18"/>
      <c r="AW142" s="18"/>
      <c r="AX142" s="18"/>
      <c r="AY142" s="18"/>
      <c r="AZ142" s="18"/>
      <c r="BA142" s="18"/>
      <c r="BB142" s="18"/>
      <c r="BC142" s="16"/>
      <c r="BD142" s="16"/>
      <c r="BE142" s="16"/>
      <c r="BF142" s="286">
        <f>Z142-AF142</f>
      </c>
      <c r="BG142" s="321">
        <f>IFERROR(AF142/Y142,0)</f>
      </c>
      <c r="BH142" s="214">
        <f>IFERROR(AF142/X142,0)</f>
      </c>
      <c r="BI142" s="284">
        <f>IFERROR((X142/SUM(X$26:X$40)),0)</f>
      </c>
      <c r="BJ142" s="284">
        <f>IFERROR((BF142/SUM(BF$3:BF339)),0)</f>
      </c>
      <c r="BK142" s="288">
        <f>BF142/'R&amp;H Portfolio'!Q$10</f>
      </c>
      <c r="BL142" s="286">
        <f>BI142*P142</f>
      </c>
      <c r="BM142" s="3"/>
      <c r="BN142" s="3"/>
      <c r="BO142" s="17"/>
    </row>
    <row x14ac:dyDescent="0.25" r="143" customHeight="1" ht="15">
      <c r="A143" s="17"/>
      <c r="B143" s="14"/>
      <c r="C143" s="3"/>
      <c r="D143" s="3"/>
      <c r="E143" s="3"/>
      <c r="F143" s="3"/>
      <c r="G143" s="16"/>
      <c r="H143" s="18"/>
      <c r="I143" s="18"/>
      <c r="J143" s="279">
        <f>H143+I143</f>
      </c>
      <c r="K143" s="1"/>
      <c r="L143" s="123">
        <f>K143*I143</f>
      </c>
      <c r="M143" s="123">
        <f>K143*J143</f>
      </c>
      <c r="N143" s="16"/>
      <c r="O143" s="16"/>
      <c r="P143" s="282">
        <f>IF(ISBLANK(N143),O143/4.3,N143/20)</f>
      </c>
      <c r="Q143" s="1"/>
      <c r="R143" s="3"/>
      <c r="S143" s="3"/>
      <c r="T143" s="256">
        <f>IF(ISBLANK(R143),0,X143)</f>
      </c>
      <c r="U143" s="256">
        <f>IF(ISBLANK(S143),0,X143)</f>
      </c>
      <c r="V143" s="284">
        <f>IFERROR(Q143/K143,0)</f>
      </c>
      <c r="W143" s="123">
        <f>IFERROR(L143*V143,0)</f>
      </c>
      <c r="X143" s="256">
        <f>IFERROR(Q143+W143,0)</f>
      </c>
      <c r="Y143" s="256">
        <f>IFERROR(M143*V143,0)</f>
      </c>
      <c r="Z143" s="256">
        <f>Y143-(Y143*$B$1)</f>
      </c>
      <c r="AA143" s="285">
        <f>IFERROR(Z143/X143,0)</f>
      </c>
      <c r="AB143" s="286">
        <f>IFERROR(IF(ISBLANK(N143),Y143/O143,Y143/N143),0)</f>
      </c>
      <c r="AC143" s="286">
        <f>IFERROR(-1*(AB143*B$1),0)</f>
      </c>
      <c r="AD143" s="286">
        <f>IFERROR(SUM(AB143:AC143),0)</f>
      </c>
      <c r="AE143" s="286">
        <f>IF(ISBLANK(N143),AD143,AD143*5)</f>
      </c>
      <c r="AF143" s="287">
        <f>SUM(AG143:AZ143)</f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18"/>
      <c r="AR143" s="18"/>
      <c r="AS143" s="18"/>
      <c r="AT143" s="1"/>
      <c r="AU143" s="18"/>
      <c r="AV143" s="18"/>
      <c r="AW143" s="18"/>
      <c r="AX143" s="18"/>
      <c r="AY143" s="18"/>
      <c r="AZ143" s="18"/>
      <c r="BA143" s="18"/>
      <c r="BB143" s="18"/>
      <c r="BC143" s="16"/>
      <c r="BD143" s="16"/>
      <c r="BE143" s="16"/>
      <c r="BF143" s="286">
        <f>Z143-AF143</f>
      </c>
      <c r="BG143" s="321">
        <f>IFERROR(AF143/Y143,0)</f>
      </c>
      <c r="BH143" s="214">
        <f>IFERROR(AF143/X143,0)</f>
      </c>
      <c r="BI143" s="284">
        <f>IFERROR((X143/SUM(X$26:X$40)),0)</f>
      </c>
      <c r="BJ143" s="284">
        <f>IFERROR((BF143/SUM(BF$3:BF340)),0)</f>
      </c>
      <c r="BK143" s="288">
        <f>BF143/'R&amp;H Portfolio'!Q$10</f>
      </c>
      <c r="BL143" s="286">
        <f>BI143*P143</f>
      </c>
      <c r="BM143" s="3"/>
      <c r="BN143" s="3"/>
      <c r="BO143" s="17"/>
    </row>
    <row x14ac:dyDescent="0.25" r="144" customHeight="1" ht="15">
      <c r="A144" s="17"/>
      <c r="B144" s="14"/>
      <c r="C144" s="3"/>
      <c r="D144" s="3"/>
      <c r="E144" s="3"/>
      <c r="F144" s="3"/>
      <c r="G144" s="16"/>
      <c r="H144" s="18"/>
      <c r="I144" s="18"/>
      <c r="J144" s="279">
        <f>H144+I144</f>
      </c>
      <c r="K144" s="1"/>
      <c r="L144" s="123">
        <f>K144*I144</f>
      </c>
      <c r="M144" s="123">
        <f>K144*J144</f>
      </c>
      <c r="N144" s="16"/>
      <c r="O144" s="16"/>
      <c r="P144" s="282">
        <f>IF(ISBLANK(N144),O144/4.3,N144/20)</f>
      </c>
      <c r="Q144" s="1"/>
      <c r="R144" s="3"/>
      <c r="S144" s="3"/>
      <c r="T144" s="256">
        <f>IF(ISBLANK(R144),0,X144)</f>
      </c>
      <c r="U144" s="256">
        <f>IF(ISBLANK(S144),0,X144)</f>
      </c>
      <c r="V144" s="284">
        <f>IFERROR(Q144/K144,0)</f>
      </c>
      <c r="W144" s="123">
        <f>IFERROR(L144*V144,0)</f>
      </c>
      <c r="X144" s="256">
        <f>IFERROR(Q144+W144,0)</f>
      </c>
      <c r="Y144" s="256">
        <f>IFERROR(M144*V144,0)</f>
      </c>
      <c r="Z144" s="256">
        <f>Y144-(Y144*$B$1)</f>
      </c>
      <c r="AA144" s="285">
        <f>IFERROR(Z144/X144,0)</f>
      </c>
      <c r="AB144" s="286">
        <f>IFERROR(IF(ISBLANK(N144),Y144/O144,Y144/N144),0)</f>
      </c>
      <c r="AC144" s="286">
        <f>IFERROR(-1*(AB144*B$1),0)</f>
      </c>
      <c r="AD144" s="286">
        <f>IFERROR(SUM(AB144:AC144),0)</f>
      </c>
      <c r="AE144" s="286">
        <f>IF(ISBLANK(N144),AD144,AD144*5)</f>
      </c>
      <c r="AF144" s="287">
        <f>SUM(AG144:AZ144)</f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18"/>
      <c r="AR144" s="18"/>
      <c r="AS144" s="18"/>
      <c r="AT144" s="1"/>
      <c r="AU144" s="18"/>
      <c r="AV144" s="18"/>
      <c r="AW144" s="18"/>
      <c r="AX144" s="18"/>
      <c r="AY144" s="18"/>
      <c r="AZ144" s="18"/>
      <c r="BA144" s="18"/>
      <c r="BB144" s="18"/>
      <c r="BC144" s="16"/>
      <c r="BD144" s="16"/>
      <c r="BE144" s="16"/>
      <c r="BF144" s="286">
        <f>Z144-AF144</f>
      </c>
      <c r="BG144" s="321">
        <f>IFERROR(AF144/Y144,0)</f>
      </c>
      <c r="BH144" s="214">
        <f>IFERROR(AF144/X144,0)</f>
      </c>
      <c r="BI144" s="284">
        <f>IFERROR((X144/SUM(X$26:X$40)),0)</f>
      </c>
      <c r="BJ144" s="284">
        <f>IFERROR((BF144/SUM(BF$3:BF341)),0)</f>
      </c>
      <c r="BK144" s="288">
        <f>BF144/'R&amp;H Portfolio'!Q$10</f>
      </c>
      <c r="BL144" s="286">
        <f>BI144*P144</f>
      </c>
      <c r="BM144" s="3"/>
      <c r="BN144" s="3"/>
      <c r="BO144" s="17"/>
    </row>
    <row x14ac:dyDescent="0.25" r="145" customHeight="1" ht="15">
      <c r="A145" s="17"/>
      <c r="B145" s="14"/>
      <c r="C145" s="3"/>
      <c r="D145" s="3"/>
      <c r="E145" s="3"/>
      <c r="F145" s="3"/>
      <c r="G145" s="16"/>
      <c r="H145" s="18"/>
      <c r="I145" s="18"/>
      <c r="J145" s="279">
        <f>H145+I145</f>
      </c>
      <c r="K145" s="1"/>
      <c r="L145" s="123">
        <f>K145*I145</f>
      </c>
      <c r="M145" s="123">
        <f>K145*J145</f>
      </c>
      <c r="N145" s="16"/>
      <c r="O145" s="16"/>
      <c r="P145" s="282">
        <f>IF(ISBLANK(N145),O145/4.3,N145/20)</f>
      </c>
      <c r="Q145" s="1"/>
      <c r="R145" s="3"/>
      <c r="S145" s="3"/>
      <c r="T145" s="256">
        <f>IF(ISBLANK(R145),0,X145)</f>
      </c>
      <c r="U145" s="256">
        <f>IF(ISBLANK(S145),0,X145)</f>
      </c>
      <c r="V145" s="284">
        <f>IFERROR(Q145/K145,0)</f>
      </c>
      <c r="W145" s="123">
        <f>IFERROR(L145*V145,0)</f>
      </c>
      <c r="X145" s="256">
        <f>IFERROR(Q145+W145,0)</f>
      </c>
      <c r="Y145" s="256">
        <f>IFERROR(M145*V145,0)</f>
      </c>
      <c r="Z145" s="256">
        <f>Y145-(Y145*$B$1)</f>
      </c>
      <c r="AA145" s="285">
        <f>IFERROR(Z145/X145,0)</f>
      </c>
      <c r="AB145" s="286">
        <f>IFERROR(IF(ISBLANK(N145),Y145/O145,Y145/N145),0)</f>
      </c>
      <c r="AC145" s="286">
        <f>IFERROR(-1*(AB145*B$1),0)</f>
      </c>
      <c r="AD145" s="286">
        <f>IFERROR(SUM(AB145:AC145),0)</f>
      </c>
      <c r="AE145" s="286">
        <f>IF(ISBLANK(N145),AD145,AD145*5)</f>
      </c>
      <c r="AF145" s="287">
        <f>SUM(AG145:AZ145)</f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18"/>
      <c r="AR145" s="18"/>
      <c r="AS145" s="18"/>
      <c r="AT145" s="1"/>
      <c r="AU145" s="18"/>
      <c r="AV145" s="18"/>
      <c r="AW145" s="18"/>
      <c r="AX145" s="18"/>
      <c r="AY145" s="18"/>
      <c r="AZ145" s="18"/>
      <c r="BA145" s="18"/>
      <c r="BB145" s="18"/>
      <c r="BC145" s="16"/>
      <c r="BD145" s="16"/>
      <c r="BE145" s="16"/>
      <c r="BF145" s="286">
        <f>Z145-AF145</f>
      </c>
      <c r="BG145" s="321">
        <f>IFERROR(AF145/Y145,0)</f>
      </c>
      <c r="BH145" s="214">
        <f>IFERROR(AF145/X145,0)</f>
      </c>
      <c r="BI145" s="284">
        <f>IFERROR((X145/SUM(X$26:X$40)),0)</f>
      </c>
      <c r="BJ145" s="284">
        <f>IFERROR((BF145/SUM(BF$3:BF342)),0)</f>
      </c>
      <c r="BK145" s="288">
        <f>BF145/'R&amp;H Portfolio'!Q$10</f>
      </c>
      <c r="BL145" s="286">
        <f>BI145*P145</f>
      </c>
      <c r="BM145" s="3"/>
      <c r="BN145" s="3"/>
      <c r="BO145" s="17"/>
    </row>
    <row x14ac:dyDescent="0.25" r="146" customHeight="1" ht="15">
      <c r="A146" s="17"/>
      <c r="B146" s="14"/>
      <c r="C146" s="3"/>
      <c r="D146" s="3"/>
      <c r="E146" s="3"/>
      <c r="F146" s="3"/>
      <c r="G146" s="16"/>
      <c r="H146" s="18"/>
      <c r="I146" s="18"/>
      <c r="J146" s="279">
        <f>H146+I146</f>
      </c>
      <c r="K146" s="1"/>
      <c r="L146" s="123">
        <f>K146*I146</f>
      </c>
      <c r="M146" s="123">
        <f>K146*J146</f>
      </c>
      <c r="N146" s="16"/>
      <c r="O146" s="16"/>
      <c r="P146" s="282">
        <f>IF(ISBLANK(N146),O146/4.3,N146/20)</f>
      </c>
      <c r="Q146" s="1"/>
      <c r="R146" s="3"/>
      <c r="S146" s="3"/>
      <c r="T146" s="256">
        <f>IF(ISBLANK(R146),0,X146)</f>
      </c>
      <c r="U146" s="256">
        <f>IF(ISBLANK(S146),0,X146)</f>
      </c>
      <c r="V146" s="284">
        <f>IFERROR(Q146/K146,0)</f>
      </c>
      <c r="W146" s="123">
        <f>IFERROR(L146*V146,0)</f>
      </c>
      <c r="X146" s="256">
        <f>IFERROR(Q146+W146,0)</f>
      </c>
      <c r="Y146" s="256">
        <f>IFERROR(M146*V146,0)</f>
      </c>
      <c r="Z146" s="256">
        <f>Y146-(Y146*$B$1)</f>
      </c>
      <c r="AA146" s="285">
        <f>IFERROR(Z146/X146,0)</f>
      </c>
      <c r="AB146" s="286">
        <f>IFERROR(IF(ISBLANK(N146),Y146/O146,Y146/N146),0)</f>
      </c>
      <c r="AC146" s="286">
        <f>IFERROR(-1*(AB146*B$1),0)</f>
      </c>
      <c r="AD146" s="286">
        <f>IFERROR(SUM(AB146:AC146),0)</f>
      </c>
      <c r="AE146" s="286">
        <f>IF(ISBLANK(N146),AD146,AD146*5)</f>
      </c>
      <c r="AF146" s="287">
        <f>SUM(AG146:AZ146)</f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8"/>
      <c r="AR146" s="18"/>
      <c r="AS146" s="18"/>
      <c r="AT146" s="1"/>
      <c r="AU146" s="18"/>
      <c r="AV146" s="18"/>
      <c r="AW146" s="18"/>
      <c r="AX146" s="18"/>
      <c r="AY146" s="18"/>
      <c r="AZ146" s="18"/>
      <c r="BA146" s="18"/>
      <c r="BB146" s="18"/>
      <c r="BC146" s="16"/>
      <c r="BD146" s="16"/>
      <c r="BE146" s="16"/>
      <c r="BF146" s="286">
        <f>Z146-AF146</f>
      </c>
      <c r="BG146" s="321">
        <f>IFERROR(AF146/Y146,0)</f>
      </c>
      <c r="BH146" s="214">
        <f>IFERROR(AF146/X146,0)</f>
      </c>
      <c r="BI146" s="284">
        <f>IFERROR((X146/SUM(X$26:X$40)),0)</f>
      </c>
      <c r="BJ146" s="284">
        <f>IFERROR((BF146/SUM(BF$3:BF343)),0)</f>
      </c>
      <c r="BK146" s="288">
        <f>BF146/'R&amp;H Portfolio'!Q$10</f>
      </c>
      <c r="BL146" s="286">
        <f>BI146*P146</f>
      </c>
      <c r="BM146" s="3"/>
      <c r="BN146" s="3"/>
      <c r="BO146" s="17"/>
    </row>
    <row x14ac:dyDescent="0.25" r="147" customHeight="1" ht="15">
      <c r="A147" s="17"/>
      <c r="B147" s="14"/>
      <c r="C147" s="3"/>
      <c r="D147" s="3"/>
      <c r="E147" s="3"/>
      <c r="F147" s="3"/>
      <c r="G147" s="16"/>
      <c r="H147" s="18"/>
      <c r="I147" s="18"/>
      <c r="J147" s="279">
        <f>H147+I147</f>
      </c>
      <c r="K147" s="1"/>
      <c r="L147" s="123">
        <f>K147*I147</f>
      </c>
      <c r="M147" s="123">
        <f>K147*J147</f>
      </c>
      <c r="N147" s="16"/>
      <c r="O147" s="16"/>
      <c r="P147" s="282">
        <f>IF(ISBLANK(N147),O147/4.3,N147/20)</f>
      </c>
      <c r="Q147" s="1"/>
      <c r="R147" s="3"/>
      <c r="S147" s="3"/>
      <c r="T147" s="256">
        <f>IF(ISBLANK(R147),0,X147)</f>
      </c>
      <c r="U147" s="256">
        <f>IF(ISBLANK(S147),0,X147)</f>
      </c>
      <c r="V147" s="284">
        <f>IFERROR(Q147/K147,0)</f>
      </c>
      <c r="W147" s="123">
        <f>IFERROR(L147*V147,0)</f>
      </c>
      <c r="X147" s="256">
        <f>IFERROR(Q147+W147,0)</f>
      </c>
      <c r="Y147" s="256">
        <f>IFERROR(M147*V147,0)</f>
      </c>
      <c r="Z147" s="256">
        <f>Y147-(Y147*$B$1)</f>
      </c>
      <c r="AA147" s="285">
        <f>IFERROR(Z147/X147,0)</f>
      </c>
      <c r="AB147" s="286">
        <f>IFERROR(IF(ISBLANK(N147),Y147/O147,Y147/N147),0)</f>
      </c>
      <c r="AC147" s="286">
        <f>IFERROR(-1*(AB147*B$1),0)</f>
      </c>
      <c r="AD147" s="286">
        <f>IFERROR(SUM(AB147:AC147),0)</f>
      </c>
      <c r="AE147" s="286">
        <f>IF(ISBLANK(N147),AD147,AD147*5)</f>
      </c>
      <c r="AF147" s="287">
        <f>SUM(AG147:AZ147)</f>
      </c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8"/>
      <c r="AR147" s="18"/>
      <c r="AS147" s="18"/>
      <c r="AT147" s="1"/>
      <c r="AU147" s="18"/>
      <c r="AV147" s="18"/>
      <c r="AW147" s="18"/>
      <c r="AX147" s="18"/>
      <c r="AY147" s="18"/>
      <c r="AZ147" s="18"/>
      <c r="BA147" s="18"/>
      <c r="BB147" s="18"/>
      <c r="BC147" s="16"/>
      <c r="BD147" s="16"/>
      <c r="BE147" s="16"/>
      <c r="BF147" s="286">
        <f>Z147-AF147</f>
      </c>
      <c r="BG147" s="321">
        <f>IFERROR(AF147/Y147,0)</f>
      </c>
      <c r="BH147" s="214">
        <f>IFERROR(AF147/X147,0)</f>
      </c>
      <c r="BI147" s="284">
        <f>IFERROR((X147/SUM(X$26:X$40)),0)</f>
      </c>
      <c r="BJ147" s="284">
        <f>IFERROR((BF147/SUM(BF$3:BF344)),0)</f>
      </c>
      <c r="BK147" s="288">
        <f>BF147/'R&amp;H Portfolio'!Q$10</f>
      </c>
      <c r="BL147" s="286">
        <f>BI147*P147</f>
      </c>
      <c r="BM147" s="3"/>
      <c r="BN147" s="3"/>
      <c r="BO147" s="17"/>
    </row>
    <row x14ac:dyDescent="0.25" r="148" customHeight="1" ht="15">
      <c r="A148" s="17"/>
      <c r="B148" s="14"/>
      <c r="C148" s="3"/>
      <c r="D148" s="3"/>
      <c r="E148" s="3"/>
      <c r="F148" s="3"/>
      <c r="G148" s="16"/>
      <c r="H148" s="18"/>
      <c r="I148" s="18"/>
      <c r="J148" s="279">
        <f>H148+I148</f>
      </c>
      <c r="K148" s="1"/>
      <c r="L148" s="123">
        <f>K148*I148</f>
      </c>
      <c r="M148" s="123">
        <f>K148*J148</f>
      </c>
      <c r="N148" s="16"/>
      <c r="O148" s="16"/>
      <c r="P148" s="282">
        <f>IF(ISBLANK(N148),O148/4.3,N148/20)</f>
      </c>
      <c r="Q148" s="1"/>
      <c r="R148" s="3"/>
      <c r="S148" s="3"/>
      <c r="T148" s="256">
        <f>IF(ISBLANK(R148),0,X148)</f>
      </c>
      <c r="U148" s="256">
        <f>IF(ISBLANK(S148),0,X148)</f>
      </c>
      <c r="V148" s="284">
        <f>IFERROR(Q148/K148,0)</f>
      </c>
      <c r="W148" s="123">
        <f>IFERROR(L148*V148,0)</f>
      </c>
      <c r="X148" s="256">
        <f>IFERROR(Q148+W148,0)</f>
      </c>
      <c r="Y148" s="256">
        <f>IFERROR(M148*V148,0)</f>
      </c>
      <c r="Z148" s="256">
        <f>Y148-(Y148*$B$1)</f>
      </c>
      <c r="AA148" s="285">
        <f>IFERROR(Z148/X148,0)</f>
      </c>
      <c r="AB148" s="286">
        <f>IFERROR(IF(ISBLANK(N148),Y148/O148,Y148/N148),0)</f>
      </c>
      <c r="AC148" s="286">
        <f>IFERROR(-1*(AB148*B$1),0)</f>
      </c>
      <c r="AD148" s="286">
        <f>IFERROR(SUM(AB148:AC148),0)</f>
      </c>
      <c r="AE148" s="286">
        <f>IF(ISBLANK(N148),AD148,AD148*5)</f>
      </c>
      <c r="AF148" s="287">
        <f>SUM(AG148:AZ148)</f>
      </c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8"/>
      <c r="AR148" s="18"/>
      <c r="AS148" s="18"/>
      <c r="AT148" s="1"/>
      <c r="AU148" s="18"/>
      <c r="AV148" s="18"/>
      <c r="AW148" s="18"/>
      <c r="AX148" s="18"/>
      <c r="AY148" s="18"/>
      <c r="AZ148" s="18"/>
      <c r="BA148" s="18"/>
      <c r="BB148" s="18"/>
      <c r="BC148" s="16"/>
      <c r="BD148" s="16"/>
      <c r="BE148" s="16"/>
      <c r="BF148" s="286">
        <f>Z148-AF148</f>
      </c>
      <c r="BG148" s="321">
        <f>IFERROR(AF148/Y148,0)</f>
      </c>
      <c r="BH148" s="214">
        <f>IFERROR(AF148/X148,0)</f>
      </c>
      <c r="BI148" s="284">
        <f>IFERROR((X148/SUM(X$26:X$40)),0)</f>
      </c>
      <c r="BJ148" s="284">
        <f>IFERROR((BF148/SUM(BF$3:BF345)),0)</f>
      </c>
      <c r="BK148" s="288">
        <f>BF148/'R&amp;H Portfolio'!Q$10</f>
      </c>
      <c r="BL148" s="286">
        <f>BI148*P148</f>
      </c>
      <c r="BM148" s="3"/>
      <c r="BN148" s="3"/>
      <c r="BO148" s="17"/>
    </row>
    <row x14ac:dyDescent="0.25" r="149" customHeight="1" ht="15">
      <c r="A149" s="17"/>
      <c r="B149" s="14"/>
      <c r="C149" s="3"/>
      <c r="D149" s="3"/>
      <c r="E149" s="3"/>
      <c r="F149" s="3"/>
      <c r="G149" s="16"/>
      <c r="H149" s="18"/>
      <c r="I149" s="18"/>
      <c r="J149" s="279">
        <f>H149+I149</f>
      </c>
      <c r="K149" s="1"/>
      <c r="L149" s="123">
        <f>K149*I149</f>
      </c>
      <c r="M149" s="123">
        <f>K149*J149</f>
      </c>
      <c r="N149" s="16"/>
      <c r="O149" s="16"/>
      <c r="P149" s="282">
        <f>IF(ISBLANK(N149),O149/4.3,N149/20)</f>
      </c>
      <c r="Q149" s="1"/>
      <c r="R149" s="3"/>
      <c r="S149" s="3"/>
      <c r="T149" s="256">
        <f>IF(ISBLANK(R149),0,X149)</f>
      </c>
      <c r="U149" s="256">
        <f>IF(ISBLANK(S149),0,X149)</f>
      </c>
      <c r="V149" s="284">
        <f>IFERROR(Q149/K149,0)</f>
      </c>
      <c r="W149" s="123">
        <f>IFERROR(L149*V149,0)</f>
      </c>
      <c r="X149" s="256">
        <f>IFERROR(Q149+W149,0)</f>
      </c>
      <c r="Y149" s="256">
        <f>IFERROR(M149*V149,0)</f>
      </c>
      <c r="Z149" s="256">
        <f>Y149-(Y149*$B$1)</f>
      </c>
      <c r="AA149" s="285">
        <f>IFERROR(Z149/X149,0)</f>
      </c>
      <c r="AB149" s="286">
        <f>IFERROR(IF(ISBLANK(N149),Y149/O149,Y149/N149),0)</f>
      </c>
      <c r="AC149" s="286">
        <f>IFERROR(-1*(AB149*B$1),0)</f>
      </c>
      <c r="AD149" s="286">
        <f>IFERROR(SUM(AB149:AC149),0)</f>
      </c>
      <c r="AE149" s="286">
        <f>IF(ISBLANK(N149),AD149,AD149*5)</f>
      </c>
      <c r="AF149" s="287">
        <f>SUM(AG149:AZ149)</f>
      </c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8"/>
      <c r="AR149" s="18"/>
      <c r="AS149" s="18"/>
      <c r="AT149" s="1"/>
      <c r="AU149" s="18"/>
      <c r="AV149" s="18"/>
      <c r="AW149" s="18"/>
      <c r="AX149" s="18"/>
      <c r="AY149" s="18"/>
      <c r="AZ149" s="18"/>
      <c r="BA149" s="18"/>
      <c r="BB149" s="18"/>
      <c r="BC149" s="16"/>
      <c r="BD149" s="16"/>
      <c r="BE149" s="16"/>
      <c r="BF149" s="286">
        <f>Z149-AF149</f>
      </c>
      <c r="BG149" s="321">
        <f>IFERROR(AF149/Y149,0)</f>
      </c>
      <c r="BH149" s="214">
        <f>IFERROR(AF149/X149,0)</f>
      </c>
      <c r="BI149" s="284">
        <f>IFERROR((X149/SUM(X$26:X$40)),0)</f>
      </c>
      <c r="BJ149" s="284">
        <f>IFERROR((BF149/SUM(BF$3:BF346)),0)</f>
      </c>
      <c r="BK149" s="288">
        <f>BF149/'R&amp;H Portfolio'!Q$10</f>
      </c>
      <c r="BL149" s="286">
        <f>BI149*P149</f>
      </c>
      <c r="BM149" s="3"/>
      <c r="BN149" s="3"/>
      <c r="BO149" s="17"/>
    </row>
    <row x14ac:dyDescent="0.25" r="150" customHeight="1" ht="15">
      <c r="A150" s="17"/>
      <c r="B150" s="14"/>
      <c r="C150" s="3"/>
      <c r="D150" s="3"/>
      <c r="E150" s="3"/>
      <c r="F150" s="3"/>
      <c r="G150" s="16"/>
      <c r="H150" s="18"/>
      <c r="I150" s="18"/>
      <c r="J150" s="279">
        <f>H150+I150</f>
      </c>
      <c r="K150" s="1"/>
      <c r="L150" s="123">
        <f>K150*I150</f>
      </c>
      <c r="M150" s="123">
        <f>K150*J150</f>
      </c>
      <c r="N150" s="16"/>
      <c r="O150" s="16"/>
      <c r="P150" s="282">
        <f>IF(ISBLANK(N150),O150/4.3,N150/20)</f>
      </c>
      <c r="Q150" s="1"/>
      <c r="R150" s="3"/>
      <c r="S150" s="3"/>
      <c r="T150" s="256">
        <f>IF(ISBLANK(R150),0,X150)</f>
      </c>
      <c r="U150" s="256">
        <f>IF(ISBLANK(S150),0,X150)</f>
      </c>
      <c r="V150" s="284">
        <f>IFERROR(Q150/K150,0)</f>
      </c>
      <c r="W150" s="123">
        <f>IFERROR(L150*V150,0)</f>
      </c>
      <c r="X150" s="256">
        <f>IFERROR(Q150+W150,0)</f>
      </c>
      <c r="Y150" s="256">
        <f>IFERROR(M150*V150,0)</f>
      </c>
      <c r="Z150" s="256">
        <f>Y150-(Y150*$B$1)</f>
      </c>
      <c r="AA150" s="285">
        <f>IFERROR(Z150/X150,0)</f>
      </c>
      <c r="AB150" s="286">
        <f>IFERROR(IF(ISBLANK(N150),Y150/O150,Y150/N150),0)</f>
      </c>
      <c r="AC150" s="286">
        <f>IFERROR(-1*(AB150*B$1),0)</f>
      </c>
      <c r="AD150" s="286">
        <f>IFERROR(SUM(AB150:AC150),0)</f>
      </c>
      <c r="AE150" s="286">
        <f>IF(ISBLANK(N150),AD150,AD150*5)</f>
      </c>
      <c r="AF150" s="287">
        <f>SUM(AG150:AZ150)</f>
      </c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8"/>
      <c r="AR150" s="18"/>
      <c r="AS150" s="18"/>
      <c r="AT150" s="1"/>
      <c r="AU150" s="18"/>
      <c r="AV150" s="18"/>
      <c r="AW150" s="18"/>
      <c r="AX150" s="18"/>
      <c r="AY150" s="18"/>
      <c r="AZ150" s="18"/>
      <c r="BA150" s="18"/>
      <c r="BB150" s="18"/>
      <c r="BC150" s="16"/>
      <c r="BD150" s="16"/>
      <c r="BE150" s="16"/>
      <c r="BF150" s="286">
        <f>Z150-AF150</f>
      </c>
      <c r="BG150" s="321">
        <f>IFERROR(AF150/Y150,0)</f>
      </c>
      <c r="BH150" s="214">
        <f>IFERROR(AF150/X150,0)</f>
      </c>
      <c r="BI150" s="284">
        <f>IFERROR((X150/SUM(X$26:X$40)),0)</f>
      </c>
      <c r="BJ150" s="284">
        <f>IFERROR((BF150/SUM(BF$3:BF347)),0)</f>
      </c>
      <c r="BK150" s="288">
        <f>BF150/'R&amp;H Portfolio'!Q$10</f>
      </c>
      <c r="BL150" s="286">
        <f>BI150*P150</f>
      </c>
      <c r="BM150" s="3"/>
      <c r="BN150" s="3"/>
      <c r="BO150" s="17"/>
    </row>
    <row x14ac:dyDescent="0.25" r="151" customHeight="1" ht="15">
      <c r="A151" s="17"/>
      <c r="B151" s="14"/>
      <c r="C151" s="3"/>
      <c r="D151" s="3"/>
      <c r="E151" s="3"/>
      <c r="F151" s="3"/>
      <c r="G151" s="16"/>
      <c r="H151" s="18"/>
      <c r="I151" s="18"/>
      <c r="J151" s="279">
        <f>H151+I151</f>
      </c>
      <c r="K151" s="1"/>
      <c r="L151" s="123">
        <f>K151*I151</f>
      </c>
      <c r="M151" s="123">
        <f>K151*J151</f>
      </c>
      <c r="N151" s="16"/>
      <c r="O151" s="16"/>
      <c r="P151" s="282">
        <f>IF(ISBLANK(N151),O151/4.3,N151/20)</f>
      </c>
      <c r="Q151" s="1"/>
      <c r="R151" s="3"/>
      <c r="S151" s="3"/>
      <c r="T151" s="256">
        <f>IF(ISBLANK(R151),0,X151)</f>
      </c>
      <c r="U151" s="256">
        <f>IF(ISBLANK(S151),0,X151)</f>
      </c>
      <c r="V151" s="284">
        <f>IFERROR(Q151/K151,0)</f>
      </c>
      <c r="W151" s="123">
        <f>IFERROR(L151*V151,0)</f>
      </c>
      <c r="X151" s="256">
        <f>IFERROR(Q151+W151,0)</f>
      </c>
      <c r="Y151" s="256">
        <f>IFERROR(M151*V151,0)</f>
      </c>
      <c r="Z151" s="256">
        <f>Y151-(Y151*$B$1)</f>
      </c>
      <c r="AA151" s="285">
        <f>IFERROR(Z151/X151,0)</f>
      </c>
      <c r="AB151" s="286">
        <f>IFERROR(IF(ISBLANK(N151),Y151/O151,Y151/N151),0)</f>
      </c>
      <c r="AC151" s="286">
        <f>IFERROR(-1*(AB151*B$1),0)</f>
      </c>
      <c r="AD151" s="286">
        <f>IFERROR(SUM(AB151:AC151),0)</f>
      </c>
      <c r="AE151" s="286">
        <f>IF(ISBLANK(N151),AD151,AD151*5)</f>
      </c>
      <c r="AF151" s="287">
        <f>SUM(AG151:AZ151)</f>
      </c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18"/>
      <c r="AR151" s="18"/>
      <c r="AS151" s="18"/>
      <c r="AT151" s="1"/>
      <c r="AU151" s="18"/>
      <c r="AV151" s="18"/>
      <c r="AW151" s="18"/>
      <c r="AX151" s="18"/>
      <c r="AY151" s="18"/>
      <c r="AZ151" s="18"/>
      <c r="BA151" s="18"/>
      <c r="BB151" s="18"/>
      <c r="BC151" s="16"/>
      <c r="BD151" s="16"/>
      <c r="BE151" s="16"/>
      <c r="BF151" s="286">
        <f>Z151-AF151</f>
      </c>
      <c r="BG151" s="321">
        <f>IFERROR(AF151/Y151,0)</f>
      </c>
      <c r="BH151" s="214">
        <f>IFERROR(AF151/X151,0)</f>
      </c>
      <c r="BI151" s="284">
        <f>IFERROR((X151/SUM(X$26:X$40)),0)</f>
      </c>
      <c r="BJ151" s="284">
        <f>IFERROR((BF151/SUM(BF$3:BF348)),0)</f>
      </c>
      <c r="BK151" s="288">
        <f>BF151/'R&amp;H Portfolio'!Q$10</f>
      </c>
      <c r="BL151" s="286">
        <f>BI151*P151</f>
      </c>
      <c r="BM151" s="3"/>
      <c r="BN151" s="3"/>
      <c r="BO151" s="17"/>
    </row>
    <row x14ac:dyDescent="0.25" r="152" customHeight="1" ht="15">
      <c r="A152" s="17"/>
      <c r="B152" s="14"/>
      <c r="C152" s="3"/>
      <c r="D152" s="3"/>
      <c r="E152" s="3"/>
      <c r="F152" s="3"/>
      <c r="G152" s="16"/>
      <c r="H152" s="18"/>
      <c r="I152" s="18"/>
      <c r="J152" s="279">
        <f>H152+I152</f>
      </c>
      <c r="K152" s="1"/>
      <c r="L152" s="123">
        <f>K152*I152</f>
      </c>
      <c r="M152" s="123">
        <f>K152*J152</f>
      </c>
      <c r="N152" s="16"/>
      <c r="O152" s="16"/>
      <c r="P152" s="282">
        <f>IF(ISBLANK(N152),O152/4.3,N152/20)</f>
      </c>
      <c r="Q152" s="1"/>
      <c r="R152" s="3"/>
      <c r="S152" s="3"/>
      <c r="T152" s="256">
        <f>IF(ISBLANK(R152),0,X152)</f>
      </c>
      <c r="U152" s="256">
        <f>IF(ISBLANK(S152),0,X152)</f>
      </c>
      <c r="V152" s="284">
        <f>IFERROR(Q152/K152,0)</f>
      </c>
      <c r="W152" s="123">
        <f>IFERROR(L152*V152,0)</f>
      </c>
      <c r="X152" s="256">
        <f>IFERROR(Q152+W152,0)</f>
      </c>
      <c r="Y152" s="256">
        <f>IFERROR(M152*V152,0)</f>
      </c>
      <c r="Z152" s="256">
        <f>Y152-(Y152*$B$1)</f>
      </c>
      <c r="AA152" s="285">
        <f>IFERROR(Z152/X152,0)</f>
      </c>
      <c r="AB152" s="286">
        <f>IFERROR(IF(ISBLANK(N152),Y152/O152,Y152/N152),0)</f>
      </c>
      <c r="AC152" s="286">
        <f>IFERROR(-1*(AB152*B$1),0)</f>
      </c>
      <c r="AD152" s="286">
        <f>IFERROR(SUM(AB152:AC152),0)</f>
      </c>
      <c r="AE152" s="286">
        <f>IF(ISBLANK(N152),AD152,AD152*5)</f>
      </c>
      <c r="AF152" s="287">
        <f>SUM(AG152:AZ152)</f>
      </c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18"/>
      <c r="AR152" s="18"/>
      <c r="AS152" s="18"/>
      <c r="AT152" s="1"/>
      <c r="AU152" s="18"/>
      <c r="AV152" s="18"/>
      <c r="AW152" s="18"/>
      <c r="AX152" s="18"/>
      <c r="AY152" s="18"/>
      <c r="AZ152" s="18"/>
      <c r="BA152" s="18"/>
      <c r="BB152" s="18"/>
      <c r="BC152" s="16"/>
      <c r="BD152" s="16"/>
      <c r="BE152" s="16"/>
      <c r="BF152" s="286">
        <f>Z152-AF152</f>
      </c>
      <c r="BG152" s="321">
        <f>IFERROR(AF152/Y152,0)</f>
      </c>
      <c r="BH152" s="214">
        <f>IFERROR(AF152/X152,0)</f>
      </c>
      <c r="BI152" s="284">
        <f>IFERROR((X152/SUM(X$26:X$40)),0)</f>
      </c>
      <c r="BJ152" s="284">
        <f>IFERROR((BF152/SUM(BF$3:BF349)),0)</f>
      </c>
      <c r="BK152" s="288">
        <f>BF152/'R&amp;H Portfolio'!Q$10</f>
      </c>
      <c r="BL152" s="286">
        <f>BI152*P152</f>
      </c>
      <c r="BM152" s="3"/>
      <c r="BN152" s="3"/>
      <c r="BO152" s="17"/>
    </row>
    <row x14ac:dyDescent="0.25" r="153" customHeight="1" ht="15">
      <c r="A153" s="17"/>
      <c r="B153" s="14"/>
      <c r="C153" s="3"/>
      <c r="D153" s="3"/>
      <c r="E153" s="3"/>
      <c r="F153" s="3"/>
      <c r="G153" s="16"/>
      <c r="H153" s="18"/>
      <c r="I153" s="18"/>
      <c r="J153" s="279">
        <f>H153+I153</f>
      </c>
      <c r="K153" s="1"/>
      <c r="L153" s="123">
        <f>K153*I153</f>
      </c>
      <c r="M153" s="123">
        <f>K153*J153</f>
      </c>
      <c r="N153" s="16"/>
      <c r="O153" s="16"/>
      <c r="P153" s="282">
        <f>IF(ISBLANK(N153),O153/4.3,N153/20)</f>
      </c>
      <c r="Q153" s="1"/>
      <c r="R153" s="3"/>
      <c r="S153" s="3"/>
      <c r="T153" s="256">
        <f>IF(ISBLANK(R153),0,X153)</f>
      </c>
      <c r="U153" s="256">
        <f>IF(ISBLANK(S153),0,X153)</f>
      </c>
      <c r="V153" s="284">
        <f>IFERROR(Q153/K153,0)</f>
      </c>
      <c r="W153" s="123">
        <f>IFERROR(L153*V153,0)</f>
      </c>
      <c r="X153" s="256">
        <f>IFERROR(Q153+W153,0)</f>
      </c>
      <c r="Y153" s="256">
        <f>IFERROR(M153*V153,0)</f>
      </c>
      <c r="Z153" s="256">
        <f>Y153-(Y153*$B$1)</f>
      </c>
      <c r="AA153" s="285">
        <f>IFERROR(Z153/X153,0)</f>
      </c>
      <c r="AB153" s="286">
        <f>IFERROR(IF(ISBLANK(N153),Y153/O153,Y153/N153),0)</f>
      </c>
      <c r="AC153" s="286">
        <f>IFERROR(-1*(AB153*B$1),0)</f>
      </c>
      <c r="AD153" s="286">
        <f>IFERROR(SUM(AB153:AC153),0)</f>
      </c>
      <c r="AE153" s="286">
        <f>IF(ISBLANK(N153),AD153,AD153*5)</f>
      </c>
      <c r="AF153" s="287">
        <f>SUM(AG153:AZ153)</f>
      </c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8"/>
      <c r="AR153" s="18"/>
      <c r="AS153" s="18"/>
      <c r="AT153" s="1"/>
      <c r="AU153" s="18"/>
      <c r="AV153" s="18"/>
      <c r="AW153" s="18"/>
      <c r="AX153" s="18"/>
      <c r="AY153" s="18"/>
      <c r="AZ153" s="18"/>
      <c r="BA153" s="18"/>
      <c r="BB153" s="18"/>
      <c r="BC153" s="16"/>
      <c r="BD153" s="16"/>
      <c r="BE153" s="16"/>
      <c r="BF153" s="286">
        <f>Z153-AF153</f>
      </c>
      <c r="BG153" s="321">
        <f>IFERROR(AF153/Y153,0)</f>
      </c>
      <c r="BH153" s="214">
        <f>IFERROR(AF153/X153,0)</f>
      </c>
      <c r="BI153" s="284">
        <f>IFERROR((X153/SUM(X$26:X$40)),0)</f>
      </c>
      <c r="BJ153" s="284">
        <f>IFERROR((BF153/SUM(BF$3:BF350)),0)</f>
      </c>
      <c r="BK153" s="288">
        <f>BF153/'R&amp;H Portfolio'!Q$10</f>
      </c>
      <c r="BL153" s="286">
        <f>BI153*P153</f>
      </c>
      <c r="BM153" s="3"/>
      <c r="BN153" s="3"/>
      <c r="BO153" s="17"/>
    </row>
    <row x14ac:dyDescent="0.25" r="154" customHeight="1" ht="15">
      <c r="A154" s="17"/>
      <c r="B154" s="14"/>
      <c r="C154" s="3"/>
      <c r="D154" s="3"/>
      <c r="E154" s="3"/>
      <c r="F154" s="3"/>
      <c r="G154" s="16"/>
      <c r="H154" s="18"/>
      <c r="I154" s="18"/>
      <c r="J154" s="279">
        <f>H154+I154</f>
      </c>
      <c r="K154" s="1"/>
      <c r="L154" s="123">
        <f>K154*I154</f>
      </c>
      <c r="M154" s="123">
        <f>K154*J154</f>
      </c>
      <c r="N154" s="16"/>
      <c r="O154" s="16"/>
      <c r="P154" s="282">
        <f>IF(ISBLANK(N154),O154/4.3,N154/20)</f>
      </c>
      <c r="Q154" s="1"/>
      <c r="R154" s="3"/>
      <c r="S154" s="3"/>
      <c r="T154" s="256">
        <f>IF(ISBLANK(R154),0,X154)</f>
      </c>
      <c r="U154" s="256">
        <f>IF(ISBLANK(S154),0,X154)</f>
      </c>
      <c r="V154" s="284">
        <f>IFERROR(Q154/K154,0)</f>
      </c>
      <c r="W154" s="123">
        <f>IFERROR(L154*V154,0)</f>
      </c>
      <c r="X154" s="256">
        <f>IFERROR(Q154+W154,0)</f>
      </c>
      <c r="Y154" s="256">
        <f>IFERROR(M154*V154,0)</f>
      </c>
      <c r="Z154" s="256">
        <f>Y154-(Y154*$B$1)</f>
      </c>
      <c r="AA154" s="285">
        <f>IFERROR(Z154/X154,0)</f>
      </c>
      <c r="AB154" s="286">
        <f>IFERROR(IF(ISBLANK(N154),Y154/O154,Y154/N154),0)</f>
      </c>
      <c r="AC154" s="286">
        <f>IFERROR(-1*(AB154*B$1),0)</f>
      </c>
      <c r="AD154" s="286">
        <f>IFERROR(SUM(AB154:AC154),0)</f>
      </c>
      <c r="AE154" s="286">
        <f>IF(ISBLANK(N154),AD154,AD154*5)</f>
      </c>
      <c r="AF154" s="287">
        <f>SUM(AG154:AZ154)</f>
      </c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18"/>
      <c r="AR154" s="18"/>
      <c r="AS154" s="18"/>
      <c r="AT154" s="1"/>
      <c r="AU154" s="18"/>
      <c r="AV154" s="18"/>
      <c r="AW154" s="18"/>
      <c r="AX154" s="18"/>
      <c r="AY154" s="18"/>
      <c r="AZ154" s="18"/>
      <c r="BA154" s="18"/>
      <c r="BB154" s="18"/>
      <c r="BC154" s="16"/>
      <c r="BD154" s="16"/>
      <c r="BE154" s="16"/>
      <c r="BF154" s="286">
        <f>Z154-AF154</f>
      </c>
      <c r="BG154" s="321">
        <f>IFERROR(AF154/Y154,0)</f>
      </c>
      <c r="BH154" s="214">
        <f>IFERROR(AF154/X154,0)</f>
      </c>
      <c r="BI154" s="284">
        <f>IFERROR((X154/SUM(X$26:X$40)),0)</f>
      </c>
      <c r="BJ154" s="284">
        <f>IFERROR((BF154/SUM(BF$3:BF351)),0)</f>
      </c>
      <c r="BK154" s="288">
        <f>BF154/'R&amp;H Portfolio'!Q$10</f>
      </c>
      <c r="BL154" s="286">
        <f>BI154*P154</f>
      </c>
      <c r="BM154" s="3"/>
      <c r="BN154" s="3"/>
      <c r="BO154" s="17"/>
    </row>
    <row x14ac:dyDescent="0.25" r="155" customHeight="1" ht="15">
      <c r="A155" s="17"/>
      <c r="B155" s="14"/>
      <c r="C155" s="3"/>
      <c r="D155" s="3"/>
      <c r="E155" s="3"/>
      <c r="F155" s="3"/>
      <c r="G155" s="16"/>
      <c r="H155" s="18"/>
      <c r="I155" s="18"/>
      <c r="J155" s="279">
        <f>H155+I155</f>
      </c>
      <c r="K155" s="1"/>
      <c r="L155" s="123">
        <f>K155*I155</f>
      </c>
      <c r="M155" s="123">
        <f>K155*J155</f>
      </c>
      <c r="N155" s="16"/>
      <c r="O155" s="16"/>
      <c r="P155" s="282">
        <f>IF(ISBLANK(N155),O155/4.3,N155/20)</f>
      </c>
      <c r="Q155" s="1"/>
      <c r="R155" s="3"/>
      <c r="S155" s="3"/>
      <c r="T155" s="256">
        <f>IF(ISBLANK(R155),0,X155)</f>
      </c>
      <c r="U155" s="256">
        <f>IF(ISBLANK(S155),0,X155)</f>
      </c>
      <c r="V155" s="284">
        <f>IFERROR(Q155/K155,0)</f>
      </c>
      <c r="W155" s="123">
        <f>IFERROR(L155*V155,0)</f>
      </c>
      <c r="X155" s="256">
        <f>IFERROR(Q155+W155,0)</f>
      </c>
      <c r="Y155" s="256">
        <f>IFERROR(M155*V155,0)</f>
      </c>
      <c r="Z155" s="256">
        <f>Y155-(Y155*$B$1)</f>
      </c>
      <c r="AA155" s="285">
        <f>IFERROR(Z155/X155,0)</f>
      </c>
      <c r="AB155" s="286">
        <f>IFERROR(IF(ISBLANK(N155),Y155/O155,Y155/N155),0)</f>
      </c>
      <c r="AC155" s="286">
        <f>IFERROR(-1*(AB155*B$1),0)</f>
      </c>
      <c r="AD155" s="286">
        <f>IFERROR(SUM(AB155:AC155),0)</f>
      </c>
      <c r="AE155" s="286">
        <f>IF(ISBLANK(N155),AD155,AD155*5)</f>
      </c>
      <c r="AF155" s="287">
        <f>SUM(AG155:AZ155)</f>
      </c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8"/>
      <c r="AR155" s="18"/>
      <c r="AS155" s="18"/>
      <c r="AT155" s="1"/>
      <c r="AU155" s="18"/>
      <c r="AV155" s="18"/>
      <c r="AW155" s="18"/>
      <c r="AX155" s="18"/>
      <c r="AY155" s="18"/>
      <c r="AZ155" s="18"/>
      <c r="BA155" s="18"/>
      <c r="BB155" s="18"/>
      <c r="BC155" s="16"/>
      <c r="BD155" s="16"/>
      <c r="BE155" s="16"/>
      <c r="BF155" s="286">
        <f>Z155-AF155</f>
      </c>
      <c r="BG155" s="321">
        <f>IFERROR(AF155/Y155,0)</f>
      </c>
      <c r="BH155" s="214">
        <f>IFERROR(AF155/X155,0)</f>
      </c>
      <c r="BI155" s="284">
        <f>IFERROR((X155/SUM(X$26:X$40)),0)</f>
      </c>
      <c r="BJ155" s="284">
        <f>IFERROR((BF155/SUM(BF$3:BF352)),0)</f>
      </c>
      <c r="BK155" s="288">
        <f>BF155/'R&amp;H Portfolio'!Q$10</f>
      </c>
      <c r="BL155" s="286">
        <f>BI155*P155</f>
      </c>
      <c r="BM155" s="3"/>
      <c r="BN155" s="3"/>
      <c r="BO155" s="17"/>
    </row>
    <row x14ac:dyDescent="0.25" r="156" customHeight="1" ht="15">
      <c r="A156" s="17"/>
      <c r="B156" s="14"/>
      <c r="C156" s="3"/>
      <c r="D156" s="3"/>
      <c r="E156" s="3"/>
      <c r="F156" s="3"/>
      <c r="G156" s="16"/>
      <c r="H156" s="18"/>
      <c r="I156" s="18"/>
      <c r="J156" s="279">
        <f>H156+I156</f>
      </c>
      <c r="K156" s="1"/>
      <c r="L156" s="123">
        <f>K156*I156</f>
      </c>
      <c r="M156" s="123">
        <f>K156*J156</f>
      </c>
      <c r="N156" s="16"/>
      <c r="O156" s="16"/>
      <c r="P156" s="282">
        <f>IF(ISBLANK(N156),O156/4.3,N156/20)</f>
      </c>
      <c r="Q156" s="1"/>
      <c r="R156" s="3"/>
      <c r="S156" s="3"/>
      <c r="T156" s="256">
        <f>IF(ISBLANK(R156),0,X156)</f>
      </c>
      <c r="U156" s="256">
        <f>IF(ISBLANK(S156),0,X156)</f>
      </c>
      <c r="V156" s="284">
        <f>IFERROR(Q156/K156,0)</f>
      </c>
      <c r="W156" s="123">
        <f>IFERROR(L156*V156,0)</f>
      </c>
      <c r="X156" s="256">
        <f>IFERROR(Q156+W156,0)</f>
      </c>
      <c r="Y156" s="256">
        <f>IFERROR(M156*V156,0)</f>
      </c>
      <c r="Z156" s="256">
        <f>Y156-(Y156*$B$1)</f>
      </c>
      <c r="AA156" s="285">
        <f>IFERROR(Z156/X156,0)</f>
      </c>
      <c r="AB156" s="286">
        <f>IFERROR(IF(ISBLANK(N156),Y156/O156,Y156/N156),0)</f>
      </c>
      <c r="AC156" s="286">
        <f>IFERROR(-1*(AB156*B$1),0)</f>
      </c>
      <c r="AD156" s="286">
        <f>IFERROR(SUM(AB156:AC156),0)</f>
      </c>
      <c r="AE156" s="286">
        <f>IF(ISBLANK(N156),AD156,AD156*5)</f>
      </c>
      <c r="AF156" s="287">
        <f>SUM(AG156:AZ156)</f>
      </c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18"/>
      <c r="AR156" s="18"/>
      <c r="AS156" s="18"/>
      <c r="AT156" s="1"/>
      <c r="AU156" s="18"/>
      <c r="AV156" s="18"/>
      <c r="AW156" s="18"/>
      <c r="AX156" s="18"/>
      <c r="AY156" s="18"/>
      <c r="AZ156" s="18"/>
      <c r="BA156" s="18"/>
      <c r="BB156" s="18"/>
      <c r="BC156" s="16"/>
      <c r="BD156" s="16"/>
      <c r="BE156" s="16"/>
      <c r="BF156" s="286">
        <f>Z156-AF156</f>
      </c>
      <c r="BG156" s="321">
        <f>IFERROR(AF156/Y156,0)</f>
      </c>
      <c r="BH156" s="214">
        <f>IFERROR(AF156/X156,0)</f>
      </c>
      <c r="BI156" s="284">
        <f>IFERROR((X156/SUM(X$26:X$40)),0)</f>
      </c>
      <c r="BJ156" s="284">
        <f>IFERROR((BF156/SUM(BF$3:BF353)),0)</f>
      </c>
      <c r="BK156" s="288">
        <f>BF156/'R&amp;H Portfolio'!Q$10</f>
      </c>
      <c r="BL156" s="286">
        <f>BI156*P156</f>
      </c>
      <c r="BM156" s="3"/>
      <c r="BN156" s="3"/>
      <c r="BO156" s="17"/>
    </row>
    <row x14ac:dyDescent="0.25" r="157" customHeight="1" ht="15">
      <c r="A157" s="17"/>
      <c r="B157" s="14"/>
      <c r="C157" s="3"/>
      <c r="D157" s="3"/>
      <c r="E157" s="3"/>
      <c r="F157" s="3"/>
      <c r="G157" s="16"/>
      <c r="H157" s="18"/>
      <c r="I157" s="18"/>
      <c r="J157" s="279">
        <f>H157+I157</f>
      </c>
      <c r="K157" s="1"/>
      <c r="L157" s="123">
        <f>K157*I157</f>
      </c>
      <c r="M157" s="123">
        <f>K157*J157</f>
      </c>
      <c r="N157" s="16"/>
      <c r="O157" s="16"/>
      <c r="P157" s="282">
        <f>IF(ISBLANK(N157),O157/4.3,N157/20)</f>
      </c>
      <c r="Q157" s="1"/>
      <c r="R157" s="3"/>
      <c r="S157" s="3"/>
      <c r="T157" s="256">
        <f>IF(ISBLANK(R157),0,X157)</f>
      </c>
      <c r="U157" s="256">
        <f>IF(ISBLANK(S157),0,X157)</f>
      </c>
      <c r="V157" s="284">
        <f>IFERROR(Q157/K157,0)</f>
      </c>
      <c r="W157" s="123">
        <f>IFERROR(L157*V157,0)</f>
      </c>
      <c r="X157" s="256">
        <f>IFERROR(Q157+W157,0)</f>
      </c>
      <c r="Y157" s="256">
        <f>IFERROR(M157*V157,0)</f>
      </c>
      <c r="Z157" s="256">
        <f>Y157-(Y157*$B$1)</f>
      </c>
      <c r="AA157" s="285">
        <f>IFERROR(Z157/X157,0)</f>
      </c>
      <c r="AB157" s="286">
        <f>IFERROR(IF(ISBLANK(N157),Y157/O157,Y157/N157),0)</f>
      </c>
      <c r="AC157" s="286">
        <f>IFERROR(-1*(AB157*B$1),0)</f>
      </c>
      <c r="AD157" s="286">
        <f>IFERROR(SUM(AB157:AC157),0)</f>
      </c>
      <c r="AE157" s="286">
        <f>IF(ISBLANK(N157),AD157,AD157*5)</f>
      </c>
      <c r="AF157" s="287">
        <f>SUM(AG157:AZ157)</f>
      </c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18"/>
      <c r="AR157" s="18"/>
      <c r="AS157" s="18"/>
      <c r="AT157" s="1"/>
      <c r="AU157" s="18"/>
      <c r="AV157" s="18"/>
      <c r="AW157" s="18"/>
      <c r="AX157" s="18"/>
      <c r="AY157" s="18"/>
      <c r="AZ157" s="18"/>
      <c r="BA157" s="18"/>
      <c r="BB157" s="18"/>
      <c r="BC157" s="16"/>
      <c r="BD157" s="16"/>
      <c r="BE157" s="16"/>
      <c r="BF157" s="286">
        <f>Z157-AF157</f>
      </c>
      <c r="BG157" s="321">
        <f>IFERROR(AF157/Y157,0)</f>
      </c>
      <c r="BH157" s="214">
        <f>IFERROR(AF157/X157,0)</f>
      </c>
      <c r="BI157" s="284">
        <f>IFERROR((X157/SUM(X$26:X$40)),0)</f>
      </c>
      <c r="BJ157" s="284">
        <f>IFERROR((BF157/SUM(BF$3:BF354)),0)</f>
      </c>
      <c r="BK157" s="288">
        <f>BF157/'R&amp;H Portfolio'!Q$10</f>
      </c>
      <c r="BL157" s="286">
        <f>BI157*P157</f>
      </c>
      <c r="BM157" s="3"/>
      <c r="BN157" s="3"/>
      <c r="BO157" s="17"/>
    </row>
    <row x14ac:dyDescent="0.25" r="158" customHeight="1" ht="15">
      <c r="A158" s="17"/>
      <c r="B158" s="14"/>
      <c r="C158" s="3"/>
      <c r="D158" s="3"/>
      <c r="E158" s="3"/>
      <c r="F158" s="3"/>
      <c r="G158" s="16"/>
      <c r="H158" s="18"/>
      <c r="I158" s="18"/>
      <c r="J158" s="279">
        <f>H158+I158</f>
      </c>
      <c r="K158" s="1"/>
      <c r="L158" s="123">
        <f>K158*I158</f>
      </c>
      <c r="M158" s="123">
        <f>K158*J158</f>
      </c>
      <c r="N158" s="16"/>
      <c r="O158" s="16"/>
      <c r="P158" s="282">
        <f>IF(ISBLANK(N158),O158/4.3,N158/20)</f>
      </c>
      <c r="Q158" s="1"/>
      <c r="R158" s="3"/>
      <c r="S158" s="3"/>
      <c r="T158" s="256">
        <f>IF(ISBLANK(R158),0,X158)</f>
      </c>
      <c r="U158" s="256">
        <f>IF(ISBLANK(S158),0,X158)</f>
      </c>
      <c r="V158" s="284">
        <f>IFERROR(Q158/K158,0)</f>
      </c>
      <c r="W158" s="123">
        <f>IFERROR(L158*V158,0)</f>
      </c>
      <c r="X158" s="256">
        <f>IFERROR(Q158+W158,0)</f>
      </c>
      <c r="Y158" s="256">
        <f>IFERROR(M158*V158,0)</f>
      </c>
      <c r="Z158" s="256">
        <f>Y158-(Y158*$B$1)</f>
      </c>
      <c r="AA158" s="285">
        <f>IFERROR(Z158/X158,0)</f>
      </c>
      <c r="AB158" s="286">
        <f>IFERROR(IF(ISBLANK(N158),Y158/O158,Y158/N158),0)</f>
      </c>
      <c r="AC158" s="286">
        <f>IFERROR(-1*(AB158*B$1),0)</f>
      </c>
      <c r="AD158" s="286">
        <f>IFERROR(SUM(AB158:AC158),0)</f>
      </c>
      <c r="AE158" s="286">
        <f>IF(ISBLANK(N158),AD158,AD158*5)</f>
      </c>
      <c r="AF158" s="287">
        <f>SUM(AG158:AZ158)</f>
      </c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8"/>
      <c r="AR158" s="18"/>
      <c r="AS158" s="18"/>
      <c r="AT158" s="1"/>
      <c r="AU158" s="18"/>
      <c r="AV158" s="18"/>
      <c r="AW158" s="18"/>
      <c r="AX158" s="18"/>
      <c r="AY158" s="18"/>
      <c r="AZ158" s="18"/>
      <c r="BA158" s="18"/>
      <c r="BB158" s="18"/>
      <c r="BC158" s="16"/>
      <c r="BD158" s="16"/>
      <c r="BE158" s="16"/>
      <c r="BF158" s="286">
        <f>Z158-AF158</f>
      </c>
      <c r="BG158" s="321">
        <f>IFERROR(AF158/Y158,0)</f>
      </c>
      <c r="BH158" s="214">
        <f>IFERROR(AF158/X158,0)</f>
      </c>
      <c r="BI158" s="284">
        <f>IFERROR((X158/SUM(X$26:X$40)),0)</f>
      </c>
      <c r="BJ158" s="284">
        <f>IFERROR((BF158/SUM(BF$3:BF355)),0)</f>
      </c>
      <c r="BK158" s="288">
        <f>BF158/'R&amp;H Portfolio'!Q$10</f>
      </c>
      <c r="BL158" s="286">
        <f>BI158*P158</f>
      </c>
      <c r="BM158" s="3"/>
      <c r="BN158" s="3"/>
      <c r="BO158" s="17"/>
    </row>
    <row x14ac:dyDescent="0.25" r="159" customHeight="1" ht="15">
      <c r="A159" s="17"/>
      <c r="B159" s="14"/>
      <c r="C159" s="3"/>
      <c r="D159" s="3"/>
      <c r="E159" s="3"/>
      <c r="F159" s="3"/>
      <c r="G159" s="16"/>
      <c r="H159" s="18"/>
      <c r="I159" s="18"/>
      <c r="J159" s="279">
        <f>H159+I159</f>
      </c>
      <c r="K159" s="1"/>
      <c r="L159" s="123">
        <f>K159*I159</f>
      </c>
      <c r="M159" s="123">
        <f>K159*J159</f>
      </c>
      <c r="N159" s="16"/>
      <c r="O159" s="16"/>
      <c r="P159" s="282">
        <f>IF(ISBLANK(N159),O159/4.3,N159/20)</f>
      </c>
      <c r="Q159" s="1"/>
      <c r="R159" s="3"/>
      <c r="S159" s="3"/>
      <c r="T159" s="256">
        <f>IF(ISBLANK(R159),0,X159)</f>
      </c>
      <c r="U159" s="256">
        <f>IF(ISBLANK(S159),0,X159)</f>
      </c>
      <c r="V159" s="284">
        <f>IFERROR(Q159/K159,0)</f>
      </c>
      <c r="W159" s="123">
        <f>IFERROR(L159*V159,0)</f>
      </c>
      <c r="X159" s="256">
        <f>IFERROR(Q159+W159,0)</f>
      </c>
      <c r="Y159" s="256">
        <f>IFERROR(M159*V159,0)</f>
      </c>
      <c r="Z159" s="256">
        <f>Y159-(Y159*$B$1)</f>
      </c>
      <c r="AA159" s="285">
        <f>IFERROR(Z159/X159,0)</f>
      </c>
      <c r="AB159" s="286">
        <f>IFERROR(IF(ISBLANK(N159),Y159/O159,Y159/N159),0)</f>
      </c>
      <c r="AC159" s="286">
        <f>IFERROR(-1*(AB159*B$1),0)</f>
      </c>
      <c r="AD159" s="286">
        <f>IFERROR(SUM(AB159:AC159),0)</f>
      </c>
      <c r="AE159" s="286">
        <f>IF(ISBLANK(N159),AD159,AD159*5)</f>
      </c>
      <c r="AF159" s="287">
        <f>SUM(AG159:AZ159)</f>
      </c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18"/>
      <c r="AR159" s="18"/>
      <c r="AS159" s="18"/>
      <c r="AT159" s="1"/>
      <c r="AU159" s="18"/>
      <c r="AV159" s="18"/>
      <c r="AW159" s="18"/>
      <c r="AX159" s="18"/>
      <c r="AY159" s="18"/>
      <c r="AZ159" s="18"/>
      <c r="BA159" s="18"/>
      <c r="BB159" s="18"/>
      <c r="BC159" s="16"/>
      <c r="BD159" s="16"/>
      <c r="BE159" s="16"/>
      <c r="BF159" s="286">
        <f>Z159-AF159</f>
      </c>
      <c r="BG159" s="321">
        <f>IFERROR(AF159/Y159,0)</f>
      </c>
      <c r="BH159" s="214">
        <f>IFERROR(AF159/X159,0)</f>
      </c>
      <c r="BI159" s="284">
        <f>IFERROR((X159/SUM(X$26:X$40)),0)</f>
      </c>
      <c r="BJ159" s="284">
        <f>IFERROR((BF159/SUM(BF$3:BF356)),0)</f>
      </c>
      <c r="BK159" s="288">
        <f>BF159/'R&amp;H Portfolio'!Q$10</f>
      </c>
      <c r="BL159" s="286">
        <f>BI159*P159</f>
      </c>
      <c r="BM159" s="3"/>
      <c r="BN159" s="3"/>
      <c r="BO159" s="17"/>
    </row>
    <row x14ac:dyDescent="0.25" r="160" customHeight="1" ht="15">
      <c r="A160" s="17"/>
      <c r="B160" s="14"/>
      <c r="C160" s="3"/>
      <c r="D160" s="3"/>
      <c r="E160" s="3"/>
      <c r="F160" s="3"/>
      <c r="G160" s="16"/>
      <c r="H160" s="18"/>
      <c r="I160" s="18"/>
      <c r="J160" s="279">
        <f>H160+I160</f>
      </c>
      <c r="K160" s="1"/>
      <c r="L160" s="123">
        <f>K160*I160</f>
      </c>
      <c r="M160" s="123">
        <f>K160*J160</f>
      </c>
      <c r="N160" s="16"/>
      <c r="O160" s="16"/>
      <c r="P160" s="282">
        <f>IF(ISBLANK(N160),O160/4.3,N160/20)</f>
      </c>
      <c r="Q160" s="1"/>
      <c r="R160" s="3"/>
      <c r="S160" s="3"/>
      <c r="T160" s="256">
        <f>IF(ISBLANK(R160),0,X160)</f>
      </c>
      <c r="U160" s="256">
        <f>IF(ISBLANK(S160),0,X160)</f>
      </c>
      <c r="V160" s="284">
        <f>IFERROR(Q160/K160,0)</f>
      </c>
      <c r="W160" s="123">
        <f>IFERROR(L160*V160,0)</f>
      </c>
      <c r="X160" s="256">
        <f>IFERROR(Q160+W160,0)</f>
      </c>
      <c r="Y160" s="256">
        <f>IFERROR(M160*V160,0)</f>
      </c>
      <c r="Z160" s="256">
        <f>Y160-(Y160*$B$1)</f>
      </c>
      <c r="AA160" s="285">
        <f>IFERROR(Z160/X160,0)</f>
      </c>
      <c r="AB160" s="286">
        <f>IFERROR(IF(ISBLANK(N160),Y160/O160,Y160/N160),0)</f>
      </c>
      <c r="AC160" s="286">
        <f>IFERROR(-1*(AB160*B$1),0)</f>
      </c>
      <c r="AD160" s="286">
        <f>IFERROR(SUM(AB160:AC160),0)</f>
      </c>
      <c r="AE160" s="286">
        <f>IF(ISBLANK(N160),AD160,AD160*5)</f>
      </c>
      <c r="AF160" s="287">
        <f>SUM(AG160:AZ160)</f>
      </c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18"/>
      <c r="AR160" s="18"/>
      <c r="AS160" s="18"/>
      <c r="AT160" s="1"/>
      <c r="AU160" s="18"/>
      <c r="AV160" s="18"/>
      <c r="AW160" s="18"/>
      <c r="AX160" s="18"/>
      <c r="AY160" s="18"/>
      <c r="AZ160" s="18"/>
      <c r="BA160" s="18"/>
      <c r="BB160" s="18"/>
      <c r="BC160" s="16"/>
      <c r="BD160" s="16"/>
      <c r="BE160" s="16"/>
      <c r="BF160" s="286">
        <f>Z160-AF160</f>
      </c>
      <c r="BG160" s="321">
        <f>IFERROR(AF160/Y160,0)</f>
      </c>
      <c r="BH160" s="214">
        <f>IFERROR(AF160/X160,0)</f>
      </c>
      <c r="BI160" s="284">
        <f>IFERROR((X160/SUM(X$26:X$40)),0)</f>
      </c>
      <c r="BJ160" s="284">
        <f>IFERROR((BF160/SUM(BF$3:BF357)),0)</f>
      </c>
      <c r="BK160" s="288">
        <f>BF160/'R&amp;H Portfolio'!Q$10</f>
      </c>
      <c r="BL160" s="286">
        <f>BI160*P160</f>
      </c>
      <c r="BM160" s="3"/>
      <c r="BN160" s="3"/>
      <c r="BO160" s="17"/>
    </row>
    <row x14ac:dyDescent="0.25" r="161" customHeight="1" ht="15">
      <c r="A161" s="17"/>
      <c r="B161" s="14"/>
      <c r="C161" s="3"/>
      <c r="D161" s="3"/>
      <c r="E161" s="3"/>
      <c r="F161" s="3"/>
      <c r="G161" s="16"/>
      <c r="H161" s="18"/>
      <c r="I161" s="18"/>
      <c r="J161" s="279">
        <f>H161+I161</f>
      </c>
      <c r="K161" s="1"/>
      <c r="L161" s="123">
        <f>K161*I161</f>
      </c>
      <c r="M161" s="123">
        <f>K161*J161</f>
      </c>
      <c r="N161" s="16"/>
      <c r="O161" s="16"/>
      <c r="P161" s="282">
        <f>IF(ISBLANK(N161),O161/4.3,N161/20)</f>
      </c>
      <c r="Q161" s="1"/>
      <c r="R161" s="3"/>
      <c r="S161" s="3"/>
      <c r="T161" s="256">
        <f>IF(ISBLANK(R161),0,X161)</f>
      </c>
      <c r="U161" s="256">
        <f>IF(ISBLANK(S161),0,X161)</f>
      </c>
      <c r="V161" s="284">
        <f>IFERROR(Q161/K161,0)</f>
      </c>
      <c r="W161" s="123">
        <f>IFERROR(L161*V161,0)</f>
      </c>
      <c r="X161" s="256">
        <f>IFERROR(Q161+W161,0)</f>
      </c>
      <c r="Y161" s="256">
        <f>IFERROR(M161*V161,0)</f>
      </c>
      <c r="Z161" s="256">
        <f>Y161-(Y161*$B$1)</f>
      </c>
      <c r="AA161" s="285">
        <f>IFERROR(Z161/X161,0)</f>
      </c>
      <c r="AB161" s="286">
        <f>IFERROR(IF(ISBLANK(N161),Y161/O161,Y161/N161),0)</f>
      </c>
      <c r="AC161" s="286">
        <f>IFERROR(-1*(AB161*B$1),0)</f>
      </c>
      <c r="AD161" s="286">
        <f>IFERROR(SUM(AB161:AC161),0)</f>
      </c>
      <c r="AE161" s="286">
        <f>IF(ISBLANK(N161),AD161,AD161*5)</f>
      </c>
      <c r="AF161" s="287">
        <f>SUM(AG161:AZ161)</f>
      </c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18"/>
      <c r="AR161" s="18"/>
      <c r="AS161" s="18"/>
      <c r="AT161" s="1"/>
      <c r="AU161" s="18"/>
      <c r="AV161" s="18"/>
      <c r="AW161" s="18"/>
      <c r="AX161" s="18"/>
      <c r="AY161" s="18"/>
      <c r="AZ161" s="18"/>
      <c r="BA161" s="18"/>
      <c r="BB161" s="18"/>
      <c r="BC161" s="16"/>
      <c r="BD161" s="16"/>
      <c r="BE161" s="16"/>
      <c r="BF161" s="286">
        <f>Z161-AF161</f>
      </c>
      <c r="BG161" s="321">
        <f>IFERROR(AF161/Y161,0)</f>
      </c>
      <c r="BH161" s="214">
        <f>IFERROR(AF161/X161,0)</f>
      </c>
      <c r="BI161" s="284">
        <f>IFERROR((X161/SUM(X$26:X$40)),0)</f>
      </c>
      <c r="BJ161" s="284">
        <f>IFERROR((BF161/SUM(BF$3:BF358)),0)</f>
      </c>
      <c r="BK161" s="288">
        <f>BF161/'R&amp;H Portfolio'!Q$10</f>
      </c>
      <c r="BL161" s="286">
        <f>BI161*P161</f>
      </c>
      <c r="BM161" s="3"/>
      <c r="BN161" s="3"/>
      <c r="BO161" s="17"/>
    </row>
    <row x14ac:dyDescent="0.25" r="162" customHeight="1" ht="15">
      <c r="A162" s="17"/>
      <c r="B162" s="14"/>
      <c r="C162" s="3"/>
      <c r="D162" s="3"/>
      <c r="E162" s="3"/>
      <c r="F162" s="3"/>
      <c r="G162" s="16"/>
      <c r="H162" s="18"/>
      <c r="I162" s="18"/>
      <c r="J162" s="279">
        <f>H162+I162</f>
      </c>
      <c r="K162" s="1"/>
      <c r="L162" s="123">
        <f>K162*I162</f>
      </c>
      <c r="M162" s="123">
        <f>K162*J162</f>
      </c>
      <c r="N162" s="16"/>
      <c r="O162" s="16"/>
      <c r="P162" s="282">
        <f>IF(ISBLANK(N162),O162/4.3,N162/20)</f>
      </c>
      <c r="Q162" s="1"/>
      <c r="R162" s="3"/>
      <c r="S162" s="3"/>
      <c r="T162" s="256">
        <f>IF(ISBLANK(R162),0,X162)</f>
      </c>
      <c r="U162" s="256">
        <f>IF(ISBLANK(S162),0,X162)</f>
      </c>
      <c r="V162" s="284">
        <f>IFERROR(Q162/K162,0)</f>
      </c>
      <c r="W162" s="123">
        <f>IFERROR(L162*V162,0)</f>
      </c>
      <c r="X162" s="256">
        <f>IFERROR(Q162+W162,0)</f>
      </c>
      <c r="Y162" s="256">
        <f>IFERROR(M162*V162,0)</f>
      </c>
      <c r="Z162" s="256">
        <f>Y162-(Y162*$B$1)</f>
      </c>
      <c r="AA162" s="285">
        <f>IFERROR(Z162/X162,0)</f>
      </c>
      <c r="AB162" s="286">
        <f>IFERROR(IF(ISBLANK(N162),Y162/O162,Y162/N162),0)</f>
      </c>
      <c r="AC162" s="286">
        <f>IFERROR(-1*(AB162*B$1),0)</f>
      </c>
      <c r="AD162" s="286">
        <f>IFERROR(SUM(AB162:AC162),0)</f>
      </c>
      <c r="AE162" s="286">
        <f>IF(ISBLANK(N162),AD162,AD162*5)</f>
      </c>
      <c r="AF162" s="287">
        <f>SUM(AG162:AZ162)</f>
      </c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18"/>
      <c r="AR162" s="18"/>
      <c r="AS162" s="18"/>
      <c r="AT162" s="1"/>
      <c r="AU162" s="18"/>
      <c r="AV162" s="18"/>
      <c r="AW162" s="18"/>
      <c r="AX162" s="18"/>
      <c r="AY162" s="18"/>
      <c r="AZ162" s="18"/>
      <c r="BA162" s="18"/>
      <c r="BB162" s="18"/>
      <c r="BC162" s="16"/>
      <c r="BD162" s="16"/>
      <c r="BE162" s="16"/>
      <c r="BF162" s="286">
        <f>Z162-AF162</f>
      </c>
      <c r="BG162" s="321">
        <f>IFERROR(AF162/Y162,0)</f>
      </c>
      <c r="BH162" s="214">
        <f>IFERROR(AF162/X162,0)</f>
      </c>
      <c r="BI162" s="284">
        <f>IFERROR((X162/SUM(X$26:X$40)),0)</f>
      </c>
      <c r="BJ162" s="284">
        <f>IFERROR((BF162/SUM(BF$3:BF359)),0)</f>
      </c>
      <c r="BK162" s="288">
        <f>BF162/'R&amp;H Portfolio'!Q$10</f>
      </c>
      <c r="BL162" s="286">
        <f>BI162*P162</f>
      </c>
      <c r="BM162" s="3"/>
      <c r="BN162" s="3"/>
      <c r="BO162" s="17"/>
    </row>
    <row x14ac:dyDescent="0.25" r="163" customHeight="1" ht="15">
      <c r="A163" s="17"/>
      <c r="B163" s="14"/>
      <c r="C163" s="3"/>
      <c r="D163" s="3"/>
      <c r="E163" s="3"/>
      <c r="F163" s="3"/>
      <c r="G163" s="16"/>
      <c r="H163" s="18"/>
      <c r="I163" s="18"/>
      <c r="J163" s="279">
        <f>H163+I163</f>
      </c>
      <c r="K163" s="1"/>
      <c r="L163" s="123">
        <f>K163*I163</f>
      </c>
      <c r="M163" s="123">
        <f>K163*J163</f>
      </c>
      <c r="N163" s="16"/>
      <c r="O163" s="16"/>
      <c r="P163" s="282">
        <f>IF(ISBLANK(N163),O163/4.3,N163/20)</f>
      </c>
      <c r="Q163" s="1"/>
      <c r="R163" s="3"/>
      <c r="S163" s="3"/>
      <c r="T163" s="256">
        <f>IF(ISBLANK(R163),0,X163)</f>
      </c>
      <c r="U163" s="256">
        <f>IF(ISBLANK(S163),0,X163)</f>
      </c>
      <c r="V163" s="284">
        <f>IFERROR(Q163/K163,0)</f>
      </c>
      <c r="W163" s="123">
        <f>IFERROR(L163*V163,0)</f>
      </c>
      <c r="X163" s="256">
        <f>IFERROR(Q163+W163,0)</f>
      </c>
      <c r="Y163" s="256">
        <f>IFERROR(M163*V163,0)</f>
      </c>
      <c r="Z163" s="256">
        <f>Y163-(Y163*$B$1)</f>
      </c>
      <c r="AA163" s="285">
        <f>IFERROR(Z163/X163,0)</f>
      </c>
      <c r="AB163" s="286">
        <f>IFERROR(IF(ISBLANK(N163),Y163/O163,Y163/N163),0)</f>
      </c>
      <c r="AC163" s="286">
        <f>IFERROR(-1*(AB163*B$1),0)</f>
      </c>
      <c r="AD163" s="286">
        <f>IFERROR(SUM(AB163:AC163),0)</f>
      </c>
      <c r="AE163" s="286">
        <f>IF(ISBLANK(N163),AD163,AD163*5)</f>
      </c>
      <c r="AF163" s="287">
        <f>SUM(AG163:AZ163)</f>
      </c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8"/>
      <c r="AR163" s="18"/>
      <c r="AS163" s="18"/>
      <c r="AT163" s="1"/>
      <c r="AU163" s="18"/>
      <c r="AV163" s="18"/>
      <c r="AW163" s="18"/>
      <c r="AX163" s="18"/>
      <c r="AY163" s="18"/>
      <c r="AZ163" s="18"/>
      <c r="BA163" s="18"/>
      <c r="BB163" s="18"/>
      <c r="BC163" s="16"/>
      <c r="BD163" s="16"/>
      <c r="BE163" s="16"/>
      <c r="BF163" s="286">
        <f>Z163-AF163</f>
      </c>
      <c r="BG163" s="321">
        <f>IFERROR(AF163/Y163,0)</f>
      </c>
      <c r="BH163" s="214">
        <f>IFERROR(AF163/X163,0)</f>
      </c>
      <c r="BI163" s="284">
        <f>IFERROR((X163/SUM(X$26:X$40)),0)</f>
      </c>
      <c r="BJ163" s="284">
        <f>IFERROR((BF163/SUM(BF$3:BF360)),0)</f>
      </c>
      <c r="BK163" s="288">
        <f>BF163/'R&amp;H Portfolio'!Q$10</f>
      </c>
      <c r="BL163" s="286">
        <f>BI163*P163</f>
      </c>
      <c r="BM163" s="3"/>
      <c r="BN163" s="3"/>
      <c r="BO163" s="17"/>
    </row>
    <row x14ac:dyDescent="0.25" r="164" customHeight="1" ht="15">
      <c r="A164" s="17"/>
      <c r="B164" s="14"/>
      <c r="C164" s="3"/>
      <c r="D164" s="3"/>
      <c r="E164" s="3"/>
      <c r="F164" s="3"/>
      <c r="G164" s="16"/>
      <c r="H164" s="18"/>
      <c r="I164" s="18"/>
      <c r="J164" s="279">
        <f>H164+I164</f>
      </c>
      <c r="K164" s="1"/>
      <c r="L164" s="123">
        <f>K164*I164</f>
      </c>
      <c r="M164" s="123">
        <f>K164*J164</f>
      </c>
      <c r="N164" s="16"/>
      <c r="O164" s="16"/>
      <c r="P164" s="282">
        <f>IF(ISBLANK(N164),O164/4.3,N164/20)</f>
      </c>
      <c r="Q164" s="1"/>
      <c r="R164" s="3"/>
      <c r="S164" s="3"/>
      <c r="T164" s="256">
        <f>IF(ISBLANK(R164),0,X164)</f>
      </c>
      <c r="U164" s="256">
        <f>IF(ISBLANK(S164),0,X164)</f>
      </c>
      <c r="V164" s="284">
        <f>IFERROR(Q164/K164,0)</f>
      </c>
      <c r="W164" s="123">
        <f>IFERROR(L164*V164,0)</f>
      </c>
      <c r="X164" s="256">
        <f>IFERROR(Q164+W164,0)</f>
      </c>
      <c r="Y164" s="256">
        <f>IFERROR(M164*V164,0)</f>
      </c>
      <c r="Z164" s="256">
        <f>Y164-(Y164*$B$1)</f>
      </c>
      <c r="AA164" s="285">
        <f>IFERROR(Z164/X164,0)</f>
      </c>
      <c r="AB164" s="286">
        <f>IFERROR(IF(ISBLANK(N164),Y164/O164,Y164/N164),0)</f>
      </c>
      <c r="AC164" s="286">
        <f>IFERROR(-1*(AB164*B$1),0)</f>
      </c>
      <c r="AD164" s="286">
        <f>IFERROR(SUM(AB164:AC164),0)</f>
      </c>
      <c r="AE164" s="286">
        <f>IF(ISBLANK(N164),AD164,AD164*5)</f>
      </c>
      <c r="AF164" s="287">
        <f>SUM(AG164:AZ164)</f>
      </c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18"/>
      <c r="AR164" s="18"/>
      <c r="AS164" s="18"/>
      <c r="AT164" s="1"/>
      <c r="AU164" s="18"/>
      <c r="AV164" s="18"/>
      <c r="AW164" s="18"/>
      <c r="AX164" s="18"/>
      <c r="AY164" s="18"/>
      <c r="AZ164" s="18"/>
      <c r="BA164" s="18"/>
      <c r="BB164" s="18"/>
      <c r="BC164" s="16"/>
      <c r="BD164" s="16"/>
      <c r="BE164" s="16"/>
      <c r="BF164" s="286">
        <f>Z164-AF164</f>
      </c>
      <c r="BG164" s="321">
        <f>IFERROR(AF164/Y164,0)</f>
      </c>
      <c r="BH164" s="214">
        <f>IFERROR(AF164/X164,0)</f>
      </c>
      <c r="BI164" s="284">
        <f>IFERROR((X164/SUM(X$26:X$40)),0)</f>
      </c>
      <c r="BJ164" s="284">
        <f>IFERROR((BF164/SUM(BF$3:BF361)),0)</f>
      </c>
      <c r="BK164" s="288">
        <f>BF164/'R&amp;H Portfolio'!Q$10</f>
      </c>
      <c r="BL164" s="286">
        <f>BI164*P164</f>
      </c>
      <c r="BM164" s="3"/>
      <c r="BN164" s="3"/>
      <c r="BO164" s="17"/>
    </row>
    <row x14ac:dyDescent="0.25" r="165" customHeight="1" ht="15">
      <c r="A165" s="17"/>
      <c r="B165" s="14"/>
      <c r="C165" s="3"/>
      <c r="D165" s="3"/>
      <c r="E165" s="3"/>
      <c r="F165" s="3"/>
      <c r="G165" s="16"/>
      <c r="H165" s="18"/>
      <c r="I165" s="18"/>
      <c r="J165" s="279">
        <f>H165+I165</f>
      </c>
      <c r="K165" s="1"/>
      <c r="L165" s="123">
        <f>K165*I165</f>
      </c>
      <c r="M165" s="123">
        <f>K165*J165</f>
      </c>
      <c r="N165" s="16"/>
      <c r="O165" s="16"/>
      <c r="P165" s="282">
        <f>IF(ISBLANK(N165),O165/4.3,N165/20)</f>
      </c>
      <c r="Q165" s="1"/>
      <c r="R165" s="3"/>
      <c r="S165" s="3"/>
      <c r="T165" s="256">
        <f>IF(ISBLANK(R165),0,X165)</f>
      </c>
      <c r="U165" s="256">
        <f>IF(ISBLANK(S165),0,X165)</f>
      </c>
      <c r="V165" s="284">
        <f>IFERROR(Q165/K165,0)</f>
      </c>
      <c r="W165" s="123">
        <f>IFERROR(L165*V165,0)</f>
      </c>
      <c r="X165" s="256">
        <f>IFERROR(Q165+W165,0)</f>
      </c>
      <c r="Y165" s="256">
        <f>IFERROR(M165*V165,0)</f>
      </c>
      <c r="Z165" s="256">
        <f>Y165-(Y165*$B$1)</f>
      </c>
      <c r="AA165" s="285">
        <f>IFERROR(Z165/X165,0)</f>
      </c>
      <c r="AB165" s="286">
        <f>IFERROR(IF(ISBLANK(N165),Y165/O165,Y165/N165),0)</f>
      </c>
      <c r="AC165" s="286">
        <f>IFERROR(-1*(AB165*B$1),0)</f>
      </c>
      <c r="AD165" s="286">
        <f>IFERROR(SUM(AB165:AC165),0)</f>
      </c>
      <c r="AE165" s="286">
        <f>IF(ISBLANK(N165),AD165,AD165*5)</f>
      </c>
      <c r="AF165" s="287">
        <f>SUM(AG165:AZ165)</f>
      </c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18"/>
      <c r="AR165" s="18"/>
      <c r="AS165" s="18"/>
      <c r="AT165" s="1"/>
      <c r="AU165" s="18"/>
      <c r="AV165" s="18"/>
      <c r="AW165" s="18"/>
      <c r="AX165" s="18"/>
      <c r="AY165" s="18"/>
      <c r="AZ165" s="18"/>
      <c r="BA165" s="18"/>
      <c r="BB165" s="18"/>
      <c r="BC165" s="16"/>
      <c r="BD165" s="16"/>
      <c r="BE165" s="16"/>
      <c r="BF165" s="286">
        <f>Z165-AF165</f>
      </c>
      <c r="BG165" s="321">
        <f>IFERROR(AF165/Y165,0)</f>
      </c>
      <c r="BH165" s="214">
        <f>IFERROR(AF165/X165,0)</f>
      </c>
      <c r="BI165" s="284">
        <f>IFERROR((X165/SUM(X$26:X$40)),0)</f>
      </c>
      <c r="BJ165" s="284">
        <f>IFERROR((BF165/SUM(BF$3:BF362)),0)</f>
      </c>
      <c r="BK165" s="288">
        <f>BF165/'R&amp;H Portfolio'!Q$10</f>
      </c>
      <c r="BL165" s="286">
        <f>BI165*P165</f>
      </c>
      <c r="BM165" s="3"/>
      <c r="BN165" s="3"/>
      <c r="BO165" s="17"/>
    </row>
    <row x14ac:dyDescent="0.25" r="166" customHeight="1" ht="15">
      <c r="A166" s="17"/>
      <c r="B166" s="14"/>
      <c r="C166" s="3"/>
      <c r="D166" s="3"/>
      <c r="E166" s="3"/>
      <c r="F166" s="3"/>
      <c r="G166" s="16"/>
      <c r="H166" s="18"/>
      <c r="I166" s="18"/>
      <c r="J166" s="279">
        <f>H166+I166</f>
      </c>
      <c r="K166" s="1"/>
      <c r="L166" s="123">
        <f>K166*I166</f>
      </c>
      <c r="M166" s="123">
        <f>K166*J166</f>
      </c>
      <c r="N166" s="16"/>
      <c r="O166" s="16"/>
      <c r="P166" s="282">
        <f>IF(ISBLANK(N166),O166/4.3,N166/20)</f>
      </c>
      <c r="Q166" s="1"/>
      <c r="R166" s="3"/>
      <c r="S166" s="3"/>
      <c r="T166" s="256">
        <f>IF(ISBLANK(R166),0,X166)</f>
      </c>
      <c r="U166" s="256">
        <f>IF(ISBLANK(S166),0,X166)</f>
      </c>
      <c r="V166" s="284">
        <f>IFERROR(Q166/K166,0)</f>
      </c>
      <c r="W166" s="123">
        <f>IFERROR(L166*V166,0)</f>
      </c>
      <c r="X166" s="256">
        <f>IFERROR(Q166+W166,0)</f>
      </c>
      <c r="Y166" s="256">
        <f>IFERROR(M166*V166,0)</f>
      </c>
      <c r="Z166" s="256">
        <f>Y166-(Y166*$B$1)</f>
      </c>
      <c r="AA166" s="285">
        <f>IFERROR(Z166/X166,0)</f>
      </c>
      <c r="AB166" s="286">
        <f>IFERROR(IF(ISBLANK(N166),Y166/O166,Y166/N166),0)</f>
      </c>
      <c r="AC166" s="286">
        <f>IFERROR(-1*(AB166*B$1),0)</f>
      </c>
      <c r="AD166" s="286">
        <f>IFERROR(SUM(AB166:AC166),0)</f>
      </c>
      <c r="AE166" s="286">
        <f>IF(ISBLANK(N166),AD166,AD166*5)</f>
      </c>
      <c r="AF166" s="287">
        <f>SUM(AG166:AZ166)</f>
      </c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8"/>
      <c r="AR166" s="18"/>
      <c r="AS166" s="18"/>
      <c r="AT166" s="1"/>
      <c r="AU166" s="18"/>
      <c r="AV166" s="18"/>
      <c r="AW166" s="18"/>
      <c r="AX166" s="18"/>
      <c r="AY166" s="18"/>
      <c r="AZ166" s="18"/>
      <c r="BA166" s="18"/>
      <c r="BB166" s="18"/>
      <c r="BC166" s="16"/>
      <c r="BD166" s="16"/>
      <c r="BE166" s="16"/>
      <c r="BF166" s="286">
        <f>Z166-AF166</f>
      </c>
      <c r="BG166" s="321">
        <f>IFERROR(AF166/Y166,0)</f>
      </c>
      <c r="BH166" s="214">
        <f>IFERROR(AF166/X166,0)</f>
      </c>
      <c r="BI166" s="284">
        <f>IFERROR((X166/SUM(X$26:X$40)),0)</f>
      </c>
      <c r="BJ166" s="284">
        <f>IFERROR((BF166/SUM(BF$3:BF363)),0)</f>
      </c>
      <c r="BK166" s="288">
        <f>BF166/'R&amp;H Portfolio'!Q$10</f>
      </c>
      <c r="BL166" s="286">
        <f>BI166*P166</f>
      </c>
      <c r="BM166" s="3"/>
      <c r="BN166" s="3"/>
      <c r="BO166" s="17"/>
    </row>
    <row x14ac:dyDescent="0.25" r="167" customHeight="1" ht="15">
      <c r="A167" s="17"/>
      <c r="B167" s="14"/>
      <c r="C167" s="3"/>
      <c r="D167" s="3"/>
      <c r="E167" s="3"/>
      <c r="F167" s="3"/>
      <c r="G167" s="16"/>
      <c r="H167" s="18"/>
      <c r="I167" s="18"/>
      <c r="J167" s="279">
        <f>H167+I167</f>
      </c>
      <c r="K167" s="1"/>
      <c r="L167" s="123">
        <f>K167*I167</f>
      </c>
      <c r="M167" s="123">
        <f>K167*J167</f>
      </c>
      <c r="N167" s="16"/>
      <c r="O167" s="16"/>
      <c r="P167" s="282">
        <f>IF(ISBLANK(N167),O167/4.3,N167/20)</f>
      </c>
      <c r="Q167" s="1"/>
      <c r="R167" s="3"/>
      <c r="S167" s="3"/>
      <c r="T167" s="256">
        <f>IF(ISBLANK(R167),0,X167)</f>
      </c>
      <c r="U167" s="256">
        <f>IF(ISBLANK(S167),0,X167)</f>
      </c>
      <c r="V167" s="284">
        <f>IFERROR(Q167/K167,0)</f>
      </c>
      <c r="W167" s="123">
        <f>IFERROR(L167*V167,0)</f>
      </c>
      <c r="X167" s="256">
        <f>IFERROR(Q167+W167,0)</f>
      </c>
      <c r="Y167" s="256">
        <f>IFERROR(M167*V167,0)</f>
      </c>
      <c r="Z167" s="256">
        <f>Y167-(Y167*$B$1)</f>
      </c>
      <c r="AA167" s="285">
        <f>IFERROR(Z167/X167,0)</f>
      </c>
      <c r="AB167" s="286">
        <f>IFERROR(IF(ISBLANK(N167),Y167/O167,Y167/N167),0)</f>
      </c>
      <c r="AC167" s="286">
        <f>IFERROR(-1*(AB167*B$1),0)</f>
      </c>
      <c r="AD167" s="286">
        <f>IFERROR(SUM(AB167:AC167),0)</f>
      </c>
      <c r="AE167" s="286">
        <f>IF(ISBLANK(N167),AD167,AD167*5)</f>
      </c>
      <c r="AF167" s="287">
        <f>SUM(AG167:AZ167)</f>
      </c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8"/>
      <c r="AR167" s="18"/>
      <c r="AS167" s="18"/>
      <c r="AT167" s="1"/>
      <c r="AU167" s="18"/>
      <c r="AV167" s="18"/>
      <c r="AW167" s="18"/>
      <c r="AX167" s="18"/>
      <c r="AY167" s="18"/>
      <c r="AZ167" s="18"/>
      <c r="BA167" s="18"/>
      <c r="BB167" s="18"/>
      <c r="BC167" s="16"/>
      <c r="BD167" s="16"/>
      <c r="BE167" s="16"/>
      <c r="BF167" s="286">
        <f>Z167-AF167</f>
      </c>
      <c r="BG167" s="321">
        <f>IFERROR(AF167/Y167,0)</f>
      </c>
      <c r="BH167" s="214">
        <f>IFERROR(AF167/X167,0)</f>
      </c>
      <c r="BI167" s="284">
        <f>IFERROR((X167/SUM(X$26:X$40)),0)</f>
      </c>
      <c r="BJ167" s="284">
        <f>IFERROR((BF167/SUM(BF$3:BF364)),0)</f>
      </c>
      <c r="BK167" s="288">
        <f>BF167/'R&amp;H Portfolio'!Q$10</f>
      </c>
      <c r="BL167" s="286">
        <f>BI167*P167</f>
      </c>
      <c r="BM167" s="3"/>
      <c r="BN167" s="3"/>
      <c r="BO167" s="17"/>
    </row>
    <row x14ac:dyDescent="0.25" r="168" customHeight="1" ht="15">
      <c r="A168" s="17"/>
      <c r="B168" s="14"/>
      <c r="C168" s="3"/>
      <c r="D168" s="3"/>
      <c r="E168" s="3"/>
      <c r="F168" s="3"/>
      <c r="G168" s="16"/>
      <c r="H168" s="18"/>
      <c r="I168" s="18"/>
      <c r="J168" s="279">
        <f>H168+I168</f>
      </c>
      <c r="K168" s="1"/>
      <c r="L168" s="123">
        <f>K168*I168</f>
      </c>
      <c r="M168" s="123">
        <f>K168*J168</f>
      </c>
      <c r="N168" s="16"/>
      <c r="O168" s="16"/>
      <c r="P168" s="282">
        <f>IF(ISBLANK(N168),O168/4.3,N168/20)</f>
      </c>
      <c r="Q168" s="1"/>
      <c r="R168" s="3"/>
      <c r="S168" s="3"/>
      <c r="T168" s="256">
        <f>IF(ISBLANK(R168),0,X168)</f>
      </c>
      <c r="U168" s="256">
        <f>IF(ISBLANK(S168),0,X168)</f>
      </c>
      <c r="V168" s="284">
        <f>IFERROR(Q168/K168,0)</f>
      </c>
      <c r="W168" s="123">
        <f>IFERROR(L168*V168,0)</f>
      </c>
      <c r="X168" s="256">
        <f>IFERROR(Q168+W168,0)</f>
      </c>
      <c r="Y168" s="256">
        <f>IFERROR(M168*V168,0)</f>
      </c>
      <c r="Z168" s="256">
        <f>Y168-(Y168*$B$1)</f>
      </c>
      <c r="AA168" s="285">
        <f>IFERROR(Z168/X168,0)</f>
      </c>
      <c r="AB168" s="286">
        <f>IFERROR(IF(ISBLANK(N168),Y168/O168,Y168/N168),0)</f>
      </c>
      <c r="AC168" s="286">
        <f>IFERROR(-1*(AB168*B$1),0)</f>
      </c>
      <c r="AD168" s="286">
        <f>IFERROR(SUM(AB168:AC168),0)</f>
      </c>
      <c r="AE168" s="286">
        <f>IF(ISBLANK(N168),AD168,AD168*5)</f>
      </c>
      <c r="AF168" s="287">
        <f>SUM(AG168:AZ168)</f>
      </c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18"/>
      <c r="AR168" s="18"/>
      <c r="AS168" s="18"/>
      <c r="AT168" s="1"/>
      <c r="AU168" s="18"/>
      <c r="AV168" s="18"/>
      <c r="AW168" s="18"/>
      <c r="AX168" s="18"/>
      <c r="AY168" s="18"/>
      <c r="AZ168" s="18"/>
      <c r="BA168" s="18"/>
      <c r="BB168" s="18"/>
      <c r="BC168" s="16"/>
      <c r="BD168" s="16"/>
      <c r="BE168" s="16"/>
      <c r="BF168" s="286">
        <f>Z168-AF168</f>
      </c>
      <c r="BG168" s="321">
        <f>IFERROR(AF168/Y168,0)</f>
      </c>
      <c r="BH168" s="214">
        <f>IFERROR(AF168/X168,0)</f>
      </c>
      <c r="BI168" s="284">
        <f>IFERROR((X168/SUM(X$26:X$40)),0)</f>
      </c>
      <c r="BJ168" s="284">
        <f>IFERROR((BF168/SUM(BF$3:BF365)),0)</f>
      </c>
      <c r="BK168" s="288">
        <f>BF168/'R&amp;H Portfolio'!Q$10</f>
      </c>
      <c r="BL168" s="286">
        <f>BI168*P168</f>
      </c>
      <c r="BM168" s="3"/>
      <c r="BN168" s="3"/>
      <c r="BO168" s="17"/>
    </row>
    <row x14ac:dyDescent="0.25" r="169" customHeight="1" ht="15">
      <c r="A169" s="17"/>
      <c r="B169" s="14"/>
      <c r="C169" s="3"/>
      <c r="D169" s="3"/>
      <c r="E169" s="3"/>
      <c r="F169" s="3"/>
      <c r="G169" s="16"/>
      <c r="H169" s="18"/>
      <c r="I169" s="18"/>
      <c r="J169" s="279">
        <f>H169+I169</f>
      </c>
      <c r="K169" s="1"/>
      <c r="L169" s="123">
        <f>K169*I169</f>
      </c>
      <c r="M169" s="123">
        <f>K169*J169</f>
      </c>
      <c r="N169" s="16"/>
      <c r="O169" s="16"/>
      <c r="P169" s="282">
        <f>IF(ISBLANK(N169),O169/4.3,N169/20)</f>
      </c>
      <c r="Q169" s="1"/>
      <c r="R169" s="3"/>
      <c r="S169" s="3"/>
      <c r="T169" s="256">
        <f>IF(ISBLANK(R169),0,X169)</f>
      </c>
      <c r="U169" s="256">
        <f>IF(ISBLANK(S169),0,X169)</f>
      </c>
      <c r="V169" s="284">
        <f>IFERROR(Q169/K169,0)</f>
      </c>
      <c r="W169" s="123">
        <f>IFERROR(L169*V169,0)</f>
      </c>
      <c r="X169" s="256">
        <f>IFERROR(Q169+W169,0)</f>
      </c>
      <c r="Y169" s="256">
        <f>IFERROR(M169*V169,0)</f>
      </c>
      <c r="Z169" s="256">
        <f>Y169-(Y169*$B$1)</f>
      </c>
      <c r="AA169" s="285">
        <f>IFERROR(Z169/X169,0)</f>
      </c>
      <c r="AB169" s="286">
        <f>IFERROR(IF(ISBLANK(N169),Y169/O169,Y169/N169),0)</f>
      </c>
      <c r="AC169" s="286">
        <f>IFERROR(-1*(AB169*B$1),0)</f>
      </c>
      <c r="AD169" s="286">
        <f>IFERROR(SUM(AB169:AC169),0)</f>
      </c>
      <c r="AE169" s="286">
        <f>IF(ISBLANK(N169),AD169,AD169*5)</f>
      </c>
      <c r="AF169" s="287">
        <f>SUM(AG169:AZ169)</f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8"/>
      <c r="AR169" s="18"/>
      <c r="AS169" s="18"/>
      <c r="AT169" s="1"/>
      <c r="AU169" s="18"/>
      <c r="AV169" s="18"/>
      <c r="AW169" s="18"/>
      <c r="AX169" s="18"/>
      <c r="AY169" s="18"/>
      <c r="AZ169" s="18"/>
      <c r="BA169" s="18"/>
      <c r="BB169" s="18"/>
      <c r="BC169" s="16"/>
      <c r="BD169" s="16"/>
      <c r="BE169" s="16"/>
      <c r="BF169" s="286">
        <f>Z169-AF169</f>
      </c>
      <c r="BG169" s="321">
        <f>IFERROR(AF169/Y169,0)</f>
      </c>
      <c r="BH169" s="214">
        <f>IFERROR(AF169/X169,0)</f>
      </c>
      <c r="BI169" s="284">
        <f>IFERROR((X169/SUM(X$26:X$40)),0)</f>
      </c>
      <c r="BJ169" s="284">
        <f>IFERROR((BF169/SUM(BF$3:BF366)),0)</f>
      </c>
      <c r="BK169" s="288">
        <f>BF169/'R&amp;H Portfolio'!Q$10</f>
      </c>
      <c r="BL169" s="286">
        <f>BI169*P169</f>
      </c>
      <c r="BM169" s="3"/>
      <c r="BN169" s="3"/>
      <c r="BO169" s="17"/>
    </row>
    <row x14ac:dyDescent="0.25" r="170" customHeight="1" ht="15">
      <c r="A170" s="17"/>
      <c r="B170" s="14"/>
      <c r="C170" s="3"/>
      <c r="D170" s="3"/>
      <c r="E170" s="3"/>
      <c r="F170" s="3"/>
      <c r="G170" s="16"/>
      <c r="H170" s="18"/>
      <c r="I170" s="18"/>
      <c r="J170" s="279">
        <f>H170+I170</f>
      </c>
      <c r="K170" s="1"/>
      <c r="L170" s="123">
        <f>K170*I170</f>
      </c>
      <c r="M170" s="123">
        <f>K170*J170</f>
      </c>
      <c r="N170" s="16"/>
      <c r="O170" s="16"/>
      <c r="P170" s="282">
        <f>IF(ISBLANK(N170),O170/4.3,N170/20)</f>
      </c>
      <c r="Q170" s="1"/>
      <c r="R170" s="3"/>
      <c r="S170" s="3"/>
      <c r="T170" s="256">
        <f>IF(ISBLANK(R170),0,X170)</f>
      </c>
      <c r="U170" s="256">
        <f>IF(ISBLANK(S170),0,X170)</f>
      </c>
      <c r="V170" s="284">
        <f>IFERROR(Q170/K170,0)</f>
      </c>
      <c r="W170" s="123">
        <f>IFERROR(L170*V170,0)</f>
      </c>
      <c r="X170" s="256">
        <f>IFERROR(Q170+W170,0)</f>
      </c>
      <c r="Y170" s="256">
        <f>IFERROR(M170*V170,0)</f>
      </c>
      <c r="Z170" s="256">
        <f>Y170-(Y170*$B$1)</f>
      </c>
      <c r="AA170" s="285">
        <f>IFERROR(Z170/X170,0)</f>
      </c>
      <c r="AB170" s="286">
        <f>IFERROR(IF(ISBLANK(N170),Y170/O170,Y170/N170),0)</f>
      </c>
      <c r="AC170" s="286">
        <f>IFERROR(-1*(AB170*B$1),0)</f>
      </c>
      <c r="AD170" s="286">
        <f>IFERROR(SUM(AB170:AC170),0)</f>
      </c>
      <c r="AE170" s="286">
        <f>IF(ISBLANK(N170),AD170,AD170*5)</f>
      </c>
      <c r="AF170" s="287">
        <f>SUM(AG170:AZ170)</f>
      </c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8"/>
      <c r="AR170" s="18"/>
      <c r="AS170" s="18"/>
      <c r="AT170" s="1"/>
      <c r="AU170" s="18"/>
      <c r="AV170" s="18"/>
      <c r="AW170" s="18"/>
      <c r="AX170" s="18"/>
      <c r="AY170" s="18"/>
      <c r="AZ170" s="18"/>
      <c r="BA170" s="18"/>
      <c r="BB170" s="18"/>
      <c r="BC170" s="16"/>
      <c r="BD170" s="16"/>
      <c r="BE170" s="16"/>
      <c r="BF170" s="286">
        <f>Z170-AF170</f>
      </c>
      <c r="BG170" s="321">
        <f>IFERROR(AF170/Y170,0)</f>
      </c>
      <c r="BH170" s="214">
        <f>IFERROR(AF170/X170,0)</f>
      </c>
      <c r="BI170" s="284">
        <f>IFERROR((X170/SUM(X$26:X$40)),0)</f>
      </c>
      <c r="BJ170" s="284">
        <f>IFERROR((BF170/SUM(BF$3:BF367)),0)</f>
      </c>
      <c r="BK170" s="288">
        <f>BF170/'R&amp;H Portfolio'!Q$10</f>
      </c>
      <c r="BL170" s="286">
        <f>BI170*P170</f>
      </c>
      <c r="BM170" s="3"/>
      <c r="BN170" s="3"/>
      <c r="BO170" s="17"/>
    </row>
    <row x14ac:dyDescent="0.25" r="171" customHeight="1" ht="15">
      <c r="A171" s="17"/>
      <c r="B171" s="14"/>
      <c r="C171" s="3"/>
      <c r="D171" s="3"/>
      <c r="E171" s="3"/>
      <c r="F171" s="3"/>
      <c r="G171" s="16"/>
      <c r="H171" s="18"/>
      <c r="I171" s="18"/>
      <c r="J171" s="279">
        <f>H171+I171</f>
      </c>
      <c r="K171" s="1"/>
      <c r="L171" s="123">
        <f>K171*I171</f>
      </c>
      <c r="M171" s="123">
        <f>K171*J171</f>
      </c>
      <c r="N171" s="16"/>
      <c r="O171" s="16"/>
      <c r="P171" s="282">
        <f>IF(ISBLANK(N171),O171/4.3,N171/20)</f>
      </c>
      <c r="Q171" s="1"/>
      <c r="R171" s="3"/>
      <c r="S171" s="3"/>
      <c r="T171" s="256">
        <f>IF(ISBLANK(R171),0,X171)</f>
      </c>
      <c r="U171" s="256">
        <f>IF(ISBLANK(S171),0,X171)</f>
      </c>
      <c r="V171" s="284">
        <f>IFERROR(Q171/K171,0)</f>
      </c>
      <c r="W171" s="123">
        <f>IFERROR(L171*V171,0)</f>
      </c>
      <c r="X171" s="256">
        <f>IFERROR(Q171+W171,0)</f>
      </c>
      <c r="Y171" s="256">
        <f>IFERROR(M171*V171,0)</f>
      </c>
      <c r="Z171" s="256">
        <f>Y171-(Y171*$B$1)</f>
      </c>
      <c r="AA171" s="285">
        <f>IFERROR(Z171/X171,0)</f>
      </c>
      <c r="AB171" s="286">
        <f>IFERROR(IF(ISBLANK(N171),Y171/O171,Y171/N171),0)</f>
      </c>
      <c r="AC171" s="286">
        <f>IFERROR(-1*(AB171*B$1),0)</f>
      </c>
      <c r="AD171" s="286">
        <f>IFERROR(SUM(AB171:AC171),0)</f>
      </c>
      <c r="AE171" s="286">
        <f>IF(ISBLANK(N171),AD171,AD171*5)</f>
      </c>
      <c r="AF171" s="287">
        <f>SUM(AG171:AZ171)</f>
      </c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18"/>
      <c r="AR171" s="18"/>
      <c r="AS171" s="18"/>
      <c r="AT171" s="1"/>
      <c r="AU171" s="18"/>
      <c r="AV171" s="18"/>
      <c r="AW171" s="18"/>
      <c r="AX171" s="18"/>
      <c r="AY171" s="18"/>
      <c r="AZ171" s="18"/>
      <c r="BA171" s="18"/>
      <c r="BB171" s="18"/>
      <c r="BC171" s="16"/>
      <c r="BD171" s="16"/>
      <c r="BE171" s="16"/>
      <c r="BF171" s="286">
        <f>Z171-AF171</f>
      </c>
      <c r="BG171" s="321">
        <f>IFERROR(AF171/Y171,0)</f>
      </c>
      <c r="BH171" s="214">
        <f>IFERROR(AF171/X171,0)</f>
      </c>
      <c r="BI171" s="284">
        <f>IFERROR((X171/SUM(X$26:X$40)),0)</f>
      </c>
      <c r="BJ171" s="284">
        <f>IFERROR((BF171/SUM(BF$3:BF368)),0)</f>
      </c>
      <c r="BK171" s="288">
        <f>BF171/'R&amp;H Portfolio'!Q$10</f>
      </c>
      <c r="BL171" s="286">
        <f>BI171*P171</f>
      </c>
      <c r="BM171" s="3"/>
      <c r="BN171" s="3"/>
      <c r="BO171" s="17"/>
    </row>
    <row x14ac:dyDescent="0.25" r="172" customHeight="1" ht="15">
      <c r="A172" s="17"/>
      <c r="B172" s="14"/>
      <c r="C172" s="3"/>
      <c r="D172" s="3"/>
      <c r="E172" s="3"/>
      <c r="F172" s="3"/>
      <c r="G172" s="16"/>
      <c r="H172" s="18"/>
      <c r="I172" s="18"/>
      <c r="J172" s="279">
        <f>H172+I172</f>
      </c>
      <c r="K172" s="1"/>
      <c r="L172" s="123">
        <f>K172*I172</f>
      </c>
      <c r="M172" s="123">
        <f>K172*J172</f>
      </c>
      <c r="N172" s="16"/>
      <c r="O172" s="16"/>
      <c r="P172" s="282">
        <f>IF(ISBLANK(N172),O172/4.3,N172/20)</f>
      </c>
      <c r="Q172" s="1"/>
      <c r="R172" s="3"/>
      <c r="S172" s="3"/>
      <c r="T172" s="256">
        <f>IF(ISBLANK(R172),0,X172)</f>
      </c>
      <c r="U172" s="256">
        <f>IF(ISBLANK(S172),0,X172)</f>
      </c>
      <c r="V172" s="284">
        <f>IFERROR(Q172/K172,0)</f>
      </c>
      <c r="W172" s="123">
        <f>IFERROR(L172*V172,0)</f>
      </c>
      <c r="X172" s="256">
        <f>IFERROR(Q172+W172,0)</f>
      </c>
      <c r="Y172" s="256">
        <f>IFERROR(M172*V172,0)</f>
      </c>
      <c r="Z172" s="256">
        <f>Y172-(Y172*$B$1)</f>
      </c>
      <c r="AA172" s="285">
        <f>IFERROR(Z172/X172,0)</f>
      </c>
      <c r="AB172" s="286">
        <f>IFERROR(IF(ISBLANK(N172),Y172/O172,Y172/N172),0)</f>
      </c>
      <c r="AC172" s="286">
        <f>IFERROR(-1*(AB172*B$1),0)</f>
      </c>
      <c r="AD172" s="286">
        <f>IFERROR(SUM(AB172:AC172),0)</f>
      </c>
      <c r="AE172" s="286">
        <f>IF(ISBLANK(N172),AD172,AD172*5)</f>
      </c>
      <c r="AF172" s="287">
        <f>SUM(AG172:AZ172)</f>
      </c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18"/>
      <c r="AR172" s="18"/>
      <c r="AS172" s="18"/>
      <c r="AT172" s="1"/>
      <c r="AU172" s="18"/>
      <c r="AV172" s="18"/>
      <c r="AW172" s="18"/>
      <c r="AX172" s="18"/>
      <c r="AY172" s="18"/>
      <c r="AZ172" s="18"/>
      <c r="BA172" s="18"/>
      <c r="BB172" s="18"/>
      <c r="BC172" s="16"/>
      <c r="BD172" s="16"/>
      <c r="BE172" s="16"/>
      <c r="BF172" s="286">
        <f>Z172-AF172</f>
      </c>
      <c r="BG172" s="321">
        <f>IFERROR(AF172/Y172,0)</f>
      </c>
      <c r="BH172" s="214">
        <f>IFERROR(AF172/X172,0)</f>
      </c>
      <c r="BI172" s="284">
        <f>IFERROR((X172/SUM(X$26:X$40)),0)</f>
      </c>
      <c r="BJ172" s="284">
        <f>IFERROR((BF172/SUM(BF$3:BF369)),0)</f>
      </c>
      <c r="BK172" s="288">
        <f>BF172/'R&amp;H Portfolio'!Q$10</f>
      </c>
      <c r="BL172" s="286">
        <f>BI172*P172</f>
      </c>
      <c r="BM172" s="3"/>
      <c r="BN172" s="3"/>
      <c r="BO172" s="17"/>
    </row>
    <row x14ac:dyDescent="0.25" r="173" customHeight="1" ht="15">
      <c r="A173" s="17"/>
      <c r="B173" s="14"/>
      <c r="C173" s="3"/>
      <c r="D173" s="3"/>
      <c r="E173" s="3"/>
      <c r="F173" s="3"/>
      <c r="G173" s="16"/>
      <c r="H173" s="18"/>
      <c r="I173" s="18"/>
      <c r="J173" s="279">
        <f>H173+I173</f>
      </c>
      <c r="K173" s="1"/>
      <c r="L173" s="123">
        <f>K173*I173</f>
      </c>
      <c r="M173" s="123">
        <f>K173*J173</f>
      </c>
      <c r="N173" s="16"/>
      <c r="O173" s="16"/>
      <c r="P173" s="282">
        <f>IF(ISBLANK(N173),O173/4.3,N173/20)</f>
      </c>
      <c r="Q173" s="1"/>
      <c r="R173" s="3"/>
      <c r="S173" s="3"/>
      <c r="T173" s="256">
        <f>IF(ISBLANK(R173),0,X173)</f>
      </c>
      <c r="U173" s="256">
        <f>IF(ISBLANK(S173),0,X173)</f>
      </c>
      <c r="V173" s="284">
        <f>IFERROR(Q173/K173,0)</f>
      </c>
      <c r="W173" s="123">
        <f>IFERROR(L173*V173,0)</f>
      </c>
      <c r="X173" s="256">
        <f>IFERROR(Q173+W173,0)</f>
      </c>
      <c r="Y173" s="256">
        <f>IFERROR(M173*V173,0)</f>
      </c>
      <c r="Z173" s="256">
        <f>Y173-(Y173*$B$1)</f>
      </c>
      <c r="AA173" s="285">
        <f>IFERROR(Z173/X173,0)</f>
      </c>
      <c r="AB173" s="286">
        <f>IFERROR(IF(ISBLANK(N173),Y173/O173,Y173/N173),0)</f>
      </c>
      <c r="AC173" s="286">
        <f>IFERROR(-1*(AB173*B$1),0)</f>
      </c>
      <c r="AD173" s="286">
        <f>IFERROR(SUM(AB173:AC173),0)</f>
      </c>
      <c r="AE173" s="286">
        <f>IF(ISBLANK(N173),AD173,AD173*5)</f>
      </c>
      <c r="AF173" s="287">
        <f>SUM(AG173:AZ173)</f>
      </c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18"/>
      <c r="AR173" s="18"/>
      <c r="AS173" s="18"/>
      <c r="AT173" s="1"/>
      <c r="AU173" s="18"/>
      <c r="AV173" s="18"/>
      <c r="AW173" s="18"/>
      <c r="AX173" s="18"/>
      <c r="AY173" s="18"/>
      <c r="AZ173" s="18"/>
      <c r="BA173" s="18"/>
      <c r="BB173" s="18"/>
      <c r="BC173" s="16"/>
      <c r="BD173" s="16"/>
      <c r="BE173" s="16"/>
      <c r="BF173" s="286">
        <f>Z173-AF173</f>
      </c>
      <c r="BG173" s="321">
        <f>IFERROR(AF173/Y173,0)</f>
      </c>
      <c r="BH173" s="214">
        <f>IFERROR(AF173/X173,0)</f>
      </c>
      <c r="BI173" s="284">
        <f>IFERROR((X173/SUM(X$26:X$40)),0)</f>
      </c>
      <c r="BJ173" s="284">
        <f>IFERROR((BF173/SUM(BF$3:BF370)),0)</f>
      </c>
      <c r="BK173" s="288">
        <f>BF173/'R&amp;H Portfolio'!Q$10</f>
      </c>
      <c r="BL173" s="286">
        <f>BI173*P173</f>
      </c>
      <c r="BM173" s="3"/>
      <c r="BN173" s="3"/>
      <c r="BO173" s="17"/>
    </row>
    <row x14ac:dyDescent="0.25" r="174" customHeight="1" ht="15">
      <c r="A174" s="17"/>
      <c r="B174" s="14"/>
      <c r="C174" s="3"/>
      <c r="D174" s="3"/>
      <c r="E174" s="3"/>
      <c r="F174" s="3"/>
      <c r="G174" s="16"/>
      <c r="H174" s="18"/>
      <c r="I174" s="18"/>
      <c r="J174" s="279">
        <f>H174+I174</f>
      </c>
      <c r="K174" s="1"/>
      <c r="L174" s="123">
        <f>K174*I174</f>
      </c>
      <c r="M174" s="123">
        <f>K174*J174</f>
      </c>
      <c r="N174" s="16"/>
      <c r="O174" s="16"/>
      <c r="P174" s="282">
        <f>IF(ISBLANK(N174),O174/4.3,N174/20)</f>
      </c>
      <c r="Q174" s="1"/>
      <c r="R174" s="3"/>
      <c r="S174" s="3"/>
      <c r="T174" s="256">
        <f>IF(ISBLANK(R174),0,X174)</f>
      </c>
      <c r="U174" s="256">
        <f>IF(ISBLANK(S174),0,X174)</f>
      </c>
      <c r="V174" s="284">
        <f>IFERROR(Q174/K174,0)</f>
      </c>
      <c r="W174" s="123">
        <f>IFERROR(L174*V174,0)</f>
      </c>
      <c r="X174" s="256">
        <f>IFERROR(Q174+W174,0)</f>
      </c>
      <c r="Y174" s="256">
        <f>IFERROR(M174*V174,0)</f>
      </c>
      <c r="Z174" s="256">
        <f>Y174-(Y174*$B$1)</f>
      </c>
      <c r="AA174" s="285">
        <f>IFERROR(Z174/X174,0)</f>
      </c>
      <c r="AB174" s="286">
        <f>IFERROR(IF(ISBLANK(N174),Y174/O174,Y174/N174),0)</f>
      </c>
      <c r="AC174" s="286">
        <f>IFERROR(-1*(AB174*B$1),0)</f>
      </c>
      <c r="AD174" s="286">
        <f>IFERROR(SUM(AB174:AC174),0)</f>
      </c>
      <c r="AE174" s="286">
        <f>IF(ISBLANK(N174),AD174,AD174*5)</f>
      </c>
      <c r="AF174" s="287">
        <f>SUM(AG174:AZ174)</f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8"/>
      <c r="AR174" s="18"/>
      <c r="AS174" s="18"/>
      <c r="AT174" s="1"/>
      <c r="AU174" s="18"/>
      <c r="AV174" s="18"/>
      <c r="AW174" s="18"/>
      <c r="AX174" s="18"/>
      <c r="AY174" s="18"/>
      <c r="AZ174" s="18"/>
      <c r="BA174" s="18"/>
      <c r="BB174" s="18"/>
      <c r="BC174" s="16"/>
      <c r="BD174" s="16"/>
      <c r="BE174" s="16"/>
      <c r="BF174" s="286">
        <f>Z174-AF174</f>
      </c>
      <c r="BG174" s="321">
        <f>IFERROR(AF174/Y174,0)</f>
      </c>
      <c r="BH174" s="214">
        <f>IFERROR(AF174/X174,0)</f>
      </c>
      <c r="BI174" s="284">
        <f>IFERROR((X174/SUM(X$26:X$40)),0)</f>
      </c>
      <c r="BJ174" s="284">
        <f>IFERROR((BF174/SUM(BF$3:BF371)),0)</f>
      </c>
      <c r="BK174" s="288">
        <f>BF174/'R&amp;H Portfolio'!Q$10</f>
      </c>
      <c r="BL174" s="286">
        <f>BI174*P174</f>
      </c>
      <c r="BM174" s="3"/>
      <c r="BN174" s="3"/>
      <c r="BO174" s="17"/>
    </row>
    <row x14ac:dyDescent="0.25" r="175" customHeight="1" ht="15">
      <c r="A175" s="17"/>
      <c r="B175" s="14"/>
      <c r="C175" s="3"/>
      <c r="D175" s="3"/>
      <c r="E175" s="3"/>
      <c r="F175" s="3"/>
      <c r="G175" s="16"/>
      <c r="H175" s="18"/>
      <c r="I175" s="18"/>
      <c r="J175" s="279">
        <f>H175+I175</f>
      </c>
      <c r="K175" s="1"/>
      <c r="L175" s="123">
        <f>K175*I175</f>
      </c>
      <c r="M175" s="123">
        <f>K175*J175</f>
      </c>
      <c r="N175" s="16"/>
      <c r="O175" s="16"/>
      <c r="P175" s="282">
        <f>IF(ISBLANK(N175),O175/4.3,N175/20)</f>
      </c>
      <c r="Q175" s="1"/>
      <c r="R175" s="3"/>
      <c r="S175" s="3"/>
      <c r="T175" s="256">
        <f>IF(ISBLANK(R175),0,X175)</f>
      </c>
      <c r="U175" s="256">
        <f>IF(ISBLANK(S175),0,X175)</f>
      </c>
      <c r="V175" s="284">
        <f>IFERROR(Q175/K175,0)</f>
      </c>
      <c r="W175" s="123">
        <f>IFERROR(L175*V175,0)</f>
      </c>
      <c r="X175" s="256">
        <f>IFERROR(Q175+W175,0)</f>
      </c>
      <c r="Y175" s="256">
        <f>IFERROR(M175*V175,0)</f>
      </c>
      <c r="Z175" s="256">
        <f>Y175-(Y175*$B$1)</f>
      </c>
      <c r="AA175" s="285">
        <f>IFERROR(Z175/X175,0)</f>
      </c>
      <c r="AB175" s="286">
        <f>IFERROR(IF(ISBLANK(N175),Y175/O175,Y175/N175),0)</f>
      </c>
      <c r="AC175" s="286">
        <f>IFERROR(-1*(AB175*B$1),0)</f>
      </c>
      <c r="AD175" s="286">
        <f>IFERROR(SUM(AB175:AC175),0)</f>
      </c>
      <c r="AE175" s="286">
        <f>IF(ISBLANK(N175),AD175,AD175*5)</f>
      </c>
      <c r="AF175" s="287">
        <f>SUM(AG175:AZ175)</f>
      </c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18"/>
      <c r="AR175" s="18"/>
      <c r="AS175" s="18"/>
      <c r="AT175" s="1"/>
      <c r="AU175" s="18"/>
      <c r="AV175" s="18"/>
      <c r="AW175" s="18"/>
      <c r="AX175" s="18"/>
      <c r="AY175" s="18"/>
      <c r="AZ175" s="18"/>
      <c r="BA175" s="18"/>
      <c r="BB175" s="18"/>
      <c r="BC175" s="16"/>
      <c r="BD175" s="16"/>
      <c r="BE175" s="16"/>
      <c r="BF175" s="286">
        <f>Z175-AF175</f>
      </c>
      <c r="BG175" s="321">
        <f>IFERROR(AF175/Y175,0)</f>
      </c>
      <c r="BH175" s="214">
        <f>IFERROR(AF175/X175,0)</f>
      </c>
      <c r="BI175" s="284">
        <f>IFERROR((X175/SUM(X$26:X$40)),0)</f>
      </c>
      <c r="BJ175" s="284">
        <f>IFERROR((BF175/SUM(BF$3:BF372)),0)</f>
      </c>
      <c r="BK175" s="288">
        <f>BF175/'R&amp;H Portfolio'!Q$10</f>
      </c>
      <c r="BL175" s="286">
        <f>BI175*P175</f>
      </c>
      <c r="BM175" s="3"/>
      <c r="BN175" s="3"/>
      <c r="BO175" s="17"/>
    </row>
    <row x14ac:dyDescent="0.25" r="176" customHeight="1" ht="15">
      <c r="A176" s="17"/>
      <c r="B176" s="14"/>
      <c r="C176" s="3"/>
      <c r="D176" s="3"/>
      <c r="E176" s="3"/>
      <c r="F176" s="3"/>
      <c r="G176" s="16"/>
      <c r="H176" s="18"/>
      <c r="I176" s="18"/>
      <c r="J176" s="279">
        <f>H176+I176</f>
      </c>
      <c r="K176" s="1"/>
      <c r="L176" s="123">
        <f>K176*I176</f>
      </c>
      <c r="M176" s="123">
        <f>K176*J176</f>
      </c>
      <c r="N176" s="16"/>
      <c r="O176" s="16"/>
      <c r="P176" s="282">
        <f>IF(ISBLANK(N176),O176/4.3,N176/20)</f>
      </c>
      <c r="Q176" s="1"/>
      <c r="R176" s="3"/>
      <c r="S176" s="3"/>
      <c r="T176" s="256">
        <f>IF(ISBLANK(R176),0,X176)</f>
      </c>
      <c r="U176" s="256">
        <f>IF(ISBLANK(S176),0,X176)</f>
      </c>
      <c r="V176" s="284">
        <f>IFERROR(Q176/K176,0)</f>
      </c>
      <c r="W176" s="123">
        <f>IFERROR(L176*V176,0)</f>
      </c>
      <c r="X176" s="256">
        <f>IFERROR(Q176+W176,0)</f>
      </c>
      <c r="Y176" s="256">
        <f>IFERROR(M176*V176,0)</f>
      </c>
      <c r="Z176" s="256">
        <f>Y176-(Y176*$B$1)</f>
      </c>
      <c r="AA176" s="285">
        <f>IFERROR(Z176/X176,0)</f>
      </c>
      <c r="AB176" s="286">
        <f>IFERROR(IF(ISBLANK(N176),Y176/O176,Y176/N176),0)</f>
      </c>
      <c r="AC176" s="286">
        <f>IFERROR(-1*(AB176*B$1),0)</f>
      </c>
      <c r="AD176" s="286">
        <f>IFERROR(SUM(AB176:AC176),0)</f>
      </c>
      <c r="AE176" s="286">
        <f>IF(ISBLANK(N176),AD176,AD176*5)</f>
      </c>
      <c r="AF176" s="287">
        <f>SUM(AG176:AZ176)</f>
      </c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18"/>
      <c r="AR176" s="18"/>
      <c r="AS176" s="18"/>
      <c r="AT176" s="1"/>
      <c r="AU176" s="18"/>
      <c r="AV176" s="18"/>
      <c r="AW176" s="18"/>
      <c r="AX176" s="18"/>
      <c r="AY176" s="18"/>
      <c r="AZ176" s="18"/>
      <c r="BA176" s="18"/>
      <c r="BB176" s="18"/>
      <c r="BC176" s="16"/>
      <c r="BD176" s="16"/>
      <c r="BE176" s="16"/>
      <c r="BF176" s="286">
        <f>Z176-AF176</f>
      </c>
      <c r="BG176" s="321">
        <f>IFERROR(AF176/Y176,0)</f>
      </c>
      <c r="BH176" s="214">
        <f>IFERROR(AF176/X176,0)</f>
      </c>
      <c r="BI176" s="284">
        <f>IFERROR((X176/SUM(X$26:X$40)),0)</f>
      </c>
      <c r="BJ176" s="284">
        <f>IFERROR((BF176/SUM(BF$3:BF373)),0)</f>
      </c>
      <c r="BK176" s="288">
        <f>BF176/'R&amp;H Portfolio'!Q$10</f>
      </c>
      <c r="BL176" s="286">
        <f>BI176*P176</f>
      </c>
      <c r="BM176" s="3"/>
      <c r="BN176" s="3"/>
      <c r="BO176" s="17"/>
    </row>
    <row x14ac:dyDescent="0.25" r="177" customHeight="1" ht="15">
      <c r="A177" s="17"/>
      <c r="B177" s="14"/>
      <c r="C177" s="3"/>
      <c r="D177" s="3"/>
      <c r="E177" s="3"/>
      <c r="F177" s="3"/>
      <c r="G177" s="16"/>
      <c r="H177" s="18"/>
      <c r="I177" s="18"/>
      <c r="J177" s="279">
        <f>H177+I177</f>
      </c>
      <c r="K177" s="1"/>
      <c r="L177" s="123">
        <f>K177*I177</f>
      </c>
      <c r="M177" s="123">
        <f>K177*J177</f>
      </c>
      <c r="N177" s="16"/>
      <c r="O177" s="16"/>
      <c r="P177" s="282">
        <f>IF(ISBLANK(N177),O177/4.3,N177/20)</f>
      </c>
      <c r="Q177" s="1"/>
      <c r="R177" s="3"/>
      <c r="S177" s="3"/>
      <c r="T177" s="256">
        <f>IF(ISBLANK(R177),0,X177)</f>
      </c>
      <c r="U177" s="256">
        <f>IF(ISBLANK(S177),0,X177)</f>
      </c>
      <c r="V177" s="284">
        <f>IFERROR(Q177/K177,0)</f>
      </c>
      <c r="W177" s="123">
        <f>IFERROR(L177*V177,0)</f>
      </c>
      <c r="X177" s="256">
        <f>IFERROR(Q177+W177,0)</f>
      </c>
      <c r="Y177" s="256">
        <f>IFERROR(M177*V177,0)</f>
      </c>
      <c r="Z177" s="256">
        <f>Y177-(Y177*$B$1)</f>
      </c>
      <c r="AA177" s="285">
        <f>IFERROR(Z177/X177,0)</f>
      </c>
      <c r="AB177" s="286">
        <f>IFERROR(IF(ISBLANK(N177),Y177/O177,Y177/N177),0)</f>
      </c>
      <c r="AC177" s="286">
        <f>IFERROR(-1*(AB177*B$1),0)</f>
      </c>
      <c r="AD177" s="286">
        <f>IFERROR(SUM(AB177:AC177),0)</f>
      </c>
      <c r="AE177" s="286">
        <f>IF(ISBLANK(N177),AD177,AD177*5)</f>
      </c>
      <c r="AF177" s="287">
        <f>SUM(AG177:AZ177)</f>
      </c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8"/>
      <c r="AR177" s="18"/>
      <c r="AS177" s="18"/>
      <c r="AT177" s="1"/>
      <c r="AU177" s="18"/>
      <c r="AV177" s="18"/>
      <c r="AW177" s="18"/>
      <c r="AX177" s="18"/>
      <c r="AY177" s="18"/>
      <c r="AZ177" s="18"/>
      <c r="BA177" s="18"/>
      <c r="BB177" s="18"/>
      <c r="BC177" s="16"/>
      <c r="BD177" s="16"/>
      <c r="BE177" s="16"/>
      <c r="BF177" s="286">
        <f>Z177-AF177</f>
      </c>
      <c r="BG177" s="321">
        <f>IFERROR(AF177/Y177,0)</f>
      </c>
      <c r="BH177" s="214">
        <f>IFERROR(AF177/X177,0)</f>
      </c>
      <c r="BI177" s="284">
        <f>IFERROR((X177/SUM(X$26:X$40)),0)</f>
      </c>
      <c r="BJ177" s="284">
        <f>IFERROR((BF177/SUM(BF$3:BF374)),0)</f>
      </c>
      <c r="BK177" s="288">
        <f>BF177/'R&amp;H Portfolio'!Q$10</f>
      </c>
      <c r="BL177" s="286">
        <f>BI177*P177</f>
      </c>
      <c r="BM177" s="3"/>
      <c r="BN177" s="3"/>
      <c r="BO177" s="17"/>
    </row>
    <row x14ac:dyDescent="0.25" r="178" customHeight="1" ht="15">
      <c r="A178" s="17"/>
      <c r="B178" s="14"/>
      <c r="C178" s="3"/>
      <c r="D178" s="3"/>
      <c r="E178" s="3"/>
      <c r="F178" s="3"/>
      <c r="G178" s="16"/>
      <c r="H178" s="18"/>
      <c r="I178" s="18"/>
      <c r="J178" s="279">
        <f>H178+I178</f>
      </c>
      <c r="K178" s="1"/>
      <c r="L178" s="123">
        <f>K178*I178</f>
      </c>
      <c r="M178" s="123">
        <f>K178*J178</f>
      </c>
      <c r="N178" s="16"/>
      <c r="O178" s="16"/>
      <c r="P178" s="282">
        <f>IF(ISBLANK(N178),O178/4.3,N178/20)</f>
      </c>
      <c r="Q178" s="1"/>
      <c r="R178" s="3"/>
      <c r="S178" s="3"/>
      <c r="T178" s="256">
        <f>IF(ISBLANK(R178),0,X178)</f>
      </c>
      <c r="U178" s="256">
        <f>IF(ISBLANK(S178),0,X178)</f>
      </c>
      <c r="V178" s="284">
        <f>IFERROR(Q178/K178,0)</f>
      </c>
      <c r="W178" s="123">
        <f>IFERROR(L178*V178,0)</f>
      </c>
      <c r="X178" s="256">
        <f>IFERROR(Q178+W178,0)</f>
      </c>
      <c r="Y178" s="256">
        <f>IFERROR(M178*V178,0)</f>
      </c>
      <c r="Z178" s="256">
        <f>Y178-(Y178*$B$1)</f>
      </c>
      <c r="AA178" s="285">
        <f>IFERROR(Z178/X178,0)</f>
      </c>
      <c r="AB178" s="286">
        <f>IFERROR(IF(ISBLANK(N178),Y178/O178,Y178/N178),0)</f>
      </c>
      <c r="AC178" s="286">
        <f>IFERROR(-1*(AB178*B$1),0)</f>
      </c>
      <c r="AD178" s="286">
        <f>IFERROR(SUM(AB178:AC178),0)</f>
      </c>
      <c r="AE178" s="286">
        <f>IF(ISBLANK(N178),AD178,AD178*5)</f>
      </c>
      <c r="AF178" s="287">
        <f>SUM(AG178:AZ178)</f>
      </c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18"/>
      <c r="AR178" s="18"/>
      <c r="AS178" s="18"/>
      <c r="AT178" s="1"/>
      <c r="AU178" s="18"/>
      <c r="AV178" s="18"/>
      <c r="AW178" s="18"/>
      <c r="AX178" s="18"/>
      <c r="AY178" s="18"/>
      <c r="AZ178" s="18"/>
      <c r="BA178" s="18"/>
      <c r="BB178" s="18"/>
      <c r="BC178" s="16"/>
      <c r="BD178" s="16"/>
      <c r="BE178" s="16"/>
      <c r="BF178" s="286">
        <f>Z178-AF178</f>
      </c>
      <c r="BG178" s="321">
        <f>IFERROR(AF178/Y178,0)</f>
      </c>
      <c r="BH178" s="214">
        <f>IFERROR(AF178/X178,0)</f>
      </c>
      <c r="BI178" s="284">
        <f>IFERROR((X178/SUM(X$26:X$40)),0)</f>
      </c>
      <c r="BJ178" s="284">
        <f>IFERROR((BF178/SUM(BF$3:BF375)),0)</f>
      </c>
      <c r="BK178" s="288">
        <f>BF178/'R&amp;H Portfolio'!Q$10</f>
      </c>
      <c r="BL178" s="286">
        <f>BI178*P178</f>
      </c>
      <c r="BM178" s="3"/>
      <c r="BN178" s="3"/>
      <c r="BO178" s="17"/>
    </row>
    <row x14ac:dyDescent="0.25" r="179" customHeight="1" ht="15">
      <c r="A179" s="17"/>
      <c r="B179" s="14"/>
      <c r="C179" s="3"/>
      <c r="D179" s="3"/>
      <c r="E179" s="3"/>
      <c r="F179" s="3"/>
      <c r="G179" s="16"/>
      <c r="H179" s="18"/>
      <c r="I179" s="18"/>
      <c r="J179" s="279">
        <f>H179+I179</f>
      </c>
      <c r="K179" s="1"/>
      <c r="L179" s="123">
        <f>K179*I179</f>
      </c>
      <c r="M179" s="123">
        <f>K179*J179</f>
      </c>
      <c r="N179" s="16"/>
      <c r="O179" s="16"/>
      <c r="P179" s="282">
        <f>IF(ISBLANK(N179),O179/4.3,N179/20)</f>
      </c>
      <c r="Q179" s="1"/>
      <c r="R179" s="3"/>
      <c r="S179" s="3"/>
      <c r="T179" s="256">
        <f>IF(ISBLANK(R179),0,X179)</f>
      </c>
      <c r="U179" s="256">
        <f>IF(ISBLANK(S179),0,X179)</f>
      </c>
      <c r="V179" s="284">
        <f>IFERROR(Q179/K179,0)</f>
      </c>
      <c r="W179" s="123">
        <f>IFERROR(L179*V179,0)</f>
      </c>
      <c r="X179" s="256">
        <f>IFERROR(Q179+W179,0)</f>
      </c>
      <c r="Y179" s="256">
        <f>IFERROR(M179*V179,0)</f>
      </c>
      <c r="Z179" s="256">
        <f>Y179-(Y179*$B$1)</f>
      </c>
      <c r="AA179" s="285">
        <f>IFERROR(Z179/X179,0)</f>
      </c>
      <c r="AB179" s="286">
        <f>IFERROR(IF(ISBLANK(N179),Y179/O179,Y179/N179),0)</f>
      </c>
      <c r="AC179" s="286">
        <f>IFERROR(-1*(AB179*B$1),0)</f>
      </c>
      <c r="AD179" s="286">
        <f>IFERROR(SUM(AB179:AC179),0)</f>
      </c>
      <c r="AE179" s="286">
        <f>IF(ISBLANK(N179),AD179,AD179*5)</f>
      </c>
      <c r="AF179" s="287">
        <f>SUM(AG179:AZ179)</f>
      </c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8"/>
      <c r="AR179" s="18"/>
      <c r="AS179" s="18"/>
      <c r="AT179" s="1"/>
      <c r="AU179" s="18"/>
      <c r="AV179" s="18"/>
      <c r="AW179" s="18"/>
      <c r="AX179" s="18"/>
      <c r="AY179" s="18"/>
      <c r="AZ179" s="18"/>
      <c r="BA179" s="18"/>
      <c r="BB179" s="18"/>
      <c r="BC179" s="16"/>
      <c r="BD179" s="16"/>
      <c r="BE179" s="16"/>
      <c r="BF179" s="286">
        <f>Z179-AF179</f>
      </c>
      <c r="BG179" s="321">
        <f>IFERROR(AF179/Y179,0)</f>
      </c>
      <c r="BH179" s="214">
        <f>IFERROR(AF179/X179,0)</f>
      </c>
      <c r="BI179" s="284">
        <f>IFERROR((X179/SUM(X$26:X$40)),0)</f>
      </c>
      <c r="BJ179" s="284">
        <f>IFERROR((BF179/SUM(BF$3:BF376)),0)</f>
      </c>
      <c r="BK179" s="288">
        <f>BF179/'R&amp;H Portfolio'!Q$10</f>
      </c>
      <c r="BL179" s="286">
        <f>BI179*P179</f>
      </c>
      <c r="BM179" s="3"/>
      <c r="BN179" s="3"/>
      <c r="BO179" s="17"/>
    </row>
    <row x14ac:dyDescent="0.25" r="180" customHeight="1" ht="15">
      <c r="A180" s="17"/>
      <c r="B180" s="14"/>
      <c r="C180" s="3"/>
      <c r="D180" s="3"/>
      <c r="E180" s="3"/>
      <c r="F180" s="3"/>
      <c r="G180" s="16"/>
      <c r="H180" s="18"/>
      <c r="I180" s="18"/>
      <c r="J180" s="279">
        <f>H180+I180</f>
      </c>
      <c r="K180" s="1"/>
      <c r="L180" s="123">
        <f>K180*I180</f>
      </c>
      <c r="M180" s="123">
        <f>K180*J180</f>
      </c>
      <c r="N180" s="16"/>
      <c r="O180" s="16"/>
      <c r="P180" s="282">
        <f>IF(ISBLANK(N180),O180/4.3,N180/20)</f>
      </c>
      <c r="Q180" s="1"/>
      <c r="R180" s="3"/>
      <c r="S180" s="3"/>
      <c r="T180" s="256">
        <f>IF(ISBLANK(R180),0,X180)</f>
      </c>
      <c r="U180" s="256">
        <f>IF(ISBLANK(S180),0,X180)</f>
      </c>
      <c r="V180" s="284">
        <f>IFERROR(Q180/K180,0)</f>
      </c>
      <c r="W180" s="123">
        <f>IFERROR(L180*V180,0)</f>
      </c>
      <c r="X180" s="256">
        <f>IFERROR(Q180+W180,0)</f>
      </c>
      <c r="Y180" s="256">
        <f>IFERROR(M180*V180,0)</f>
      </c>
      <c r="Z180" s="256">
        <f>Y180-(Y180*$B$1)</f>
      </c>
      <c r="AA180" s="285">
        <f>IFERROR(Z180/X180,0)</f>
      </c>
      <c r="AB180" s="286">
        <f>IFERROR(IF(ISBLANK(N180),Y180/O180,Y180/N180),0)</f>
      </c>
      <c r="AC180" s="286">
        <f>IFERROR(-1*(AB180*B$1),0)</f>
      </c>
      <c r="AD180" s="286">
        <f>IFERROR(SUM(AB180:AC180),0)</f>
      </c>
      <c r="AE180" s="286">
        <f>IF(ISBLANK(N180),AD180,AD180*5)</f>
      </c>
      <c r="AF180" s="287">
        <f>SUM(AG180:AZ180)</f>
      </c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8"/>
      <c r="AR180" s="18"/>
      <c r="AS180" s="18"/>
      <c r="AT180" s="1"/>
      <c r="AU180" s="18"/>
      <c r="AV180" s="18"/>
      <c r="AW180" s="18"/>
      <c r="AX180" s="18"/>
      <c r="AY180" s="18"/>
      <c r="AZ180" s="18"/>
      <c r="BA180" s="18"/>
      <c r="BB180" s="18"/>
      <c r="BC180" s="16"/>
      <c r="BD180" s="16"/>
      <c r="BE180" s="16"/>
      <c r="BF180" s="286">
        <f>Z180-AF180</f>
      </c>
      <c r="BG180" s="321">
        <f>IFERROR(AF180/Y180,0)</f>
      </c>
      <c r="BH180" s="214">
        <f>IFERROR(AF180/X180,0)</f>
      </c>
      <c r="BI180" s="284">
        <f>IFERROR((X180/SUM(X$26:X$40)),0)</f>
      </c>
      <c r="BJ180" s="284">
        <f>IFERROR((BF180/SUM(BF$3:BF377)),0)</f>
      </c>
      <c r="BK180" s="288">
        <f>BF180/'R&amp;H Portfolio'!Q$10</f>
      </c>
      <c r="BL180" s="286">
        <f>BI180*P180</f>
      </c>
      <c r="BM180" s="3"/>
      <c r="BN180" s="3"/>
      <c r="BO180" s="17"/>
    </row>
    <row x14ac:dyDescent="0.25" r="181" customHeight="1" ht="15">
      <c r="A181" s="17"/>
      <c r="B181" s="14"/>
      <c r="C181" s="3"/>
      <c r="D181" s="3"/>
      <c r="E181" s="3"/>
      <c r="F181" s="3"/>
      <c r="G181" s="16"/>
      <c r="H181" s="18"/>
      <c r="I181" s="18"/>
      <c r="J181" s="279">
        <f>H181+I181</f>
      </c>
      <c r="K181" s="1"/>
      <c r="L181" s="123">
        <f>K181*I181</f>
      </c>
      <c r="M181" s="123">
        <f>K181*J181</f>
      </c>
      <c r="N181" s="16"/>
      <c r="O181" s="16"/>
      <c r="P181" s="282">
        <f>IF(ISBLANK(N181),O181/4.3,N181/20)</f>
      </c>
      <c r="Q181" s="1"/>
      <c r="R181" s="3"/>
      <c r="S181" s="3"/>
      <c r="T181" s="256">
        <f>IF(ISBLANK(R181),0,X181)</f>
      </c>
      <c r="U181" s="256">
        <f>IF(ISBLANK(S181),0,X181)</f>
      </c>
      <c r="V181" s="284">
        <f>IFERROR(Q181/K181,0)</f>
      </c>
      <c r="W181" s="123">
        <f>IFERROR(L181*V181,0)</f>
      </c>
      <c r="X181" s="256">
        <f>IFERROR(Q181+W181,0)</f>
      </c>
      <c r="Y181" s="256">
        <f>IFERROR(M181*V181,0)</f>
      </c>
      <c r="Z181" s="256">
        <f>Y181-(Y181*$B$1)</f>
      </c>
      <c r="AA181" s="285">
        <f>IFERROR(Z181/X181,0)</f>
      </c>
      <c r="AB181" s="286">
        <f>IFERROR(IF(ISBLANK(N181),Y181/O181,Y181/N181),0)</f>
      </c>
      <c r="AC181" s="286">
        <f>IFERROR(-1*(AB181*B$1),0)</f>
      </c>
      <c r="AD181" s="286">
        <f>IFERROR(SUM(AB181:AC181),0)</f>
      </c>
      <c r="AE181" s="286">
        <f>IF(ISBLANK(N181),AD181,AD181*5)</f>
      </c>
      <c r="AF181" s="287">
        <f>SUM(AG181:AZ181)</f>
      </c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8"/>
      <c r="AR181" s="18"/>
      <c r="AS181" s="18"/>
      <c r="AT181" s="1"/>
      <c r="AU181" s="18"/>
      <c r="AV181" s="18"/>
      <c r="AW181" s="18"/>
      <c r="AX181" s="18"/>
      <c r="AY181" s="18"/>
      <c r="AZ181" s="18"/>
      <c r="BA181" s="18"/>
      <c r="BB181" s="18"/>
      <c r="BC181" s="16"/>
      <c r="BD181" s="16"/>
      <c r="BE181" s="16"/>
      <c r="BF181" s="286">
        <f>Z181-AF181</f>
      </c>
      <c r="BG181" s="321">
        <f>IFERROR(AF181/Y181,0)</f>
      </c>
      <c r="BH181" s="214">
        <f>IFERROR(AF181/X181,0)</f>
      </c>
      <c r="BI181" s="284">
        <f>IFERROR((X181/SUM(X$26:X$40)),0)</f>
      </c>
      <c r="BJ181" s="284">
        <f>IFERROR((BF181/SUM(BF$3:BF378)),0)</f>
      </c>
      <c r="BK181" s="288">
        <f>BF181/'R&amp;H Portfolio'!Q$10</f>
      </c>
      <c r="BL181" s="286">
        <f>BI181*P181</f>
      </c>
      <c r="BM181" s="3"/>
      <c r="BN181" s="3"/>
      <c r="BO181" s="17"/>
    </row>
    <row x14ac:dyDescent="0.25" r="182" customHeight="1" ht="15">
      <c r="A182" s="17"/>
      <c r="B182" s="14"/>
      <c r="C182" s="3"/>
      <c r="D182" s="3"/>
      <c r="E182" s="3"/>
      <c r="F182" s="3"/>
      <c r="G182" s="16"/>
      <c r="H182" s="18"/>
      <c r="I182" s="18"/>
      <c r="J182" s="279">
        <f>H182+I182</f>
      </c>
      <c r="K182" s="1"/>
      <c r="L182" s="123">
        <f>K182*I182</f>
      </c>
      <c r="M182" s="123">
        <f>K182*J182</f>
      </c>
      <c r="N182" s="16"/>
      <c r="O182" s="16"/>
      <c r="P182" s="282">
        <f>IF(ISBLANK(N182),O182/4.3,N182/20)</f>
      </c>
      <c r="Q182" s="1"/>
      <c r="R182" s="3"/>
      <c r="S182" s="3"/>
      <c r="T182" s="256">
        <f>IF(ISBLANK(R182),0,X182)</f>
      </c>
      <c r="U182" s="256">
        <f>IF(ISBLANK(S182),0,X182)</f>
      </c>
      <c r="V182" s="284">
        <f>IFERROR(Q182/K182,0)</f>
      </c>
      <c r="W182" s="123">
        <f>IFERROR(L182*V182,0)</f>
      </c>
      <c r="X182" s="256">
        <f>IFERROR(Q182+W182,0)</f>
      </c>
      <c r="Y182" s="256">
        <f>IFERROR(M182*V182,0)</f>
      </c>
      <c r="Z182" s="256">
        <f>Y182-(Y182*$B$1)</f>
      </c>
      <c r="AA182" s="285">
        <f>IFERROR(Z182/X182,0)</f>
      </c>
      <c r="AB182" s="286">
        <f>IFERROR(IF(ISBLANK(N182),Y182/O182,Y182/N182),0)</f>
      </c>
      <c r="AC182" s="286">
        <f>IFERROR(-1*(AB182*B$1),0)</f>
      </c>
      <c r="AD182" s="286">
        <f>IFERROR(SUM(AB182:AC182),0)</f>
      </c>
      <c r="AE182" s="286">
        <f>IF(ISBLANK(N182),AD182,AD182*5)</f>
      </c>
      <c r="AF182" s="287">
        <f>SUM(AG182:AZ182)</f>
      </c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18"/>
      <c r="AR182" s="18"/>
      <c r="AS182" s="18"/>
      <c r="AT182" s="1"/>
      <c r="AU182" s="18"/>
      <c r="AV182" s="18"/>
      <c r="AW182" s="18"/>
      <c r="AX182" s="18"/>
      <c r="AY182" s="18"/>
      <c r="AZ182" s="18"/>
      <c r="BA182" s="18"/>
      <c r="BB182" s="18"/>
      <c r="BC182" s="16"/>
      <c r="BD182" s="16"/>
      <c r="BE182" s="16"/>
      <c r="BF182" s="286">
        <f>Z182-AF182</f>
      </c>
      <c r="BG182" s="321">
        <f>IFERROR(AF182/Y182,0)</f>
      </c>
      <c r="BH182" s="214">
        <f>IFERROR(AF182/X182,0)</f>
      </c>
      <c r="BI182" s="284">
        <f>IFERROR((X182/SUM(X$26:X$40)),0)</f>
      </c>
      <c r="BJ182" s="284">
        <f>IFERROR((BF182/SUM(BF$3:BF379)),0)</f>
      </c>
      <c r="BK182" s="288">
        <f>BF182/'R&amp;H Portfolio'!Q$10</f>
      </c>
      <c r="BL182" s="286">
        <f>BI182*P182</f>
      </c>
      <c r="BM182" s="3"/>
      <c r="BN182" s="3"/>
      <c r="BO182" s="17"/>
    </row>
    <row x14ac:dyDescent="0.25" r="183" customHeight="1" ht="15">
      <c r="A183" s="17"/>
      <c r="B183" s="14"/>
      <c r="C183" s="3"/>
      <c r="D183" s="3"/>
      <c r="E183" s="3"/>
      <c r="F183" s="3"/>
      <c r="G183" s="16"/>
      <c r="H183" s="18"/>
      <c r="I183" s="18"/>
      <c r="J183" s="279">
        <f>H183+I183</f>
      </c>
      <c r="K183" s="1"/>
      <c r="L183" s="123">
        <f>K183*I183</f>
      </c>
      <c r="M183" s="123">
        <f>K183*J183</f>
      </c>
      <c r="N183" s="16"/>
      <c r="O183" s="16"/>
      <c r="P183" s="282">
        <f>IF(ISBLANK(N183),O183/4.3,N183/20)</f>
      </c>
      <c r="Q183" s="1"/>
      <c r="R183" s="3"/>
      <c r="S183" s="3"/>
      <c r="T183" s="256">
        <f>IF(ISBLANK(R183),0,X183)</f>
      </c>
      <c r="U183" s="256">
        <f>IF(ISBLANK(S183),0,X183)</f>
      </c>
      <c r="V183" s="284">
        <f>IFERROR(Q183/K183,0)</f>
      </c>
      <c r="W183" s="123">
        <f>IFERROR(L183*V183,0)</f>
      </c>
      <c r="X183" s="256">
        <f>IFERROR(Q183+W183,0)</f>
      </c>
      <c r="Y183" s="256">
        <f>IFERROR(M183*V183,0)</f>
      </c>
      <c r="Z183" s="256">
        <f>Y183-(Y183*$B$1)</f>
      </c>
      <c r="AA183" s="285">
        <f>IFERROR(Z183/X183,0)</f>
      </c>
      <c r="AB183" s="286">
        <f>IFERROR(IF(ISBLANK(N183),Y183/O183,Y183/N183),0)</f>
      </c>
      <c r="AC183" s="286">
        <f>IFERROR(-1*(AB183*B$1),0)</f>
      </c>
      <c r="AD183" s="286">
        <f>IFERROR(SUM(AB183:AC183),0)</f>
      </c>
      <c r="AE183" s="286">
        <f>IF(ISBLANK(N183),AD183,AD183*5)</f>
      </c>
      <c r="AF183" s="287">
        <f>SUM(AG183:AZ183)</f>
      </c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8"/>
      <c r="AR183" s="18"/>
      <c r="AS183" s="18"/>
      <c r="AT183" s="1"/>
      <c r="AU183" s="18"/>
      <c r="AV183" s="18"/>
      <c r="AW183" s="18"/>
      <c r="AX183" s="18"/>
      <c r="AY183" s="18"/>
      <c r="AZ183" s="18"/>
      <c r="BA183" s="18"/>
      <c r="BB183" s="18"/>
      <c r="BC183" s="16"/>
      <c r="BD183" s="16"/>
      <c r="BE183" s="16"/>
      <c r="BF183" s="286">
        <f>Z183-AF183</f>
      </c>
      <c r="BG183" s="321">
        <f>IFERROR(AF183/Y183,0)</f>
      </c>
      <c r="BH183" s="214">
        <f>IFERROR(AF183/X183,0)</f>
      </c>
      <c r="BI183" s="284">
        <f>IFERROR((X183/SUM(X$26:X$40)),0)</f>
      </c>
      <c r="BJ183" s="284">
        <f>IFERROR((BF183/SUM(BF$3:BF380)),0)</f>
      </c>
      <c r="BK183" s="288">
        <f>BF183/'R&amp;H Portfolio'!Q$10</f>
      </c>
      <c r="BL183" s="286">
        <f>BI183*P183</f>
      </c>
      <c r="BM183" s="3"/>
      <c r="BN183" s="3"/>
      <c r="BO183" s="17"/>
    </row>
    <row x14ac:dyDescent="0.25" r="184" customHeight="1" ht="15">
      <c r="A184" s="17"/>
      <c r="B184" s="14"/>
      <c r="C184" s="3"/>
      <c r="D184" s="3"/>
      <c r="E184" s="3"/>
      <c r="F184" s="3"/>
      <c r="G184" s="16"/>
      <c r="H184" s="18"/>
      <c r="I184" s="18"/>
      <c r="J184" s="279">
        <f>H184+I184</f>
      </c>
      <c r="K184" s="1"/>
      <c r="L184" s="123">
        <f>K184*I184</f>
      </c>
      <c r="M184" s="123">
        <f>K184*J184</f>
      </c>
      <c r="N184" s="16"/>
      <c r="O184" s="16"/>
      <c r="P184" s="282">
        <f>IF(ISBLANK(N184),O184/4.3,N184/20)</f>
      </c>
      <c r="Q184" s="1"/>
      <c r="R184" s="3"/>
      <c r="S184" s="3"/>
      <c r="T184" s="256">
        <f>IF(ISBLANK(R184),0,X184)</f>
      </c>
      <c r="U184" s="256">
        <f>IF(ISBLANK(S184),0,X184)</f>
      </c>
      <c r="V184" s="284">
        <f>IFERROR(Q184/K184,0)</f>
      </c>
      <c r="W184" s="123">
        <f>IFERROR(L184*V184,0)</f>
      </c>
      <c r="X184" s="256">
        <f>IFERROR(Q184+W184,0)</f>
      </c>
      <c r="Y184" s="256">
        <f>IFERROR(M184*V184,0)</f>
      </c>
      <c r="Z184" s="256">
        <f>Y184-(Y184*$B$1)</f>
      </c>
      <c r="AA184" s="285">
        <f>IFERROR(Z184/X184,0)</f>
      </c>
      <c r="AB184" s="286">
        <f>IFERROR(IF(ISBLANK(N184),Y184/O184,Y184/N184),0)</f>
      </c>
      <c r="AC184" s="286">
        <f>IFERROR(-1*(AB184*B$1),0)</f>
      </c>
      <c r="AD184" s="286">
        <f>IFERROR(SUM(AB184:AC184),0)</f>
      </c>
      <c r="AE184" s="286">
        <f>IF(ISBLANK(N184),AD184,AD184*5)</f>
      </c>
      <c r="AF184" s="287">
        <f>SUM(AG184:AZ184)</f>
      </c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18"/>
      <c r="AR184" s="18"/>
      <c r="AS184" s="18"/>
      <c r="AT184" s="1"/>
      <c r="AU184" s="18"/>
      <c r="AV184" s="18"/>
      <c r="AW184" s="18"/>
      <c r="AX184" s="18"/>
      <c r="AY184" s="18"/>
      <c r="AZ184" s="18"/>
      <c r="BA184" s="18"/>
      <c r="BB184" s="18"/>
      <c r="BC184" s="16"/>
      <c r="BD184" s="16"/>
      <c r="BE184" s="16"/>
      <c r="BF184" s="286">
        <f>Z184-AF184</f>
      </c>
      <c r="BG184" s="321">
        <f>IFERROR(AF184/Y184,0)</f>
      </c>
      <c r="BH184" s="214">
        <f>IFERROR(AF184/X184,0)</f>
      </c>
      <c r="BI184" s="284">
        <f>IFERROR((X184/SUM(X$26:X$40)),0)</f>
      </c>
      <c r="BJ184" s="284">
        <f>IFERROR((BF184/SUM(BF$3:BF381)),0)</f>
      </c>
      <c r="BK184" s="288">
        <f>BF184/'R&amp;H Portfolio'!Q$10</f>
      </c>
      <c r="BL184" s="286">
        <f>BI184*P184</f>
      </c>
      <c r="BM184" s="3"/>
      <c r="BN184" s="3"/>
      <c r="BO184" s="17"/>
    </row>
    <row x14ac:dyDescent="0.25" r="185" customHeight="1" ht="15">
      <c r="A185" s="17"/>
      <c r="B185" s="14"/>
      <c r="C185" s="3"/>
      <c r="D185" s="3"/>
      <c r="E185" s="3"/>
      <c r="F185" s="3"/>
      <c r="G185" s="16"/>
      <c r="H185" s="18"/>
      <c r="I185" s="18"/>
      <c r="J185" s="279">
        <f>H185+I185</f>
      </c>
      <c r="K185" s="1"/>
      <c r="L185" s="123">
        <f>K185*I185</f>
      </c>
      <c r="M185" s="123">
        <f>K185*J185</f>
      </c>
      <c r="N185" s="16"/>
      <c r="O185" s="16"/>
      <c r="P185" s="282">
        <f>IF(ISBLANK(N185),O185/4.3,N185/20)</f>
      </c>
      <c r="Q185" s="1"/>
      <c r="R185" s="3"/>
      <c r="S185" s="3"/>
      <c r="T185" s="256">
        <f>IF(ISBLANK(R185),0,X185)</f>
      </c>
      <c r="U185" s="256">
        <f>IF(ISBLANK(S185),0,X185)</f>
      </c>
      <c r="V185" s="284">
        <f>IFERROR(Q185/K185,0)</f>
      </c>
      <c r="W185" s="123">
        <f>IFERROR(L185*V185,0)</f>
      </c>
      <c r="X185" s="256">
        <f>IFERROR(Q185+W185,0)</f>
      </c>
      <c r="Y185" s="256">
        <f>IFERROR(M185*V185,0)</f>
      </c>
      <c r="Z185" s="256">
        <f>Y185-(Y185*$B$1)</f>
      </c>
      <c r="AA185" s="285">
        <f>IFERROR(Z185/X185,0)</f>
      </c>
      <c r="AB185" s="286">
        <f>IFERROR(IF(ISBLANK(N185),Y185/O185,Y185/N185),0)</f>
      </c>
      <c r="AC185" s="286">
        <f>IFERROR(-1*(AB185*B$1),0)</f>
      </c>
      <c r="AD185" s="286">
        <f>IFERROR(SUM(AB185:AC185),0)</f>
      </c>
      <c r="AE185" s="286">
        <f>IF(ISBLANK(N185),AD185,AD185*5)</f>
      </c>
      <c r="AF185" s="287">
        <f>SUM(AG185:AZ185)</f>
      </c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18"/>
      <c r="AR185" s="18"/>
      <c r="AS185" s="18"/>
      <c r="AT185" s="1"/>
      <c r="AU185" s="18"/>
      <c r="AV185" s="18"/>
      <c r="AW185" s="18"/>
      <c r="AX185" s="18"/>
      <c r="AY185" s="18"/>
      <c r="AZ185" s="18"/>
      <c r="BA185" s="18"/>
      <c r="BB185" s="18"/>
      <c r="BC185" s="16"/>
      <c r="BD185" s="16"/>
      <c r="BE185" s="16"/>
      <c r="BF185" s="286">
        <f>Z185-AF185</f>
      </c>
      <c r="BG185" s="321">
        <f>IFERROR(AF185/Y185,0)</f>
      </c>
      <c r="BH185" s="214">
        <f>IFERROR(AF185/X185,0)</f>
      </c>
      <c r="BI185" s="284">
        <f>IFERROR((X185/SUM(X$26:X$40)),0)</f>
      </c>
      <c r="BJ185" s="284">
        <f>IFERROR((BF185/SUM(BF$3:BF382)),0)</f>
      </c>
      <c r="BK185" s="288">
        <f>BF185/'R&amp;H Portfolio'!Q$10</f>
      </c>
      <c r="BL185" s="286">
        <f>BI185*P185</f>
      </c>
      <c r="BM185" s="3"/>
      <c r="BN185" s="3"/>
      <c r="BO185" s="17"/>
    </row>
    <row x14ac:dyDescent="0.25" r="186" customHeight="1" ht="15">
      <c r="A186" s="17"/>
      <c r="B186" s="14"/>
      <c r="C186" s="3"/>
      <c r="D186" s="3"/>
      <c r="E186" s="3"/>
      <c r="F186" s="3"/>
      <c r="G186" s="16"/>
      <c r="H186" s="18"/>
      <c r="I186" s="18"/>
      <c r="J186" s="279">
        <f>H186+I186</f>
      </c>
      <c r="K186" s="1"/>
      <c r="L186" s="123">
        <f>K186*I186</f>
      </c>
      <c r="M186" s="123">
        <f>K186*J186</f>
      </c>
      <c r="N186" s="16"/>
      <c r="O186" s="16"/>
      <c r="P186" s="282">
        <f>IF(ISBLANK(N186),O186/4.3,N186/20)</f>
      </c>
      <c r="Q186" s="1"/>
      <c r="R186" s="3"/>
      <c r="S186" s="3"/>
      <c r="T186" s="256">
        <f>IF(ISBLANK(R186),0,X186)</f>
      </c>
      <c r="U186" s="256">
        <f>IF(ISBLANK(S186),0,X186)</f>
      </c>
      <c r="V186" s="284">
        <f>IFERROR(Q186/K186,0)</f>
      </c>
      <c r="W186" s="123">
        <f>IFERROR(L186*V186,0)</f>
      </c>
      <c r="X186" s="256">
        <f>IFERROR(Q186+W186,0)</f>
      </c>
      <c r="Y186" s="256">
        <f>IFERROR(M186*V186,0)</f>
      </c>
      <c r="Z186" s="256">
        <f>Y186-(Y186*$B$1)</f>
      </c>
      <c r="AA186" s="285">
        <f>IFERROR(Z186/X186,0)</f>
      </c>
      <c r="AB186" s="286">
        <f>IFERROR(IF(ISBLANK(N186),Y186/O186,Y186/N186),0)</f>
      </c>
      <c r="AC186" s="286">
        <f>IFERROR(-1*(AB186*B$1),0)</f>
      </c>
      <c r="AD186" s="286">
        <f>IFERROR(SUM(AB186:AC186),0)</f>
      </c>
      <c r="AE186" s="286">
        <f>IF(ISBLANK(N186),AD186,AD186*5)</f>
      </c>
      <c r="AF186" s="287">
        <f>SUM(AG186:AZ186)</f>
      </c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8"/>
      <c r="AR186" s="18"/>
      <c r="AS186" s="18"/>
      <c r="AT186" s="1"/>
      <c r="AU186" s="18"/>
      <c r="AV186" s="18"/>
      <c r="AW186" s="18"/>
      <c r="AX186" s="18"/>
      <c r="AY186" s="18"/>
      <c r="AZ186" s="18"/>
      <c r="BA186" s="18"/>
      <c r="BB186" s="18"/>
      <c r="BC186" s="16"/>
      <c r="BD186" s="16"/>
      <c r="BE186" s="16"/>
      <c r="BF186" s="286">
        <f>Z186-AF186</f>
      </c>
      <c r="BG186" s="321">
        <f>IFERROR(AF186/Y186,0)</f>
      </c>
      <c r="BH186" s="214">
        <f>IFERROR(AF186/X186,0)</f>
      </c>
      <c r="BI186" s="284">
        <f>IFERROR((X186/SUM(X$26:X$40)),0)</f>
      </c>
      <c r="BJ186" s="284">
        <f>IFERROR((BF186/SUM(BF$3:BF383)),0)</f>
      </c>
      <c r="BK186" s="288">
        <f>BF186/'R&amp;H Portfolio'!Q$10</f>
      </c>
      <c r="BL186" s="286">
        <f>BI186*P186</f>
      </c>
      <c r="BM186" s="3"/>
      <c r="BN186" s="3"/>
      <c r="BO186" s="17"/>
    </row>
    <row x14ac:dyDescent="0.25" r="187" customHeight="1" ht="15">
      <c r="A187" s="17"/>
      <c r="B187" s="14"/>
      <c r="C187" s="3"/>
      <c r="D187" s="3"/>
      <c r="E187" s="3"/>
      <c r="F187" s="3"/>
      <c r="G187" s="16"/>
      <c r="H187" s="18"/>
      <c r="I187" s="18"/>
      <c r="J187" s="279">
        <f>H187+I187</f>
      </c>
      <c r="K187" s="1"/>
      <c r="L187" s="123">
        <f>K187*I187</f>
      </c>
      <c r="M187" s="123">
        <f>K187*J187</f>
      </c>
      <c r="N187" s="16"/>
      <c r="O187" s="16"/>
      <c r="P187" s="282">
        <f>IF(ISBLANK(N187),O187/4.3,N187/20)</f>
      </c>
      <c r="Q187" s="1"/>
      <c r="R187" s="3"/>
      <c r="S187" s="3"/>
      <c r="T187" s="256">
        <f>IF(ISBLANK(R187),0,X187)</f>
      </c>
      <c r="U187" s="256">
        <f>IF(ISBLANK(S187),0,X187)</f>
      </c>
      <c r="V187" s="284">
        <f>IFERROR(Q187/K187,0)</f>
      </c>
      <c r="W187" s="123">
        <f>IFERROR(L187*V187,0)</f>
      </c>
      <c r="X187" s="256">
        <f>IFERROR(Q187+W187,0)</f>
      </c>
      <c r="Y187" s="256">
        <f>IFERROR(M187*V187,0)</f>
      </c>
      <c r="Z187" s="256">
        <f>Y187-(Y187*$B$1)</f>
      </c>
      <c r="AA187" s="285">
        <f>IFERROR(Z187/X187,0)</f>
      </c>
      <c r="AB187" s="286">
        <f>IFERROR(IF(ISBLANK(N187),Y187/O187,Y187/N187),0)</f>
      </c>
      <c r="AC187" s="286">
        <f>IFERROR(-1*(AB187*B$1),0)</f>
      </c>
      <c r="AD187" s="286">
        <f>IFERROR(SUM(AB187:AC187),0)</f>
      </c>
      <c r="AE187" s="286">
        <f>IF(ISBLANK(N187),AD187,AD187*5)</f>
      </c>
      <c r="AF187" s="287">
        <f>SUM(AG187:AZ187)</f>
      </c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8"/>
      <c r="AR187" s="18"/>
      <c r="AS187" s="18"/>
      <c r="AT187" s="1"/>
      <c r="AU187" s="18"/>
      <c r="AV187" s="18"/>
      <c r="AW187" s="18"/>
      <c r="AX187" s="18"/>
      <c r="AY187" s="18"/>
      <c r="AZ187" s="18"/>
      <c r="BA187" s="18"/>
      <c r="BB187" s="18"/>
      <c r="BC187" s="16"/>
      <c r="BD187" s="16"/>
      <c r="BE187" s="16"/>
      <c r="BF187" s="286">
        <f>Z187-AF187</f>
      </c>
      <c r="BG187" s="321">
        <f>IFERROR(AF187/Y187,0)</f>
      </c>
      <c r="BH187" s="214">
        <f>IFERROR(AF187/X187,0)</f>
      </c>
      <c r="BI187" s="284">
        <f>IFERROR((X187/SUM(X$26:X$40)),0)</f>
      </c>
      <c r="BJ187" s="284">
        <f>IFERROR((BF187/SUM(BF$3:BF384)),0)</f>
      </c>
      <c r="BK187" s="288">
        <f>BF187/'R&amp;H Portfolio'!Q$10</f>
      </c>
      <c r="BL187" s="286">
        <f>BI187*P187</f>
      </c>
      <c r="BM187" s="3"/>
      <c r="BN187" s="3"/>
      <c r="BO187" s="17"/>
    </row>
    <row x14ac:dyDescent="0.25" r="188" customHeight="1" ht="15">
      <c r="A188" s="17"/>
      <c r="B188" s="14"/>
      <c r="C188" s="3"/>
      <c r="D188" s="3"/>
      <c r="E188" s="3"/>
      <c r="F188" s="3"/>
      <c r="G188" s="16"/>
      <c r="H188" s="18"/>
      <c r="I188" s="18"/>
      <c r="J188" s="279">
        <f>H188+I188</f>
      </c>
      <c r="K188" s="1"/>
      <c r="L188" s="123">
        <f>K188*I188</f>
      </c>
      <c r="M188" s="123">
        <f>K188*J188</f>
      </c>
      <c r="N188" s="16"/>
      <c r="O188" s="16"/>
      <c r="P188" s="282">
        <f>IF(ISBLANK(N188),O188/4.3,N188/20)</f>
      </c>
      <c r="Q188" s="1"/>
      <c r="R188" s="3"/>
      <c r="S188" s="3"/>
      <c r="T188" s="256">
        <f>IF(ISBLANK(R188),0,X188)</f>
      </c>
      <c r="U188" s="256">
        <f>IF(ISBLANK(S188),0,X188)</f>
      </c>
      <c r="V188" s="284">
        <f>IFERROR(Q188/K188,0)</f>
      </c>
      <c r="W188" s="123">
        <f>IFERROR(L188*V188,0)</f>
      </c>
      <c r="X188" s="256">
        <f>IFERROR(Q188+W188,0)</f>
      </c>
      <c r="Y188" s="256">
        <f>IFERROR(M188*V188,0)</f>
      </c>
      <c r="Z188" s="256">
        <f>Y188-(Y188*$B$1)</f>
      </c>
      <c r="AA188" s="285">
        <f>IFERROR(Z188/X188,0)</f>
      </c>
      <c r="AB188" s="286">
        <f>IFERROR(IF(ISBLANK(N188),Y188/O188,Y188/N188),0)</f>
      </c>
      <c r="AC188" s="286">
        <f>IFERROR(-1*(AB188*B$1),0)</f>
      </c>
      <c r="AD188" s="286">
        <f>IFERROR(SUM(AB188:AC188),0)</f>
      </c>
      <c r="AE188" s="286">
        <f>IF(ISBLANK(N188),AD188,AD188*5)</f>
      </c>
      <c r="AF188" s="287">
        <f>SUM(AG188:AZ188)</f>
      </c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18"/>
      <c r="AR188" s="18"/>
      <c r="AS188" s="18"/>
      <c r="AT188" s="1"/>
      <c r="AU188" s="18"/>
      <c r="AV188" s="18"/>
      <c r="AW188" s="18"/>
      <c r="AX188" s="18"/>
      <c r="AY188" s="18"/>
      <c r="AZ188" s="18"/>
      <c r="BA188" s="18"/>
      <c r="BB188" s="18"/>
      <c r="BC188" s="16"/>
      <c r="BD188" s="16"/>
      <c r="BE188" s="16"/>
      <c r="BF188" s="286">
        <f>Z188-AF188</f>
      </c>
      <c r="BG188" s="321">
        <f>IFERROR(AF188/Y188,0)</f>
      </c>
      <c r="BH188" s="214">
        <f>IFERROR(AF188/X188,0)</f>
      </c>
      <c r="BI188" s="284">
        <f>IFERROR((X188/SUM(X$26:X$40)),0)</f>
      </c>
      <c r="BJ188" s="284">
        <f>IFERROR((BF188/SUM(BF$3:BF385)),0)</f>
      </c>
      <c r="BK188" s="288">
        <f>BF188/'R&amp;H Portfolio'!Q$10</f>
      </c>
      <c r="BL188" s="286">
        <f>BI188*P188</f>
      </c>
      <c r="BM188" s="3"/>
      <c r="BN188" s="3"/>
      <c r="BO188" s="17"/>
    </row>
    <row x14ac:dyDescent="0.25" r="189" customHeight="1" ht="15">
      <c r="A189" s="17"/>
      <c r="B189" s="14"/>
      <c r="C189" s="3"/>
      <c r="D189" s="3"/>
      <c r="E189" s="3"/>
      <c r="F189" s="3"/>
      <c r="G189" s="16"/>
      <c r="H189" s="18"/>
      <c r="I189" s="18"/>
      <c r="J189" s="279">
        <f>H189+I189</f>
      </c>
      <c r="K189" s="1"/>
      <c r="L189" s="123">
        <f>K189*I189</f>
      </c>
      <c r="M189" s="123">
        <f>K189*J189</f>
      </c>
      <c r="N189" s="16"/>
      <c r="O189" s="16"/>
      <c r="P189" s="282">
        <f>IF(ISBLANK(N189),O189/4.3,N189/20)</f>
      </c>
      <c r="Q189" s="1"/>
      <c r="R189" s="3"/>
      <c r="S189" s="3"/>
      <c r="T189" s="256">
        <f>IF(ISBLANK(R189),0,X189)</f>
      </c>
      <c r="U189" s="256">
        <f>IF(ISBLANK(S189),0,X189)</f>
      </c>
      <c r="V189" s="284">
        <f>IFERROR(Q189/K189,0)</f>
      </c>
      <c r="W189" s="123">
        <f>IFERROR(L189*V189,0)</f>
      </c>
      <c r="X189" s="256">
        <f>IFERROR(Q189+W189,0)</f>
      </c>
      <c r="Y189" s="256">
        <f>IFERROR(M189*V189,0)</f>
      </c>
      <c r="Z189" s="256">
        <f>Y189-(Y189*$B$1)</f>
      </c>
      <c r="AA189" s="285">
        <f>IFERROR(Z189/X189,0)</f>
      </c>
      <c r="AB189" s="286">
        <f>IFERROR(IF(ISBLANK(N189),Y189/O189,Y189/N189),0)</f>
      </c>
      <c r="AC189" s="286">
        <f>IFERROR(-1*(AB189*B$1),0)</f>
      </c>
      <c r="AD189" s="286">
        <f>IFERROR(SUM(AB189:AC189),0)</f>
      </c>
      <c r="AE189" s="286">
        <f>IF(ISBLANK(N189),AD189,AD189*5)</f>
      </c>
      <c r="AF189" s="287">
        <f>SUM(AG189:AZ189)</f>
      </c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18"/>
      <c r="AR189" s="18"/>
      <c r="AS189" s="18"/>
      <c r="AT189" s="1"/>
      <c r="AU189" s="18"/>
      <c r="AV189" s="18"/>
      <c r="AW189" s="18"/>
      <c r="AX189" s="18"/>
      <c r="AY189" s="18"/>
      <c r="AZ189" s="18"/>
      <c r="BA189" s="18"/>
      <c r="BB189" s="18"/>
      <c r="BC189" s="16"/>
      <c r="BD189" s="16"/>
      <c r="BE189" s="16"/>
      <c r="BF189" s="286">
        <f>Z189-AF189</f>
      </c>
      <c r="BG189" s="321">
        <f>IFERROR(AF189/Y189,0)</f>
      </c>
      <c r="BH189" s="214">
        <f>IFERROR(AF189/X189,0)</f>
      </c>
      <c r="BI189" s="284">
        <f>IFERROR((X189/SUM(X$26:X$40)),0)</f>
      </c>
      <c r="BJ189" s="284">
        <f>IFERROR((BF189/SUM(BF$3:BF386)),0)</f>
      </c>
      <c r="BK189" s="288">
        <f>BF189/'R&amp;H Portfolio'!Q$10</f>
      </c>
      <c r="BL189" s="286">
        <f>BI189*P189</f>
      </c>
      <c r="BM189" s="3"/>
      <c r="BN189" s="3"/>
      <c r="BO189" s="17"/>
    </row>
    <row x14ac:dyDescent="0.25" r="190" customHeight="1" ht="15">
      <c r="A190" s="17"/>
      <c r="B190" s="14"/>
      <c r="C190" s="3"/>
      <c r="D190" s="3"/>
      <c r="E190" s="3"/>
      <c r="F190" s="3"/>
      <c r="G190" s="16"/>
      <c r="H190" s="18"/>
      <c r="I190" s="18"/>
      <c r="J190" s="279">
        <f>H190+I190</f>
      </c>
      <c r="K190" s="1"/>
      <c r="L190" s="123">
        <f>K190*I190</f>
      </c>
      <c r="M190" s="123">
        <f>K190*J190</f>
      </c>
      <c r="N190" s="16"/>
      <c r="O190" s="16"/>
      <c r="P190" s="282">
        <f>IF(ISBLANK(N190),O190/4.3,N190/20)</f>
      </c>
      <c r="Q190" s="1"/>
      <c r="R190" s="3"/>
      <c r="S190" s="3"/>
      <c r="T190" s="256">
        <f>IF(ISBLANK(R190),0,X190)</f>
      </c>
      <c r="U190" s="256">
        <f>IF(ISBLANK(S190),0,X190)</f>
      </c>
      <c r="V190" s="284">
        <f>IFERROR(Q190/K190,0)</f>
      </c>
      <c r="W190" s="123">
        <f>IFERROR(L190*V190,0)</f>
      </c>
      <c r="X190" s="256">
        <f>IFERROR(Q190+W190,0)</f>
      </c>
      <c r="Y190" s="256">
        <f>IFERROR(M190*V190,0)</f>
      </c>
      <c r="Z190" s="256">
        <f>Y190-(Y190*$B$1)</f>
      </c>
      <c r="AA190" s="285">
        <f>IFERROR(Z190/X190,0)</f>
      </c>
      <c r="AB190" s="286">
        <f>IFERROR(IF(ISBLANK(N190),Y190/O190,Y190/N190),0)</f>
      </c>
      <c r="AC190" s="286">
        <f>IFERROR(-1*(AB190*B$1),0)</f>
      </c>
      <c r="AD190" s="286">
        <f>IFERROR(SUM(AB190:AC190),0)</f>
      </c>
      <c r="AE190" s="286">
        <f>IF(ISBLANK(N190),AD190,AD190*5)</f>
      </c>
      <c r="AF190" s="287">
        <f>SUM(AG190:AZ190)</f>
      </c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18"/>
      <c r="AR190" s="18"/>
      <c r="AS190" s="18"/>
      <c r="AT190" s="1"/>
      <c r="AU190" s="18"/>
      <c r="AV190" s="18"/>
      <c r="AW190" s="18"/>
      <c r="AX190" s="18"/>
      <c r="AY190" s="18"/>
      <c r="AZ190" s="18"/>
      <c r="BA190" s="18"/>
      <c r="BB190" s="18"/>
      <c r="BC190" s="16"/>
      <c r="BD190" s="16"/>
      <c r="BE190" s="16"/>
      <c r="BF190" s="286">
        <f>Z190-AF190</f>
      </c>
      <c r="BG190" s="321">
        <f>IFERROR(AF190/Y190,0)</f>
      </c>
      <c r="BH190" s="214">
        <f>IFERROR(AF190/X190,0)</f>
      </c>
      <c r="BI190" s="284">
        <f>IFERROR((X190/SUM(X$26:X$40)),0)</f>
      </c>
      <c r="BJ190" s="284">
        <f>IFERROR((BF190/SUM(BF$3:BF387)),0)</f>
      </c>
      <c r="BK190" s="288">
        <f>BF190/'R&amp;H Portfolio'!Q$10</f>
      </c>
      <c r="BL190" s="286">
        <f>BI190*P190</f>
      </c>
      <c r="BM190" s="3"/>
      <c r="BN190" s="3"/>
      <c r="BO190" s="17"/>
    </row>
    <row x14ac:dyDescent="0.25" r="191" customHeight="1" ht="15">
      <c r="A191" s="17"/>
      <c r="B191" s="14"/>
      <c r="C191" s="3"/>
      <c r="D191" s="3"/>
      <c r="E191" s="3"/>
      <c r="F191" s="3"/>
      <c r="G191" s="16"/>
      <c r="H191" s="18"/>
      <c r="I191" s="18"/>
      <c r="J191" s="279">
        <f>H191+I191</f>
      </c>
      <c r="K191" s="1"/>
      <c r="L191" s="123">
        <f>K191*I191</f>
      </c>
      <c r="M191" s="123">
        <f>K191*J191</f>
      </c>
      <c r="N191" s="16"/>
      <c r="O191" s="16"/>
      <c r="P191" s="282">
        <f>IF(ISBLANK(N191),O191/4.3,N191/20)</f>
      </c>
      <c r="Q191" s="1"/>
      <c r="R191" s="3"/>
      <c r="S191" s="3"/>
      <c r="T191" s="256">
        <f>IF(ISBLANK(R191),0,X191)</f>
      </c>
      <c r="U191" s="256">
        <f>IF(ISBLANK(S191),0,X191)</f>
      </c>
      <c r="V191" s="284">
        <f>IFERROR(Q191/K191,0)</f>
      </c>
      <c r="W191" s="123">
        <f>IFERROR(L191*V191,0)</f>
      </c>
      <c r="X191" s="256">
        <f>IFERROR(Q191+W191,0)</f>
      </c>
      <c r="Y191" s="256">
        <f>IFERROR(M191*V191,0)</f>
      </c>
      <c r="Z191" s="256">
        <f>Y191-(Y191*$B$1)</f>
      </c>
      <c r="AA191" s="285">
        <f>IFERROR(Z191/X191,0)</f>
      </c>
      <c r="AB191" s="286">
        <f>IFERROR(IF(ISBLANK(N191),Y191/O191,Y191/N191),0)</f>
      </c>
      <c r="AC191" s="286">
        <f>IFERROR(-1*(AB191*B$1),0)</f>
      </c>
      <c r="AD191" s="286">
        <f>IFERROR(SUM(AB191:AC191),0)</f>
      </c>
      <c r="AE191" s="286">
        <f>IF(ISBLANK(N191),AD191,AD191*5)</f>
      </c>
      <c r="AF191" s="287">
        <f>SUM(AG191:AZ191)</f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18"/>
      <c r="AR191" s="18"/>
      <c r="AS191" s="18"/>
      <c r="AT191" s="1"/>
      <c r="AU191" s="18"/>
      <c r="AV191" s="18"/>
      <c r="AW191" s="18"/>
      <c r="AX191" s="18"/>
      <c r="AY191" s="18"/>
      <c r="AZ191" s="18"/>
      <c r="BA191" s="18"/>
      <c r="BB191" s="18"/>
      <c r="BC191" s="16"/>
      <c r="BD191" s="16"/>
      <c r="BE191" s="16"/>
      <c r="BF191" s="286">
        <f>Z191-AF191</f>
      </c>
      <c r="BG191" s="321">
        <f>IFERROR(AF191/Y191,0)</f>
      </c>
      <c r="BH191" s="214">
        <f>IFERROR(AF191/X191,0)</f>
      </c>
      <c r="BI191" s="284">
        <f>IFERROR((X191/SUM(X$26:X$40)),0)</f>
      </c>
      <c r="BJ191" s="284">
        <f>IFERROR((BF191/SUM(BF$3:BF388)),0)</f>
      </c>
      <c r="BK191" s="288">
        <f>BF191/'R&amp;H Portfolio'!Q$10</f>
      </c>
      <c r="BL191" s="286">
        <f>BI191*P191</f>
      </c>
      <c r="BM191" s="3"/>
      <c r="BN191" s="3"/>
      <c r="BO191" s="17"/>
    </row>
    <row x14ac:dyDescent="0.25" r="192" customHeight="1" ht="15">
      <c r="A192" s="17"/>
      <c r="B192" s="14"/>
      <c r="C192" s="3"/>
      <c r="D192" s="3"/>
      <c r="E192" s="3"/>
      <c r="F192" s="3"/>
      <c r="G192" s="16"/>
      <c r="H192" s="18"/>
      <c r="I192" s="18"/>
      <c r="J192" s="279">
        <f>H192+I192</f>
      </c>
      <c r="K192" s="1"/>
      <c r="L192" s="123">
        <f>K192*I192</f>
      </c>
      <c r="M192" s="123">
        <f>K192*J192</f>
      </c>
      <c r="N192" s="16"/>
      <c r="O192" s="16"/>
      <c r="P192" s="282">
        <f>IF(ISBLANK(N192),O192/4.3,N192/20)</f>
      </c>
      <c r="Q192" s="1"/>
      <c r="R192" s="3"/>
      <c r="S192" s="3"/>
      <c r="T192" s="256">
        <f>IF(ISBLANK(R192),0,X192)</f>
      </c>
      <c r="U192" s="256">
        <f>IF(ISBLANK(S192),0,X192)</f>
      </c>
      <c r="V192" s="284">
        <f>IFERROR(Q192/K192,0)</f>
      </c>
      <c r="W192" s="123">
        <f>IFERROR(L192*V192,0)</f>
      </c>
      <c r="X192" s="256">
        <f>IFERROR(Q192+W192,0)</f>
      </c>
      <c r="Y192" s="256">
        <f>IFERROR(M192*V192,0)</f>
      </c>
      <c r="Z192" s="256">
        <f>Y192-(Y192*$B$1)</f>
      </c>
      <c r="AA192" s="285">
        <f>IFERROR(Z192/X192,0)</f>
      </c>
      <c r="AB192" s="286">
        <f>IFERROR(IF(ISBLANK(N192),Y192/O192,Y192/N192),0)</f>
      </c>
      <c r="AC192" s="286">
        <f>IFERROR(-1*(AB192*B$1),0)</f>
      </c>
      <c r="AD192" s="286">
        <f>IFERROR(SUM(AB192:AC192),0)</f>
      </c>
      <c r="AE192" s="286">
        <f>IF(ISBLANK(N192),AD192,AD192*5)</f>
      </c>
      <c r="AF192" s="287">
        <f>SUM(AG192:AZ192)</f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8"/>
      <c r="AR192" s="18"/>
      <c r="AS192" s="18"/>
      <c r="AT192" s="1"/>
      <c r="AU192" s="18"/>
      <c r="AV192" s="18"/>
      <c r="AW192" s="18"/>
      <c r="AX192" s="18"/>
      <c r="AY192" s="18"/>
      <c r="AZ192" s="18"/>
      <c r="BA192" s="18"/>
      <c r="BB192" s="18"/>
      <c r="BC192" s="16"/>
      <c r="BD192" s="16"/>
      <c r="BE192" s="16"/>
      <c r="BF192" s="286">
        <f>Z192-AF192</f>
      </c>
      <c r="BG192" s="321">
        <f>IFERROR(AF192/Y192,0)</f>
      </c>
      <c r="BH192" s="214">
        <f>IFERROR(AF192/X192,0)</f>
      </c>
      <c r="BI192" s="284">
        <f>IFERROR((X192/SUM(X$26:X$40)),0)</f>
      </c>
      <c r="BJ192" s="284">
        <f>IFERROR((BF192/SUM(BF$3:BF389)),0)</f>
      </c>
      <c r="BK192" s="288">
        <f>BF192/'R&amp;H Portfolio'!Q$10</f>
      </c>
      <c r="BL192" s="286">
        <f>BI192*P192</f>
      </c>
      <c r="BM192" s="3"/>
      <c r="BN192" s="3"/>
      <c r="BO192" s="17"/>
    </row>
    <row x14ac:dyDescent="0.25" r="193" customHeight="1" ht="15">
      <c r="A193" s="17"/>
      <c r="B193" s="14"/>
      <c r="C193" s="3"/>
      <c r="D193" s="3"/>
      <c r="E193" s="3"/>
      <c r="F193" s="3"/>
      <c r="G193" s="16"/>
      <c r="H193" s="18"/>
      <c r="I193" s="18"/>
      <c r="J193" s="279">
        <f>H193+I193</f>
      </c>
      <c r="K193" s="1"/>
      <c r="L193" s="123">
        <f>K193*I193</f>
      </c>
      <c r="M193" s="123">
        <f>K193*J193</f>
      </c>
      <c r="N193" s="16"/>
      <c r="O193" s="16"/>
      <c r="P193" s="282">
        <f>IF(ISBLANK(N193),O193/4.3,N193/20)</f>
      </c>
      <c r="Q193" s="1"/>
      <c r="R193" s="3"/>
      <c r="S193" s="3"/>
      <c r="T193" s="256">
        <f>IF(ISBLANK(R193),0,X193)</f>
      </c>
      <c r="U193" s="256">
        <f>IF(ISBLANK(S193),0,X193)</f>
      </c>
      <c r="V193" s="284">
        <f>IFERROR(Q193/K193,0)</f>
      </c>
      <c r="W193" s="123">
        <f>IFERROR(L193*V193,0)</f>
      </c>
      <c r="X193" s="256">
        <f>IFERROR(Q193+W193,0)</f>
      </c>
      <c r="Y193" s="256">
        <f>IFERROR(M193*V193,0)</f>
      </c>
      <c r="Z193" s="256">
        <f>Y193-(Y193*$B$1)</f>
      </c>
      <c r="AA193" s="285">
        <f>IFERROR(Z193/X193,0)</f>
      </c>
      <c r="AB193" s="286">
        <f>IFERROR(IF(ISBLANK(N193),Y193/O193,Y193/N193),0)</f>
      </c>
      <c r="AC193" s="286">
        <f>IFERROR(-1*(AB193*B$1),0)</f>
      </c>
      <c r="AD193" s="286">
        <f>IFERROR(SUM(AB193:AC193),0)</f>
      </c>
      <c r="AE193" s="286">
        <f>IF(ISBLANK(N193),AD193,AD193*5)</f>
      </c>
      <c r="AF193" s="287">
        <f>SUM(AG193:AZ193)</f>
      </c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18"/>
      <c r="AR193" s="18"/>
      <c r="AS193" s="18"/>
      <c r="AT193" s="1"/>
      <c r="AU193" s="18"/>
      <c r="AV193" s="18"/>
      <c r="AW193" s="18"/>
      <c r="AX193" s="18"/>
      <c r="AY193" s="18"/>
      <c r="AZ193" s="18"/>
      <c r="BA193" s="18"/>
      <c r="BB193" s="18"/>
      <c r="BC193" s="16"/>
      <c r="BD193" s="16"/>
      <c r="BE193" s="16"/>
      <c r="BF193" s="286">
        <f>Z193-AF193</f>
      </c>
      <c r="BG193" s="321">
        <f>IFERROR(AF193/Y193,0)</f>
      </c>
      <c r="BH193" s="214">
        <f>IFERROR(AF193/X193,0)</f>
      </c>
      <c r="BI193" s="284">
        <f>IFERROR((X193/SUM(X$26:X$40)),0)</f>
      </c>
      <c r="BJ193" s="284">
        <f>IFERROR((BF193/SUM(BF$3:BF390)),0)</f>
      </c>
      <c r="BK193" s="288">
        <f>BF193/'R&amp;H Portfolio'!Q$10</f>
      </c>
      <c r="BL193" s="286">
        <f>BI193*P193</f>
      </c>
      <c r="BM193" s="3"/>
      <c r="BN193" s="3"/>
      <c r="BO193" s="17"/>
    </row>
    <row x14ac:dyDescent="0.25" r="194" customHeight="1" ht="15">
      <c r="A194" s="17"/>
      <c r="B194" s="14"/>
      <c r="C194" s="3"/>
      <c r="D194" s="3"/>
      <c r="E194" s="3"/>
      <c r="F194" s="3"/>
      <c r="G194" s="16"/>
      <c r="H194" s="18"/>
      <c r="I194" s="18"/>
      <c r="J194" s="279">
        <f>H194+I194</f>
      </c>
      <c r="K194" s="1"/>
      <c r="L194" s="123">
        <f>K194*I194</f>
      </c>
      <c r="M194" s="123">
        <f>K194*J194</f>
      </c>
      <c r="N194" s="16"/>
      <c r="O194" s="16"/>
      <c r="P194" s="282">
        <f>IF(ISBLANK(N194),O194/4.3,N194/20)</f>
      </c>
      <c r="Q194" s="1"/>
      <c r="R194" s="3"/>
      <c r="S194" s="3"/>
      <c r="T194" s="256">
        <f>IF(ISBLANK(R194),0,X194)</f>
      </c>
      <c r="U194" s="256">
        <f>IF(ISBLANK(S194),0,X194)</f>
      </c>
      <c r="V194" s="284">
        <f>IFERROR(Q194/K194,0)</f>
      </c>
      <c r="W194" s="123">
        <f>IFERROR(L194*V194,0)</f>
      </c>
      <c r="X194" s="256">
        <f>IFERROR(Q194+W194,0)</f>
      </c>
      <c r="Y194" s="256">
        <f>IFERROR(M194*V194,0)</f>
      </c>
      <c r="Z194" s="256">
        <f>Y194-(Y194*$B$1)</f>
      </c>
      <c r="AA194" s="285">
        <f>IFERROR(Z194/X194,0)</f>
      </c>
      <c r="AB194" s="286">
        <f>IFERROR(IF(ISBLANK(N194),Y194/O194,Y194/N194),0)</f>
      </c>
      <c r="AC194" s="286">
        <f>IFERROR(-1*(AB194*B$1),0)</f>
      </c>
      <c r="AD194" s="286">
        <f>IFERROR(SUM(AB194:AC194),0)</f>
      </c>
      <c r="AE194" s="286">
        <f>IF(ISBLANK(N194),AD194,AD194*5)</f>
      </c>
      <c r="AF194" s="287">
        <f>SUM(AG194:AZ194)</f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8"/>
      <c r="AR194" s="18"/>
      <c r="AS194" s="18"/>
      <c r="AT194" s="1"/>
      <c r="AU194" s="18"/>
      <c r="AV194" s="18"/>
      <c r="AW194" s="18"/>
      <c r="AX194" s="18"/>
      <c r="AY194" s="18"/>
      <c r="AZ194" s="18"/>
      <c r="BA194" s="18"/>
      <c r="BB194" s="18"/>
      <c r="BC194" s="16"/>
      <c r="BD194" s="16"/>
      <c r="BE194" s="16"/>
      <c r="BF194" s="286">
        <f>Z194-AF194</f>
      </c>
      <c r="BG194" s="321">
        <f>IFERROR(AF194/Y194,0)</f>
      </c>
      <c r="BH194" s="214">
        <f>IFERROR(AF194/X194,0)</f>
      </c>
      <c r="BI194" s="284">
        <f>IFERROR((X194/SUM(X$26:X$40)),0)</f>
      </c>
      <c r="BJ194" s="284">
        <f>IFERROR((BF194/SUM(BF$3:BF391)),0)</f>
      </c>
      <c r="BK194" s="288">
        <f>BF194/'R&amp;H Portfolio'!Q$10</f>
      </c>
      <c r="BL194" s="286">
        <f>BI194*P194</f>
      </c>
      <c r="BM194" s="3"/>
      <c r="BN194" s="3"/>
      <c r="BO194" s="17"/>
    </row>
    <row x14ac:dyDescent="0.25" r="195" customHeight="1" ht="15">
      <c r="A195" s="17"/>
      <c r="B195" s="14"/>
      <c r="C195" s="3"/>
      <c r="D195" s="3"/>
      <c r="E195" s="3"/>
      <c r="F195" s="3"/>
      <c r="G195" s="16"/>
      <c r="H195" s="18"/>
      <c r="I195" s="18"/>
      <c r="J195" s="279">
        <f>H195+I195</f>
      </c>
      <c r="K195" s="1"/>
      <c r="L195" s="123">
        <f>K195*I195</f>
      </c>
      <c r="M195" s="123">
        <f>K195*J195</f>
      </c>
      <c r="N195" s="16"/>
      <c r="O195" s="16"/>
      <c r="P195" s="282">
        <f>IF(ISBLANK(N195),O195/4.3,N195/20)</f>
      </c>
      <c r="Q195" s="1"/>
      <c r="R195" s="3"/>
      <c r="S195" s="3"/>
      <c r="T195" s="256">
        <f>IF(ISBLANK(R195),0,X195)</f>
      </c>
      <c r="U195" s="256">
        <f>IF(ISBLANK(S195),0,X195)</f>
      </c>
      <c r="V195" s="284">
        <f>IFERROR(Q195/K195,0)</f>
      </c>
      <c r="W195" s="123">
        <f>IFERROR(L195*V195,0)</f>
      </c>
      <c r="X195" s="256">
        <f>IFERROR(Q195+W195,0)</f>
      </c>
      <c r="Y195" s="256">
        <f>IFERROR(M195*V195,0)</f>
      </c>
      <c r="Z195" s="256">
        <f>Y195-(Y195*$B$1)</f>
      </c>
      <c r="AA195" s="285">
        <f>IFERROR(Z195/X195,0)</f>
      </c>
      <c r="AB195" s="286">
        <f>IFERROR(IF(ISBLANK(N195),Y195/O195,Y195/N195),0)</f>
      </c>
      <c r="AC195" s="286">
        <f>IFERROR(-1*(AB195*B$1),0)</f>
      </c>
      <c r="AD195" s="286">
        <f>IFERROR(SUM(AB195:AC195),0)</f>
      </c>
      <c r="AE195" s="286">
        <f>IF(ISBLANK(N195),AD195,AD195*5)</f>
      </c>
      <c r="AF195" s="287">
        <f>SUM(AG195:AZ195)</f>
      </c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8"/>
      <c r="AR195" s="18"/>
      <c r="AS195" s="18"/>
      <c r="AT195" s="1"/>
      <c r="AU195" s="18"/>
      <c r="AV195" s="18"/>
      <c r="AW195" s="18"/>
      <c r="AX195" s="18"/>
      <c r="AY195" s="18"/>
      <c r="AZ195" s="18"/>
      <c r="BA195" s="18"/>
      <c r="BB195" s="18"/>
      <c r="BC195" s="16"/>
      <c r="BD195" s="16"/>
      <c r="BE195" s="16"/>
      <c r="BF195" s="286">
        <f>Z195-AF195</f>
      </c>
      <c r="BG195" s="321">
        <f>IFERROR(AF195/Y195,0)</f>
      </c>
      <c r="BH195" s="214">
        <f>IFERROR(AF195/X195,0)</f>
      </c>
      <c r="BI195" s="284">
        <f>IFERROR((X195/SUM(X$26:X$40)),0)</f>
      </c>
      <c r="BJ195" s="284">
        <f>IFERROR((BF195/SUM(BF$3:BF392)),0)</f>
      </c>
      <c r="BK195" s="288">
        <f>BF195/'R&amp;H Portfolio'!Q$10</f>
      </c>
      <c r="BL195" s="286">
        <f>BI195*P195</f>
      </c>
      <c r="BM195" s="3"/>
      <c r="BN195" s="3"/>
      <c r="BO195" s="17"/>
    </row>
    <row x14ac:dyDescent="0.25" r="196" customHeight="1" ht="15">
      <c r="A196" s="17"/>
      <c r="B196" s="14"/>
      <c r="C196" s="3"/>
      <c r="D196" s="3"/>
      <c r="E196" s="3"/>
      <c r="F196" s="3"/>
      <c r="G196" s="16"/>
      <c r="H196" s="18"/>
      <c r="I196" s="18"/>
      <c r="J196" s="279">
        <f>H196+I196</f>
      </c>
      <c r="K196" s="1"/>
      <c r="L196" s="123">
        <f>K196*I196</f>
      </c>
      <c r="M196" s="123">
        <f>K196*J196</f>
      </c>
      <c r="N196" s="16"/>
      <c r="O196" s="16"/>
      <c r="P196" s="282">
        <f>IF(ISBLANK(N196),O196/4.3,N196/20)</f>
      </c>
      <c r="Q196" s="1"/>
      <c r="R196" s="3"/>
      <c r="S196" s="3"/>
      <c r="T196" s="256">
        <f>IF(ISBLANK(R196),0,X196)</f>
      </c>
      <c r="U196" s="256">
        <f>IF(ISBLANK(S196),0,X196)</f>
      </c>
      <c r="V196" s="284">
        <f>IFERROR(Q196/K196,0)</f>
      </c>
      <c r="W196" s="123">
        <f>IFERROR(L196*V196,0)</f>
      </c>
      <c r="X196" s="256">
        <f>IFERROR(Q196+W196,0)</f>
      </c>
      <c r="Y196" s="256">
        <f>IFERROR(M196*V196,0)</f>
      </c>
      <c r="Z196" s="256">
        <f>Y196-(Y196*$B$1)</f>
      </c>
      <c r="AA196" s="285">
        <f>IFERROR(Z196/X196,0)</f>
      </c>
      <c r="AB196" s="286">
        <f>IFERROR(IF(ISBLANK(N196),Y196/O196,Y196/N196),0)</f>
      </c>
      <c r="AC196" s="286">
        <f>IFERROR(-1*(AB196*B$1),0)</f>
      </c>
      <c r="AD196" s="286">
        <f>IFERROR(SUM(AB196:AC196),0)</f>
      </c>
      <c r="AE196" s="286">
        <f>IF(ISBLANK(N196),AD196,AD196*5)</f>
      </c>
      <c r="AF196" s="287">
        <f>SUM(AG196:AZ196)</f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18"/>
      <c r="AR196" s="18"/>
      <c r="AS196" s="18"/>
      <c r="AT196" s="1"/>
      <c r="AU196" s="18"/>
      <c r="AV196" s="18"/>
      <c r="AW196" s="18"/>
      <c r="AX196" s="18"/>
      <c r="AY196" s="18"/>
      <c r="AZ196" s="18"/>
      <c r="BA196" s="18"/>
      <c r="BB196" s="18"/>
      <c r="BC196" s="16"/>
      <c r="BD196" s="16"/>
      <c r="BE196" s="16"/>
      <c r="BF196" s="286">
        <f>Z196-AF196</f>
      </c>
      <c r="BG196" s="321">
        <f>IFERROR(AF196/Y196,0)</f>
      </c>
      <c r="BH196" s="214">
        <f>IFERROR(AF196/X196,0)</f>
      </c>
      <c r="BI196" s="284">
        <f>IFERROR((X196/SUM(X$26:X$40)),0)</f>
      </c>
      <c r="BJ196" s="284">
        <f>IFERROR((BF196/SUM(BF$3:BF393)),0)</f>
      </c>
      <c r="BK196" s="288">
        <f>BF196/'R&amp;H Portfolio'!Q$10</f>
      </c>
      <c r="BL196" s="286">
        <f>BI196*P196</f>
      </c>
      <c r="BM196" s="3"/>
      <c r="BN196" s="3"/>
      <c r="BO196" s="17"/>
    </row>
    <row x14ac:dyDescent="0.25" r="197" customHeight="1" ht="15">
      <c r="A197" s="17"/>
      <c r="B197" s="14"/>
      <c r="C197" s="3"/>
      <c r="D197" s="3"/>
      <c r="E197" s="3"/>
      <c r="F197" s="3"/>
      <c r="G197" s="16"/>
      <c r="H197" s="18"/>
      <c r="I197" s="18"/>
      <c r="J197" s="279">
        <f>H197+I197</f>
      </c>
      <c r="K197" s="1"/>
      <c r="L197" s="123">
        <f>K197*I197</f>
      </c>
      <c r="M197" s="123">
        <f>K197*J197</f>
      </c>
      <c r="N197" s="16"/>
      <c r="O197" s="16"/>
      <c r="P197" s="282">
        <f>IF(ISBLANK(N197),O197/4.3,N197/20)</f>
      </c>
      <c r="Q197" s="1"/>
      <c r="R197" s="3"/>
      <c r="S197" s="3"/>
      <c r="T197" s="256">
        <f>IF(ISBLANK(R197),0,X197)</f>
      </c>
      <c r="U197" s="256">
        <f>IF(ISBLANK(S197),0,X197)</f>
      </c>
      <c r="V197" s="284">
        <f>IFERROR(Q197/K197,0)</f>
      </c>
      <c r="W197" s="123">
        <f>IFERROR(L197*V197,0)</f>
      </c>
      <c r="X197" s="256">
        <f>IFERROR(Q197+W197,0)</f>
      </c>
      <c r="Y197" s="256">
        <f>IFERROR(M197*V197,0)</f>
      </c>
      <c r="Z197" s="256">
        <f>Y197-(Y197*$B$1)</f>
      </c>
      <c r="AA197" s="285">
        <f>IFERROR(Z197/X197,0)</f>
      </c>
      <c r="AB197" s="286">
        <f>IFERROR(IF(ISBLANK(N197),Y197/O197,Y197/N197),0)</f>
      </c>
      <c r="AC197" s="286">
        <f>IFERROR(-1*(AB197*B$1),0)</f>
      </c>
      <c r="AD197" s="286">
        <f>IFERROR(SUM(AB197:AC197),0)</f>
      </c>
      <c r="AE197" s="286">
        <f>IF(ISBLANK(N197),AD197,AD197*5)</f>
      </c>
      <c r="AF197" s="287">
        <f>SUM(AG197:AZ197)</f>
      </c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18"/>
      <c r="AR197" s="18"/>
      <c r="AS197" s="18"/>
      <c r="AT197" s="1"/>
      <c r="AU197" s="18"/>
      <c r="AV197" s="18"/>
      <c r="AW197" s="18"/>
      <c r="AX197" s="18"/>
      <c r="AY197" s="18"/>
      <c r="AZ197" s="18"/>
      <c r="BA197" s="18"/>
      <c r="BB197" s="18"/>
      <c r="BC197" s="16"/>
      <c r="BD197" s="16"/>
      <c r="BE197" s="16"/>
      <c r="BF197" s="286">
        <f>Z197-AF197</f>
      </c>
      <c r="BG197" s="321">
        <f>IFERROR(AF197/Y197,0)</f>
      </c>
      <c r="BH197" s="214">
        <f>IFERROR(AF197/X197,0)</f>
      </c>
      <c r="BI197" s="284">
        <f>IFERROR((X197/SUM(X$26:X$40)),0)</f>
      </c>
      <c r="BJ197" s="284">
        <f>IFERROR((BF197/SUM(BF$3:BF394)),0)</f>
      </c>
      <c r="BK197" s="288">
        <f>BF197/'R&amp;H Portfolio'!Q$10</f>
      </c>
      <c r="BL197" s="286">
        <f>BI197*P197</f>
      </c>
      <c r="BM197" s="3"/>
      <c r="BN197" s="3"/>
      <c r="BO197" s="17"/>
    </row>
    <row x14ac:dyDescent="0.25" r="198" customHeight="1" ht="15">
      <c r="A198" s="17"/>
      <c r="B198" s="14"/>
      <c r="C198" s="3"/>
      <c r="D198" s="3"/>
      <c r="E198" s="3"/>
      <c r="F198" s="3"/>
      <c r="G198" s="16"/>
      <c r="H198" s="18"/>
      <c r="I198" s="18"/>
      <c r="J198" s="279">
        <f>H198+I198</f>
      </c>
      <c r="K198" s="1"/>
      <c r="L198" s="123">
        <f>K198*I198</f>
      </c>
      <c r="M198" s="123">
        <f>K198*J198</f>
      </c>
      <c r="N198" s="16"/>
      <c r="O198" s="16"/>
      <c r="P198" s="282">
        <f>IF(ISBLANK(N198),O198/4.3,N198/20)</f>
      </c>
      <c r="Q198" s="1"/>
      <c r="R198" s="3"/>
      <c r="S198" s="3"/>
      <c r="T198" s="256">
        <f>IF(ISBLANK(R198),0,X198)</f>
      </c>
      <c r="U198" s="256">
        <f>IF(ISBLANK(S198),0,X198)</f>
      </c>
      <c r="V198" s="284">
        <f>IFERROR(Q198/K198,0)</f>
      </c>
      <c r="W198" s="123">
        <f>IFERROR(L198*V198,0)</f>
      </c>
      <c r="X198" s="256">
        <f>IFERROR(Q198+W198,0)</f>
      </c>
      <c r="Y198" s="256">
        <f>IFERROR(M198*V198,0)</f>
      </c>
      <c r="Z198" s="256">
        <f>Y198-(Y198*$B$1)</f>
      </c>
      <c r="AA198" s="285">
        <f>IFERROR(Z198/X198,0)</f>
      </c>
      <c r="AB198" s="286">
        <f>IFERROR(IF(ISBLANK(N198),Y198/O198,Y198/N198),0)</f>
      </c>
      <c r="AC198" s="286">
        <f>IFERROR(-1*(AB198*B$1),0)</f>
      </c>
      <c r="AD198" s="286">
        <f>IFERROR(SUM(AB198:AC198),0)</f>
      </c>
      <c r="AE198" s="286">
        <f>IF(ISBLANK(N198),AD198,AD198*5)</f>
      </c>
      <c r="AF198" s="287">
        <f>SUM(AG198:AZ198)</f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18"/>
      <c r="AR198" s="18"/>
      <c r="AS198" s="18"/>
      <c r="AT198" s="1"/>
      <c r="AU198" s="18"/>
      <c r="AV198" s="18"/>
      <c r="AW198" s="18"/>
      <c r="AX198" s="18"/>
      <c r="AY198" s="18"/>
      <c r="AZ198" s="18"/>
      <c r="BA198" s="18"/>
      <c r="BB198" s="18"/>
      <c r="BC198" s="16"/>
      <c r="BD198" s="16"/>
      <c r="BE198" s="16"/>
      <c r="BF198" s="286">
        <f>Z198-AF198</f>
      </c>
      <c r="BG198" s="321">
        <f>IFERROR(AF198/Y198,0)</f>
      </c>
      <c r="BH198" s="214">
        <f>IFERROR(AF198/X198,0)</f>
      </c>
      <c r="BI198" s="284">
        <f>IFERROR((X198/SUM(X$26:X$40)),0)</f>
      </c>
      <c r="BJ198" s="284">
        <f>IFERROR((BF198/SUM(BF$3:BF395)),0)</f>
      </c>
      <c r="BK198" s="288">
        <f>BF198/'R&amp;H Portfolio'!Q$10</f>
      </c>
      <c r="BL198" s="286">
        <f>BI198*P198</f>
      </c>
      <c r="BM198" s="3"/>
      <c r="BN198" s="3"/>
      <c r="BO198" s="17"/>
    </row>
    <row x14ac:dyDescent="0.25" r="199" customHeight="1" ht="15">
      <c r="A199" s="17"/>
      <c r="B199" s="14"/>
      <c r="C199" s="3"/>
      <c r="D199" s="3"/>
      <c r="E199" s="3"/>
      <c r="F199" s="3"/>
      <c r="G199" s="16"/>
      <c r="H199" s="18"/>
      <c r="I199" s="18"/>
      <c r="J199" s="279">
        <f>H199+I199</f>
      </c>
      <c r="K199" s="1"/>
      <c r="L199" s="123">
        <f>K199*I199</f>
      </c>
      <c r="M199" s="123">
        <f>K199*J199</f>
      </c>
      <c r="N199" s="16"/>
      <c r="O199" s="16"/>
      <c r="P199" s="282">
        <f>IF(ISBLANK(N199),O199/4.3,N199/20)</f>
      </c>
      <c r="Q199" s="1"/>
      <c r="R199" s="3"/>
      <c r="S199" s="3"/>
      <c r="T199" s="256">
        <f>IF(ISBLANK(R199),0,X199)</f>
      </c>
      <c r="U199" s="256">
        <f>IF(ISBLANK(S199),0,X199)</f>
      </c>
      <c r="V199" s="284">
        <f>IFERROR(Q199/K199,0)</f>
      </c>
      <c r="W199" s="123">
        <f>IFERROR(L199*V199,0)</f>
      </c>
      <c r="X199" s="256">
        <f>IFERROR(Q199+W199,0)</f>
      </c>
      <c r="Y199" s="256">
        <f>IFERROR(M199*V199,0)</f>
      </c>
      <c r="Z199" s="256">
        <f>Y199-(Y199*$B$1)</f>
      </c>
      <c r="AA199" s="285">
        <f>IFERROR(Z199/X199,0)</f>
      </c>
      <c r="AB199" s="286">
        <f>IFERROR(IF(ISBLANK(N199),Y199/O199,Y199/N199),0)</f>
      </c>
      <c r="AC199" s="286">
        <f>IFERROR(-1*(AB199*B$1),0)</f>
      </c>
      <c r="AD199" s="286">
        <f>IFERROR(SUM(AB199:AC199),0)</f>
      </c>
      <c r="AE199" s="286">
        <f>IF(ISBLANK(N199),AD199,AD199*5)</f>
      </c>
      <c r="AF199" s="287">
        <f>SUM(AG199:AZ199)</f>
      </c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8"/>
      <c r="AR199" s="18"/>
      <c r="AS199" s="18"/>
      <c r="AT199" s="1"/>
      <c r="AU199" s="18"/>
      <c r="AV199" s="18"/>
      <c r="AW199" s="18"/>
      <c r="AX199" s="18"/>
      <c r="AY199" s="18"/>
      <c r="AZ199" s="18"/>
      <c r="BA199" s="18"/>
      <c r="BB199" s="18"/>
      <c r="BC199" s="16"/>
      <c r="BD199" s="16"/>
      <c r="BE199" s="16"/>
      <c r="BF199" s="286">
        <f>Z199-AF199</f>
      </c>
      <c r="BG199" s="321">
        <f>IFERROR(AF199/Y199,0)</f>
      </c>
      <c r="BH199" s="214">
        <f>IFERROR(AF199/X199,0)</f>
      </c>
      <c r="BI199" s="284">
        <f>IFERROR((X199/SUM(X$26:X$40)),0)</f>
      </c>
      <c r="BJ199" s="284">
        <f>IFERROR((BF199/SUM(BF$3:BF396)),0)</f>
      </c>
      <c r="BK199" s="288">
        <f>BF199/'R&amp;H Portfolio'!Q$10</f>
      </c>
      <c r="BL199" s="286">
        <f>BI199*P199</f>
      </c>
      <c r="BM199" s="3"/>
      <c r="BN199" s="3"/>
      <c r="BO199" s="17"/>
    </row>
    <row x14ac:dyDescent="0.25" r="200" customHeight="1" ht="15">
      <c r="A200" s="17"/>
      <c r="B200" s="14"/>
      <c r="C200" s="3"/>
      <c r="D200" s="3"/>
      <c r="E200" s="3"/>
      <c r="F200" s="3"/>
      <c r="G200" s="16"/>
      <c r="H200" s="18"/>
      <c r="I200" s="18"/>
      <c r="J200" s="279">
        <f>H200+I200</f>
      </c>
      <c r="K200" s="1"/>
      <c r="L200" s="123">
        <f>K200*I200</f>
      </c>
      <c r="M200" s="123">
        <f>K200*J200</f>
      </c>
      <c r="N200" s="16"/>
      <c r="O200" s="16"/>
      <c r="P200" s="282">
        <f>IF(ISBLANK(N200),O200/4.3,N200/20)</f>
      </c>
      <c r="Q200" s="1"/>
      <c r="R200" s="3"/>
      <c r="S200" s="3"/>
      <c r="T200" s="256">
        <f>IF(ISBLANK(R200),0,X200)</f>
      </c>
      <c r="U200" s="256">
        <f>IF(ISBLANK(S200),0,X200)</f>
      </c>
      <c r="V200" s="284">
        <f>IFERROR(Q200/K200,0)</f>
      </c>
      <c r="W200" s="123">
        <f>IFERROR(L200*V200,0)</f>
      </c>
      <c r="X200" s="256">
        <f>IFERROR(Q200+W200,0)</f>
      </c>
      <c r="Y200" s="256">
        <f>IFERROR(M200*V200,0)</f>
      </c>
      <c r="Z200" s="256">
        <f>Y200-(Y200*$B$1)</f>
      </c>
      <c r="AA200" s="285">
        <f>IFERROR(Z200/X200,0)</f>
      </c>
      <c r="AB200" s="286">
        <f>IFERROR(IF(ISBLANK(N200),Y200/O200,Y200/N200),0)</f>
      </c>
      <c r="AC200" s="286">
        <f>IFERROR(-1*(AB200*B$1),0)</f>
      </c>
      <c r="AD200" s="286">
        <f>IFERROR(SUM(AB200:AC200),0)</f>
      </c>
      <c r="AE200" s="286">
        <f>IF(ISBLANK(N200),AD200,AD200*5)</f>
      </c>
      <c r="AF200" s="287">
        <f>SUM(AG200:AZ200)</f>
      </c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18"/>
      <c r="AR200" s="18"/>
      <c r="AS200" s="18"/>
      <c r="AT200" s="1"/>
      <c r="AU200" s="18"/>
      <c r="AV200" s="18"/>
      <c r="AW200" s="18"/>
      <c r="AX200" s="18"/>
      <c r="AY200" s="18"/>
      <c r="AZ200" s="18"/>
      <c r="BA200" s="18"/>
      <c r="BB200" s="18"/>
      <c r="BC200" s="16"/>
      <c r="BD200" s="16"/>
      <c r="BE200" s="16"/>
      <c r="BF200" s="286">
        <f>Z200-AF200</f>
      </c>
      <c r="BG200" s="321">
        <f>IFERROR(AF200/Y200,0)</f>
      </c>
      <c r="BH200" s="214">
        <f>IFERROR(AF200/X200,0)</f>
      </c>
      <c r="BI200" s="284">
        <f>IFERROR((X200/SUM(X$26:X$40)),0)</f>
      </c>
      <c r="BJ200" s="284">
        <f>IFERROR((BF200/SUM(BF$3:BF397)),0)</f>
      </c>
      <c r="BK200" s="288">
        <f>BF200/'R&amp;H Portfolio'!Q$10</f>
      </c>
      <c r="BL200" s="286">
        <f>BI200*P200</f>
      </c>
      <c r="BM200" s="3"/>
      <c r="BN200" s="3"/>
      <c r="BO200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88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48" width="11.576428571428572" customWidth="1" bestFit="1"/>
    <col min="2" max="2" style="89" width="28.576428571428572" customWidth="1" bestFit="1"/>
    <col min="3" max="3" style="21" width="13.005" customWidth="1" bestFit="1"/>
    <col min="4" max="4" style="21" width="9.576428571428572" customWidth="1" bestFit="1"/>
    <col min="5" max="5" style="21" width="21.576428571428572" customWidth="1" bestFit="1"/>
    <col min="6" max="6" style="21" width="5.576428571428571" customWidth="1" bestFit="1"/>
    <col min="7" max="7" style="171" width="7.576428571428571" customWidth="1" bestFit="1"/>
    <col min="8" max="8" style="249" width="7.576428571428571" customWidth="1" bestFit="1"/>
    <col min="9" max="9" style="249" width="13.147857142857141" customWidth="1" bestFit="1"/>
    <col min="10" max="10" style="21" width="7.719285714285714" customWidth="1" bestFit="1"/>
    <col min="11" max="11" style="28" width="10.576428571428572" customWidth="1" bestFit="1"/>
    <col min="12" max="12" style="21" width="11.862142857142858" customWidth="1" bestFit="1"/>
    <col min="13" max="13" style="21" width="11.576428571428572" customWidth="1" bestFit="1"/>
    <col min="14" max="14" style="171" width="9.576428571428572" customWidth="1" bestFit="1"/>
    <col min="15" max="15" style="171" width="10.290714285714287" customWidth="1" bestFit="1"/>
    <col min="16" max="16" style="21" width="7.862142857142857" customWidth="1" bestFit="1"/>
    <col min="17" max="17" style="28" width="11.576428571428572" customWidth="1" bestFit="1"/>
    <col min="18" max="18" style="21" width="9.147857142857141" customWidth="1" bestFit="1"/>
    <col min="19" max="19" style="21" width="5.862142857142857" customWidth="1" bestFit="1"/>
    <col min="20" max="20" style="21" width="9.576428571428572" customWidth="1" bestFit="1"/>
    <col min="21" max="21" style="21" width="9.576428571428572" customWidth="1" bestFit="1"/>
    <col min="22" max="22" style="21" width="8.719285714285713" customWidth="1" bestFit="1"/>
    <col min="23" max="23" style="21" width="10.862142857142858" customWidth="1" bestFit="1"/>
    <col min="24" max="24" style="21" width="9.290714285714287" customWidth="1" bestFit="1"/>
    <col min="25" max="25" style="21" width="11.576428571428572" customWidth="1" bestFit="1"/>
    <col min="26" max="26" style="21" width="11.576428571428572" customWidth="1" bestFit="1"/>
    <col min="27" max="27" style="21" width="11.576428571428572" customWidth="1" bestFit="1"/>
    <col min="28" max="28" style="21" width="12.862142857142858" customWidth="1" bestFit="1"/>
    <col min="29" max="29" style="21" width="8.576428571428572" customWidth="1" bestFit="1"/>
    <col min="30" max="30" style="21" width="10.576428571428572" customWidth="1" bestFit="1"/>
    <col min="31" max="31" style="21" width="10.576428571428572" customWidth="1" bestFit="1"/>
    <col min="32" max="32" style="157" width="11.576428571428572" customWidth="1" bestFit="1"/>
    <col min="33" max="33" style="249" width="12.43357142857143" customWidth="1" bestFit="1" hidden="1"/>
    <col min="34" max="34" style="249" width="12.43357142857143" customWidth="1" bestFit="1" hidden="1"/>
    <col min="35" max="35" style="249" width="12.43357142857143" customWidth="1" bestFit="1" hidden="1"/>
    <col min="36" max="36" style="249" width="12.43357142857143" customWidth="1" bestFit="1" hidden="1"/>
    <col min="37" max="37" style="249" width="12.43357142857143" customWidth="1" bestFit="1" hidden="1"/>
    <col min="38" max="38" style="249" width="12.43357142857143" customWidth="1" bestFit="1" hidden="1"/>
    <col min="39" max="39" style="249" width="12.43357142857143" customWidth="1" bestFit="1" hidden="1"/>
    <col min="40" max="40" style="249" width="12.43357142857143" customWidth="1" bestFit="1" hidden="1"/>
    <col min="41" max="41" style="249" width="12.43357142857143" customWidth="1" bestFit="1" hidden="1"/>
    <col min="42" max="42" style="249" width="12.43357142857143" customWidth="1" bestFit="1" hidden="1"/>
    <col min="43" max="43" style="249" width="12.43357142857143" customWidth="1" bestFit="1" hidden="1"/>
    <col min="44" max="44" style="249" width="12.43357142857143" customWidth="1" bestFit="1" hidden="1"/>
    <col min="45" max="45" style="249" width="12.43357142857143" customWidth="1" bestFit="1" hidden="1"/>
    <col min="46" max="46" style="249" width="12.43357142857143" customWidth="1" bestFit="1" hidden="1"/>
    <col min="47" max="47" style="249" width="12.43357142857143" customWidth="1" bestFit="1" hidden="1"/>
    <col min="48" max="48" style="249" width="12.43357142857143" customWidth="1" bestFit="1" hidden="1"/>
    <col min="49" max="49" style="249" width="9.147857142857141" customWidth="1" bestFit="1"/>
    <col min="50" max="50" style="249" width="9.147857142857141" customWidth="1" bestFit="1"/>
    <col min="51" max="51" style="249" width="9.147857142857141" customWidth="1" bestFit="1"/>
    <col min="52" max="52" style="249" width="9.147857142857141" customWidth="1" bestFit="1"/>
    <col min="53" max="53" style="249" width="9.147857142857141" customWidth="1" bestFit="1"/>
    <col min="54" max="54" style="249" width="9.147857142857141" customWidth="1" bestFit="1"/>
    <col min="55" max="55" style="21" width="12.576428571428572" customWidth="1" bestFit="1"/>
    <col min="56" max="56" style="21" width="9.147857142857141" customWidth="1" bestFit="1"/>
    <col min="57" max="57" style="21" width="6.862142857142857" customWidth="1" bestFit="1"/>
    <col min="58" max="58" style="21" width="11.862142857142858" customWidth="1" bestFit="1"/>
    <col min="59" max="59" style="21" width="12.576428571428572" customWidth="1" bestFit="1"/>
    <col min="60" max="60" style="21" width="9.576428571428572" customWidth="1" bestFit="1"/>
    <col min="61" max="61" style="21" width="12.005" customWidth="1" bestFit="1"/>
    <col min="62" max="62" style="21" width="12.43357142857143" customWidth="1" bestFit="1"/>
    <col min="63" max="63" style="21" width="12.43357142857143" customWidth="1" bestFit="1"/>
    <col min="64" max="64" style="248" width="12.43357142857143" customWidth="1" bestFit="1"/>
    <col min="65" max="65" style="22" width="12.43357142857143" customWidth="1" bestFit="1"/>
  </cols>
  <sheetData>
    <row x14ac:dyDescent="0.25" r="1" customHeight="1" ht="16">
      <c r="A1" s="182" t="s">
        <v>57</v>
      </c>
      <c r="B1" s="183">
        <v>0.03</v>
      </c>
      <c r="C1" s="184" t="s">
        <v>57</v>
      </c>
      <c r="D1" s="184" t="s">
        <v>57</v>
      </c>
      <c r="E1" s="184" t="s">
        <v>57</v>
      </c>
      <c r="F1" s="184" t="s">
        <v>57</v>
      </c>
      <c r="G1" s="185"/>
      <c r="H1" s="186" t="s">
        <v>57</v>
      </c>
      <c r="I1" s="186" t="s">
        <v>57</v>
      </c>
      <c r="J1" s="184" t="s">
        <v>57</v>
      </c>
      <c r="K1" s="187" t="s">
        <v>57</v>
      </c>
      <c r="L1" s="184" t="s">
        <v>57</v>
      </c>
      <c r="M1" s="184" t="s">
        <v>57</v>
      </c>
      <c r="N1" s="185" t="s">
        <v>57</v>
      </c>
      <c r="O1" s="185" t="s">
        <v>57</v>
      </c>
      <c r="P1" s="184" t="s">
        <v>57</v>
      </c>
      <c r="Q1" s="187" t="s">
        <v>57</v>
      </c>
      <c r="R1" s="184" t="s">
        <v>57</v>
      </c>
      <c r="S1" s="184" t="s">
        <v>57</v>
      </c>
      <c r="T1" s="184" t="s">
        <v>57</v>
      </c>
      <c r="U1" s="184" t="s">
        <v>57</v>
      </c>
      <c r="V1" s="184" t="s">
        <v>57</v>
      </c>
      <c r="W1" s="184" t="s">
        <v>57</v>
      </c>
      <c r="X1" s="184" t="s">
        <v>57</v>
      </c>
      <c r="Y1" s="184" t="s">
        <v>57</v>
      </c>
      <c r="Z1" s="184" t="s">
        <v>57</v>
      </c>
      <c r="AA1" s="184" t="s">
        <v>57</v>
      </c>
      <c r="AB1" s="184" t="s">
        <v>57</v>
      </c>
      <c r="AC1" s="184" t="s">
        <v>57</v>
      </c>
      <c r="AD1" s="184" t="s">
        <v>57</v>
      </c>
      <c r="AE1" s="184" t="s">
        <v>57</v>
      </c>
      <c r="AF1" s="184" t="s">
        <v>57</v>
      </c>
      <c r="AG1" s="186" t="s">
        <v>57</v>
      </c>
      <c r="AH1" s="186" t="s">
        <v>57</v>
      </c>
      <c r="AI1" s="186" t="s">
        <v>57</v>
      </c>
      <c r="AJ1" s="186" t="s">
        <v>57</v>
      </c>
      <c r="AK1" s="186" t="s">
        <v>57</v>
      </c>
      <c r="AL1" s="186" t="s">
        <v>57</v>
      </c>
      <c r="AM1" s="186" t="s">
        <v>57</v>
      </c>
      <c r="AN1" s="186" t="s">
        <v>57</v>
      </c>
      <c r="AO1" s="186" t="s">
        <v>57</v>
      </c>
      <c r="AP1" s="186" t="s">
        <v>57</v>
      </c>
      <c r="AQ1" s="186" t="s">
        <v>57</v>
      </c>
      <c r="AR1" s="186" t="s">
        <v>57</v>
      </c>
      <c r="AS1" s="186" t="s">
        <v>57</v>
      </c>
      <c r="AT1" s="186" t="s">
        <v>57</v>
      </c>
      <c r="AU1" s="186" t="s">
        <v>57</v>
      </c>
      <c r="AV1" s="186" t="s">
        <v>57</v>
      </c>
      <c r="AW1" s="186" t="s">
        <v>57</v>
      </c>
      <c r="AX1" s="186" t="s">
        <v>57</v>
      </c>
      <c r="AY1" s="186" t="s">
        <v>57</v>
      </c>
      <c r="AZ1" s="186" t="s">
        <v>57</v>
      </c>
      <c r="BA1" s="185"/>
      <c r="BB1" s="185"/>
      <c r="BC1" s="184" t="s">
        <v>57</v>
      </c>
      <c r="BD1" s="184" t="s">
        <v>57</v>
      </c>
      <c r="BE1" s="184" t="s">
        <v>57</v>
      </c>
      <c r="BF1" s="184" t="s">
        <v>57</v>
      </c>
      <c r="BG1" s="184" t="s">
        <v>57</v>
      </c>
      <c r="BH1" s="184" t="s">
        <v>57</v>
      </c>
      <c r="BI1" s="184" t="s">
        <v>57</v>
      </c>
      <c r="BJ1" s="184" t="s">
        <v>57</v>
      </c>
      <c r="BK1" s="184" t="s">
        <v>57</v>
      </c>
      <c r="BL1" s="182" t="s">
        <v>57</v>
      </c>
      <c r="BM1" s="330" t="s">
        <v>57</v>
      </c>
    </row>
    <row x14ac:dyDescent="0.25" r="2" customHeight="1" ht="73" customFormat="1" s="6">
      <c r="A2" s="189" t="s">
        <v>65</v>
      </c>
      <c r="B2" s="190" t="s">
        <v>66</v>
      </c>
      <c r="C2" s="331" t="s">
        <v>67</v>
      </c>
      <c r="D2" s="191" t="s">
        <v>369</v>
      </c>
      <c r="E2" s="191" t="s">
        <v>69</v>
      </c>
      <c r="F2" s="191" t="s">
        <v>70</v>
      </c>
      <c r="G2" s="192" t="s">
        <v>71</v>
      </c>
      <c r="H2" s="193" t="s">
        <v>72</v>
      </c>
      <c r="I2" s="193" t="s">
        <v>73</v>
      </c>
      <c r="J2" s="194" t="s">
        <v>74</v>
      </c>
      <c r="K2" s="195" t="s">
        <v>75</v>
      </c>
      <c r="L2" s="194" t="s">
        <v>73</v>
      </c>
      <c r="M2" s="194" t="s">
        <v>76</v>
      </c>
      <c r="N2" s="192" t="s">
        <v>77</v>
      </c>
      <c r="O2" s="192" t="s">
        <v>78</v>
      </c>
      <c r="P2" s="196" t="s">
        <v>79</v>
      </c>
      <c r="Q2" s="195" t="s">
        <v>80</v>
      </c>
      <c r="R2" s="197" t="s">
        <v>81</v>
      </c>
      <c r="S2" s="197" t="s">
        <v>82</v>
      </c>
      <c r="T2" s="198" t="s">
        <v>83</v>
      </c>
      <c r="U2" s="198" t="s">
        <v>84</v>
      </c>
      <c r="V2" s="199" t="s">
        <v>85</v>
      </c>
      <c r="W2" s="199" t="s">
        <v>86</v>
      </c>
      <c r="X2" s="198" t="s">
        <v>87</v>
      </c>
      <c r="Y2" s="198" t="s">
        <v>88</v>
      </c>
      <c r="Z2" s="198" t="s">
        <v>89</v>
      </c>
      <c r="AA2" s="198" t="s">
        <v>90</v>
      </c>
      <c r="AB2" s="199" t="s">
        <v>91</v>
      </c>
      <c r="AC2" s="199" t="s">
        <v>92</v>
      </c>
      <c r="AD2" s="199" t="s">
        <v>93</v>
      </c>
      <c r="AE2" s="199" t="s">
        <v>94</v>
      </c>
      <c r="AF2" s="197" t="s">
        <v>95</v>
      </c>
      <c r="AG2" s="200" t="s">
        <v>96</v>
      </c>
      <c r="AH2" s="200" t="s">
        <v>97</v>
      </c>
      <c r="AI2" s="200" t="s">
        <v>98</v>
      </c>
      <c r="AJ2" s="200" t="s">
        <v>99</v>
      </c>
      <c r="AK2" s="200" t="s">
        <v>100</v>
      </c>
      <c r="AL2" s="200" t="s">
        <v>101</v>
      </c>
      <c r="AM2" s="200" t="s">
        <v>102</v>
      </c>
      <c r="AN2" s="200" t="s">
        <v>103</v>
      </c>
      <c r="AO2" s="200" t="s">
        <v>104</v>
      </c>
      <c r="AP2" s="200" t="s">
        <v>105</v>
      </c>
      <c r="AQ2" s="200" t="s">
        <v>106</v>
      </c>
      <c r="AR2" s="200" t="s">
        <v>107</v>
      </c>
      <c r="AS2" s="200" t="s">
        <v>108</v>
      </c>
      <c r="AT2" s="200" t="s">
        <v>109</v>
      </c>
      <c r="AU2" s="200" t="s">
        <v>110</v>
      </c>
      <c r="AV2" s="200" t="s">
        <v>111</v>
      </c>
      <c r="AW2" s="200" t="s">
        <v>112</v>
      </c>
      <c r="AX2" s="200" t="s">
        <v>113</v>
      </c>
      <c r="AY2" s="200" t="s">
        <v>114</v>
      </c>
      <c r="AZ2" s="200" t="s">
        <v>115</v>
      </c>
      <c r="BA2" s="200" t="s">
        <v>116</v>
      </c>
      <c r="BB2" s="200" t="s">
        <v>117</v>
      </c>
      <c r="BC2" s="199" t="s">
        <v>119</v>
      </c>
      <c r="BD2" s="199" t="s">
        <v>120</v>
      </c>
      <c r="BE2" s="199" t="s">
        <v>121</v>
      </c>
      <c r="BF2" s="199" t="s">
        <v>122</v>
      </c>
      <c r="BG2" s="199" t="s">
        <v>123</v>
      </c>
      <c r="BH2" s="199" t="s">
        <v>124</v>
      </c>
      <c r="BI2" s="199" t="s">
        <v>125</v>
      </c>
      <c r="BJ2" s="175" t="s">
        <v>126</v>
      </c>
      <c r="BK2" s="175" t="s">
        <v>127</v>
      </c>
      <c r="BL2" s="332" t="s">
        <v>370</v>
      </c>
      <c r="BM2" s="4"/>
    </row>
    <row x14ac:dyDescent="0.25" r="3" customHeight="1" ht="16">
      <c r="A3" s="202">
        <v>25568.79196759259</v>
      </c>
      <c r="B3" s="333" t="s">
        <v>371</v>
      </c>
      <c r="C3" s="334" t="s">
        <v>372</v>
      </c>
      <c r="D3" s="70" t="s">
        <v>373</v>
      </c>
      <c r="E3" s="70" t="s">
        <v>131</v>
      </c>
      <c r="F3" s="70" t="s">
        <v>218</v>
      </c>
      <c r="G3" s="205">
        <v>601</v>
      </c>
      <c r="H3" s="206">
        <v>1.32</v>
      </c>
      <c r="I3" s="207">
        <v>0.12</v>
      </c>
      <c r="J3" s="208">
        <f>H3+I3</f>
      </c>
      <c r="K3" s="209">
        <v>50000</v>
      </c>
      <c r="L3" s="58">
        <f>K3*I3</f>
      </c>
      <c r="M3" s="58">
        <f>K3*J3</f>
      </c>
      <c r="N3" s="16"/>
      <c r="O3" s="210">
        <v>24</v>
      </c>
      <c r="P3" s="211">
        <f>IF(ISBLANK(N3),O3/4.3,N3/20)</f>
      </c>
      <c r="Q3" s="209">
        <v>4000</v>
      </c>
      <c r="R3" s="212" t="s">
        <v>133</v>
      </c>
      <c r="S3" s="209"/>
      <c r="T3" s="213">
        <f>IF(ISBLANK(R3),0,X3)</f>
      </c>
      <c r="U3" s="213">
        <f>IF(ISBLANK(S3),0,X3)</f>
      </c>
      <c r="V3" s="214">
        <f>IFERROR(Q3/K3,0)</f>
      </c>
      <c r="W3" s="58">
        <f>IFERROR(L3*V3,0)</f>
      </c>
      <c r="X3" s="213">
        <f>IFERROR(Q3+W3,0)</f>
      </c>
      <c r="Y3" s="213">
        <f>IFERROR(M3*V3,0)</f>
      </c>
      <c r="Z3" s="213">
        <f>Y3-(Y3*$B$1)</f>
      </c>
      <c r="AA3" s="67">
        <f>Z3/X3</f>
      </c>
      <c r="AB3" s="215">
        <f>IF(ISBLANK(N3),Y3/O3,Y3/N3)</f>
      </c>
      <c r="AC3" s="215">
        <f>IFERROR(-1*(AB3*B$1),0)</f>
      </c>
      <c r="AD3" s="215">
        <f>IFERROR(SUM(AB3:AC3),0)</f>
      </c>
      <c r="AE3" s="215">
        <f>IF(ISBLANK(N3),AD3,AD3*5)</f>
      </c>
      <c r="AF3" s="216">
        <f>SUM(AG3:BB3)</f>
      </c>
      <c r="AG3" s="207">
        <v>232.8</v>
      </c>
      <c r="AH3" s="207">
        <v>232.8</v>
      </c>
      <c r="AI3" s="207">
        <v>232.8</v>
      </c>
      <c r="AJ3" s="207"/>
      <c r="AK3" s="207">
        <v>465.6</v>
      </c>
      <c r="AL3" s="207">
        <v>232.8</v>
      </c>
      <c r="AM3" s="207">
        <v>232.8</v>
      </c>
      <c r="AN3" s="207">
        <v>232.8</v>
      </c>
      <c r="AO3" s="207"/>
      <c r="AP3" s="207">
        <v>465.6</v>
      </c>
      <c r="AQ3" s="207">
        <v>232.8</v>
      </c>
      <c r="AR3" s="207">
        <v>232.8</v>
      </c>
      <c r="AS3" s="207">
        <v>232.8</v>
      </c>
      <c r="AT3" s="207">
        <v>232.8</v>
      </c>
      <c r="AU3" s="207"/>
      <c r="AV3" s="207">
        <v>232.8</v>
      </c>
      <c r="AW3" s="207">
        <v>232.8</v>
      </c>
      <c r="AX3" s="207"/>
      <c r="AY3" s="207"/>
      <c r="AZ3" s="207"/>
      <c r="BA3" s="207"/>
      <c r="BB3" s="207"/>
      <c r="BC3" s="215">
        <f>Z3-AF3</f>
      </c>
      <c r="BD3" s="214">
        <f>IFERROR(AF3/Z3,0)</f>
      </c>
      <c r="BE3" s="214">
        <f>IFERROR(AF3/X3,0)</f>
      </c>
      <c r="BF3" s="214">
        <f>X3/SUM(X$3:X$12)</f>
      </c>
      <c r="BG3" s="214">
        <f>BC3/SUM(BC$3:BC200)</f>
      </c>
      <c r="BH3" s="217">
        <f>BC3/'R&amp;H Portfolio'!Q$10</f>
      </c>
      <c r="BI3" s="215">
        <f>BF3*P3</f>
      </c>
      <c r="BJ3" s="218"/>
      <c r="BK3" s="219">
        <f>IF(BJ3="YES", BC3, "")</f>
      </c>
      <c r="BL3" s="64"/>
      <c r="BM3" s="4"/>
    </row>
    <row x14ac:dyDescent="0.25" r="4" customHeight="1" ht="16">
      <c r="A4" s="202">
        <v>25568.79196759259</v>
      </c>
      <c r="B4" s="333" t="s">
        <v>374</v>
      </c>
      <c r="C4" s="335" t="s">
        <v>375</v>
      </c>
      <c r="D4" s="70" t="s">
        <v>376</v>
      </c>
      <c r="E4" s="70" t="s">
        <v>201</v>
      </c>
      <c r="F4" s="70" t="s">
        <v>218</v>
      </c>
      <c r="G4" s="205">
        <v>733</v>
      </c>
      <c r="H4" s="206">
        <v>1.33</v>
      </c>
      <c r="I4" s="207">
        <v>0.12</v>
      </c>
      <c r="J4" s="208">
        <f>H4+I4</f>
      </c>
      <c r="K4" s="209">
        <v>100000</v>
      </c>
      <c r="L4" s="58">
        <f>K4*I4</f>
      </c>
      <c r="M4" s="58">
        <f>K4*J4</f>
      </c>
      <c r="N4" s="16"/>
      <c r="O4" s="210">
        <v>40</v>
      </c>
      <c r="P4" s="211">
        <f>IF(ISBLANK(N4),O4/4.3,N4/20)</f>
      </c>
      <c r="Q4" s="209">
        <v>7000</v>
      </c>
      <c r="R4" s="212" t="s">
        <v>133</v>
      </c>
      <c r="S4" s="209"/>
      <c r="T4" s="213">
        <f>IF(ISBLANK(R4),0,X4)</f>
      </c>
      <c r="U4" s="213">
        <f>IF(ISBLANK(S4),0,X4)</f>
      </c>
      <c r="V4" s="214">
        <f>IFERROR(Q4/K4,0)</f>
      </c>
      <c r="W4" s="58">
        <f>IFERROR(L4*V4,0)</f>
      </c>
      <c r="X4" s="213">
        <f>IFERROR(Q4+W4,0)</f>
      </c>
      <c r="Y4" s="213">
        <f>IFERROR(M4*V4,0)</f>
      </c>
      <c r="Z4" s="213">
        <f>Y4-(Y4*$B$1)</f>
      </c>
      <c r="AA4" s="67">
        <f>Z4/X4</f>
      </c>
      <c r="AB4" s="215">
        <f>IF(ISBLANK(N4),Y4/O4,Y4/N4)</f>
      </c>
      <c r="AC4" s="215">
        <f>IFERROR(-1*(AB4*B$1),0)</f>
      </c>
      <c r="AD4" s="215">
        <f>IFERROR(SUM(AB4:AC4),0)</f>
      </c>
      <c r="AE4" s="215">
        <f>IF(ISBLANK(N4),AD4,AD4*5)</f>
      </c>
      <c r="AF4" s="216">
        <f>SUM(AG4:BB4)</f>
      </c>
      <c r="AG4" s="207"/>
      <c r="AH4" s="207">
        <v>246.13</v>
      </c>
      <c r="AI4" s="207">
        <v>246.14</v>
      </c>
      <c r="AJ4" s="207">
        <v>246.14</v>
      </c>
      <c r="AK4" s="207">
        <v>246.14</v>
      </c>
      <c r="AL4" s="207">
        <v>246.13</v>
      </c>
      <c r="AM4" s="207">
        <v>246.14</v>
      </c>
      <c r="AN4" s="207">
        <v>246.14</v>
      </c>
      <c r="AO4" s="207">
        <v>246.14</v>
      </c>
      <c r="AP4" s="207">
        <v>246.13</v>
      </c>
      <c r="AQ4" s="207">
        <v>246.14</v>
      </c>
      <c r="AR4" s="207">
        <v>246.14</v>
      </c>
      <c r="AS4" s="207">
        <v>246.14</v>
      </c>
      <c r="AT4" s="207">
        <v>246.13</v>
      </c>
      <c r="AU4" s="207">
        <v>246.14</v>
      </c>
      <c r="AV4" s="207">
        <v>246.14</v>
      </c>
      <c r="AW4" s="207">
        <v>246.14</v>
      </c>
      <c r="AX4" s="207">
        <v>246.13</v>
      </c>
      <c r="AY4" s="207">
        <v>246.14</v>
      </c>
      <c r="AZ4" s="207">
        <v>246.14</v>
      </c>
      <c r="BA4" s="207">
        <v>246.14</v>
      </c>
      <c r="BB4" s="207">
        <v>4922.75</v>
      </c>
      <c r="BC4" s="215">
        <f>Z4-AF4</f>
      </c>
      <c r="BD4" s="214">
        <f>IFERROR(AF4/Z4,0)</f>
      </c>
      <c r="BE4" s="214">
        <f>IFERROR(AF4/X4,0)</f>
      </c>
      <c r="BF4" s="214">
        <f>X4/SUM(X$3:X$12)</f>
      </c>
      <c r="BG4" s="214">
        <f>BC4/SUM(BC$3:BC201)</f>
      </c>
      <c r="BH4" s="217">
        <f>BC4/'R&amp;H Portfolio'!Q$10</f>
      </c>
      <c r="BI4" s="215">
        <f>BF4*P4</f>
      </c>
      <c r="BJ4" s="73"/>
      <c r="BK4" s="220">
        <f>IF(BJ4="YES", BC4, "")</f>
      </c>
      <c r="BL4" s="17"/>
      <c r="BM4" s="4"/>
    </row>
    <row x14ac:dyDescent="0.25" r="5" customHeight="1" ht="16">
      <c r="A5" s="202">
        <v>25568.79196759259</v>
      </c>
      <c r="B5" s="333" t="s">
        <v>377</v>
      </c>
      <c r="C5" s="335" t="s">
        <v>378</v>
      </c>
      <c r="D5" s="70" t="s">
        <v>379</v>
      </c>
      <c r="E5" s="70" t="s">
        <v>380</v>
      </c>
      <c r="F5" s="70" t="s">
        <v>218</v>
      </c>
      <c r="G5" s="205">
        <v>733</v>
      </c>
      <c r="H5" s="206">
        <v>1.33</v>
      </c>
      <c r="I5" s="207">
        <v>0.12</v>
      </c>
      <c r="J5" s="208">
        <f>H5+I5</f>
      </c>
      <c r="K5" s="209">
        <v>400000</v>
      </c>
      <c r="L5" s="58">
        <f>K5*I5</f>
      </c>
      <c r="M5" s="58">
        <f>K5*J5</f>
      </c>
      <c r="N5" s="210">
        <v>132</v>
      </c>
      <c r="O5" s="16"/>
      <c r="P5" s="211">
        <f>IF(ISBLANK(N5),O5/4.3,N5/20)</f>
      </c>
      <c r="Q5" s="209">
        <v>7000</v>
      </c>
      <c r="R5" s="212" t="s">
        <v>133</v>
      </c>
      <c r="S5" s="209"/>
      <c r="T5" s="213">
        <f>IF(ISBLANK(R5),0,X5)</f>
      </c>
      <c r="U5" s="213">
        <f>IF(ISBLANK(S5),0,X5)</f>
      </c>
      <c r="V5" s="214">
        <f>IFERROR(Q5/K5,0)</f>
      </c>
      <c r="W5" s="58">
        <f>IFERROR(L5*V5,0)</f>
      </c>
      <c r="X5" s="213">
        <f>IFERROR(Q5+W5,0)</f>
      </c>
      <c r="Y5" s="213">
        <f>IFERROR(M5*V5,0)</f>
      </c>
      <c r="Z5" s="213">
        <f>Y5-(Y5*$B$1)</f>
      </c>
      <c r="AA5" s="67">
        <f>Z5/X5</f>
      </c>
      <c r="AB5" s="215">
        <f>IF(ISBLANK(N5),Y5/O5,Y5/N5)</f>
      </c>
      <c r="AC5" s="215">
        <f>IFERROR(-1*(AB5*B$1),0)</f>
      </c>
      <c r="AD5" s="215">
        <f>IFERROR(SUM(AB5:AC5),0)</f>
      </c>
      <c r="AE5" s="215">
        <f>IF(ISBLANK(N5),AD5,AD5*5)</f>
      </c>
      <c r="AF5" s="216">
        <f>SUM(AG5:BB5)</f>
      </c>
      <c r="AG5" s="207">
        <v>149.17</v>
      </c>
      <c r="AH5" s="207">
        <v>298.35</v>
      </c>
      <c r="AI5" s="207">
        <v>372.93</v>
      </c>
      <c r="AJ5" s="207">
        <v>223.76</v>
      </c>
      <c r="AK5" s="207">
        <v>223.77</v>
      </c>
      <c r="AL5" s="207">
        <v>223.76</v>
      </c>
      <c r="AM5" s="207"/>
      <c r="AN5" s="207">
        <v>74.58</v>
      </c>
      <c r="AO5" s="207">
        <v>149.18</v>
      </c>
      <c r="AP5" s="207">
        <v>298.35</v>
      </c>
      <c r="AQ5" s="207">
        <v>298.35</v>
      </c>
      <c r="AR5" s="207">
        <v>372.9300000000001</v>
      </c>
      <c r="AS5" s="207">
        <v>298.35</v>
      </c>
      <c r="AT5" s="207">
        <v>372.9400000000001</v>
      </c>
      <c r="AU5" s="207">
        <v>149.17</v>
      </c>
      <c r="AV5" s="207">
        <v>372.9400000000001</v>
      </c>
      <c r="AW5" s="207"/>
      <c r="AX5" s="207">
        <v>74.58</v>
      </c>
      <c r="AY5" s="207">
        <v>149.18</v>
      </c>
      <c r="AZ5" s="207">
        <v>74.58</v>
      </c>
      <c r="BA5" s="207">
        <v>223.77</v>
      </c>
      <c r="BB5" s="207">
        <v>74.58</v>
      </c>
      <c r="BC5" s="215">
        <f>Z5-AF5</f>
      </c>
      <c r="BD5" s="214">
        <f>IFERROR(AF5/Z5,0)</f>
      </c>
      <c r="BE5" s="214">
        <f>IFERROR(AF5/X5,0)</f>
      </c>
      <c r="BF5" s="214">
        <f>X5/SUM(X$3:X$12)</f>
      </c>
      <c r="BG5" s="214">
        <f>BC5/SUM(BC$3:BC202)</f>
      </c>
      <c r="BH5" s="217">
        <f>BC5/'R&amp;H Portfolio'!Q$10</f>
      </c>
      <c r="BI5" s="215">
        <f>BF5*P5</f>
      </c>
      <c r="BJ5" s="73"/>
      <c r="BK5" s="220">
        <f>IF(BJ5="YES", BC5, "")</f>
      </c>
      <c r="BL5" s="17"/>
      <c r="BM5" s="4"/>
    </row>
    <row x14ac:dyDescent="0.25" r="6" customHeight="1" ht="16">
      <c r="A6" s="202">
        <v>25568.79196759259</v>
      </c>
      <c r="B6" s="333" t="s">
        <v>381</v>
      </c>
      <c r="C6" s="335" t="s">
        <v>382</v>
      </c>
      <c r="D6" s="70" t="s">
        <v>383</v>
      </c>
      <c r="E6" s="70" t="s">
        <v>201</v>
      </c>
      <c r="F6" s="70" t="s">
        <v>206</v>
      </c>
      <c r="G6" s="205">
        <v>731</v>
      </c>
      <c r="H6" s="206">
        <v>1.37</v>
      </c>
      <c r="I6" s="207">
        <v>0.12</v>
      </c>
      <c r="J6" s="208">
        <f>H6+I6</f>
      </c>
      <c r="K6" s="209">
        <v>500000</v>
      </c>
      <c r="L6" s="58">
        <f>K6*I6</f>
      </c>
      <c r="M6" s="58">
        <f>K6*J6</f>
      </c>
      <c r="N6" s="210">
        <v>105</v>
      </c>
      <c r="O6" s="16"/>
      <c r="P6" s="211">
        <f>IF(ISBLANK(N6),O6/4.3,N6/20)</f>
      </c>
      <c r="Q6" s="209">
        <v>7000</v>
      </c>
      <c r="R6" s="212" t="s">
        <v>133</v>
      </c>
      <c r="S6" s="209"/>
      <c r="T6" s="213">
        <f>IF(ISBLANK(R6),0,X6)</f>
      </c>
      <c r="U6" s="213">
        <f>IF(ISBLANK(S6),0,X6)</f>
      </c>
      <c r="V6" s="214">
        <f>IFERROR(Q6/K6,0)</f>
      </c>
      <c r="W6" s="58">
        <f>IFERROR(L6*V6,0)</f>
      </c>
      <c r="X6" s="213">
        <f>IFERROR(Q6+W6,0)</f>
      </c>
      <c r="Y6" s="213">
        <f>IFERROR(M6*V6,0)</f>
      </c>
      <c r="Z6" s="213">
        <f>Y6-(Y6*$B$1)</f>
      </c>
      <c r="AA6" s="67">
        <f>Z6/X6</f>
      </c>
      <c r="AB6" s="215">
        <f>IF(ISBLANK(N6),Y6/O6,Y6/N6)</f>
      </c>
      <c r="AC6" s="215">
        <f>IFERROR(-1*(AB6*B$1),0)</f>
      </c>
      <c r="AD6" s="215">
        <f>IFERROR(SUM(AB6:AC6),0)</f>
      </c>
      <c r="AE6" s="215">
        <f>IF(ISBLANK(N6),AD6,AD6*5)</f>
      </c>
      <c r="AF6" s="216">
        <f>SUM(AG6:BB6)</f>
      </c>
      <c r="AG6" s="207">
        <v>192.7</v>
      </c>
      <c r="AH6" s="207">
        <v>271.6</v>
      </c>
      <c r="AI6" s="207">
        <v>339.5</v>
      </c>
      <c r="AJ6" s="207">
        <v>271.6</v>
      </c>
      <c r="AK6" s="207">
        <v>339.5</v>
      </c>
      <c r="AL6" s="207">
        <v>380.2400000000001</v>
      </c>
      <c r="AM6" s="207">
        <v>407.4</v>
      </c>
      <c r="AN6" s="207">
        <v>407.4</v>
      </c>
      <c r="AO6" s="207">
        <v>162.96</v>
      </c>
      <c r="AP6" s="207">
        <v>681.16</v>
      </c>
      <c r="AQ6" s="207">
        <v>110.79</v>
      </c>
      <c r="AR6" s="207"/>
      <c r="AS6" s="207"/>
      <c r="AT6" s="207"/>
      <c r="AU6" s="207"/>
      <c r="AV6" s="207">
        <v>443.19</v>
      </c>
      <c r="AW6" s="207">
        <v>110.79</v>
      </c>
      <c r="AX6" s="207">
        <v>221.59</v>
      </c>
      <c r="AY6" s="207">
        <v>221.59</v>
      </c>
      <c r="AZ6" s="207">
        <v>110.8</v>
      </c>
      <c r="BA6" s="207"/>
      <c r="BB6" s="207"/>
      <c r="BC6" s="215">
        <f>Z6-AF6</f>
      </c>
      <c r="BD6" s="214">
        <f>IFERROR(AF6/Z6,0)</f>
      </c>
      <c r="BE6" s="214">
        <f>IFERROR(AF6/X6,0)</f>
      </c>
      <c r="BF6" s="214">
        <f>X6/SUM(X$3:X$12)</f>
      </c>
      <c r="BG6" s="214">
        <f>BC6/SUM(BC$3:BC203)</f>
      </c>
      <c r="BH6" s="217">
        <f>BC6/'R&amp;H Portfolio'!Q$10</f>
      </c>
      <c r="BI6" s="215">
        <f>BF6*P6</f>
      </c>
      <c r="BJ6" s="73"/>
      <c r="BK6" s="220">
        <f>IF(BJ6="YES", BC6, "")</f>
      </c>
      <c r="BL6" s="17"/>
      <c r="BM6" s="4"/>
    </row>
    <row x14ac:dyDescent="0.25" r="7" customHeight="1" ht="16">
      <c r="A7" s="202">
        <v>25568.79196759259</v>
      </c>
      <c r="B7" s="333" t="s">
        <v>384</v>
      </c>
      <c r="C7" s="335" t="s">
        <v>372</v>
      </c>
      <c r="D7" s="70" t="s">
        <v>385</v>
      </c>
      <c r="E7" s="70" t="s">
        <v>386</v>
      </c>
      <c r="F7" s="70" t="s">
        <v>132</v>
      </c>
      <c r="G7" s="205">
        <v>555</v>
      </c>
      <c r="H7" s="206">
        <v>1.31</v>
      </c>
      <c r="I7" s="207">
        <v>0.12</v>
      </c>
      <c r="J7" s="208">
        <f>H7+I7</f>
      </c>
      <c r="K7" s="209">
        <v>70000</v>
      </c>
      <c r="L7" s="58">
        <f>K7*I7</f>
      </c>
      <c r="M7" s="58">
        <f>K7*J7</f>
      </c>
      <c r="N7" s="16"/>
      <c r="O7" s="210">
        <v>30</v>
      </c>
      <c r="P7" s="211">
        <f>IF(ISBLANK(N7),O7/4.3,N7/20)</f>
      </c>
      <c r="Q7" s="209">
        <v>4000</v>
      </c>
      <c r="R7" s="212" t="s">
        <v>133</v>
      </c>
      <c r="S7" s="209"/>
      <c r="T7" s="213">
        <f>IF(ISBLANK(R7),0,X7)</f>
      </c>
      <c r="U7" s="213">
        <f>IF(ISBLANK(S7),0,X7)</f>
      </c>
      <c r="V7" s="214">
        <f>IFERROR(Q7/K7,0)</f>
      </c>
      <c r="W7" s="58">
        <f>IFERROR(L7*V7,0)</f>
      </c>
      <c r="X7" s="213">
        <f>IFERROR(Q7+W7,0)</f>
      </c>
      <c r="Y7" s="213">
        <f>IFERROR(M7*V7,0)</f>
      </c>
      <c r="Z7" s="213">
        <f>Y7-(Y7*$B$1)</f>
      </c>
      <c r="AA7" s="67">
        <f>Z7/X7</f>
      </c>
      <c r="AB7" s="215">
        <f>IF(ISBLANK(N7),Y7/O7,Y7/N7)</f>
      </c>
      <c r="AC7" s="215">
        <f>IFERROR(-1*(AB7*B$1),0)</f>
      </c>
      <c r="AD7" s="215">
        <f>IFERROR(SUM(AB7:AC7),0)</f>
      </c>
      <c r="AE7" s="215">
        <f>IF(ISBLANK(N7),AD7,AD7*5)</f>
      </c>
      <c r="AF7" s="216">
        <f>SUM(AG7:BB7)</f>
      </c>
      <c r="AG7" s="207"/>
      <c r="AH7" s="207">
        <v>184.94</v>
      </c>
      <c r="AI7" s="207">
        <v>184.95</v>
      </c>
      <c r="AJ7" s="207">
        <v>184.95</v>
      </c>
      <c r="AK7" s="207">
        <v>184.94</v>
      </c>
      <c r="AL7" s="207">
        <v>184.95</v>
      </c>
      <c r="AM7" s="207">
        <v>184.95</v>
      </c>
      <c r="AN7" s="207">
        <v>184.94</v>
      </c>
      <c r="AO7" s="207">
        <v>184.95</v>
      </c>
      <c r="AP7" s="207">
        <v>184.95</v>
      </c>
      <c r="AQ7" s="207">
        <v>184.94</v>
      </c>
      <c r="AR7" s="207">
        <v>184.95</v>
      </c>
      <c r="AS7" s="207">
        <v>184.95</v>
      </c>
      <c r="AT7" s="207">
        <v>184.94</v>
      </c>
      <c r="AU7" s="207"/>
      <c r="AV7" s="207">
        <v>92.48</v>
      </c>
      <c r="AW7" s="207">
        <v>92.47</v>
      </c>
      <c r="AX7" s="207">
        <v>92.47</v>
      </c>
      <c r="AY7" s="207">
        <v>184.95</v>
      </c>
      <c r="AZ7" s="207">
        <v>184.95</v>
      </c>
      <c r="BA7" s="207"/>
      <c r="BB7" s="207">
        <v>184.94</v>
      </c>
      <c r="BC7" s="215">
        <f>Z7-AF7</f>
      </c>
      <c r="BD7" s="214">
        <f>IFERROR(AF7/Z7,0)</f>
      </c>
      <c r="BE7" s="214">
        <f>IFERROR(AF7/X7,0)</f>
      </c>
      <c r="BF7" s="214">
        <f>X7/SUM(X$3:X$12)</f>
      </c>
      <c r="BG7" s="214">
        <f>BC7/SUM(BC$3:BC204)</f>
      </c>
      <c r="BH7" s="217">
        <f>BC7/'R&amp;H Portfolio'!Q$10</f>
      </c>
      <c r="BI7" s="215">
        <f>BF7*P7</f>
      </c>
      <c r="BJ7" s="73"/>
      <c r="BK7" s="220">
        <f>IF(BJ7="YES", BC7, "")</f>
      </c>
      <c r="BL7" s="17"/>
      <c r="BM7" s="4"/>
    </row>
    <row x14ac:dyDescent="0.25" r="8" customHeight="1" ht="16">
      <c r="A8" s="202">
        <v>25568.79196759259</v>
      </c>
      <c r="B8" s="333" t="s">
        <v>387</v>
      </c>
      <c r="C8" s="335" t="s">
        <v>388</v>
      </c>
      <c r="D8" s="70" t="s">
        <v>389</v>
      </c>
      <c r="E8" s="70" t="s">
        <v>390</v>
      </c>
      <c r="F8" s="70" t="s">
        <v>218</v>
      </c>
      <c r="G8" s="205">
        <v>706</v>
      </c>
      <c r="H8" s="206">
        <v>1.33</v>
      </c>
      <c r="I8" s="207">
        <v>0.12</v>
      </c>
      <c r="J8" s="208">
        <f>H8+I8</f>
      </c>
      <c r="K8" s="209">
        <v>42000</v>
      </c>
      <c r="L8" s="58">
        <f>K8*I8</f>
      </c>
      <c r="M8" s="58">
        <f>K8*J8</f>
      </c>
      <c r="N8" s="16"/>
      <c r="O8" s="210">
        <v>24</v>
      </c>
      <c r="P8" s="211">
        <f>IF(ISBLANK(N8),O8/4.3,N8/20)</f>
      </c>
      <c r="Q8" s="209">
        <v>3000</v>
      </c>
      <c r="R8" s="212" t="s">
        <v>133</v>
      </c>
      <c r="S8" s="209"/>
      <c r="T8" s="213">
        <f>IF(ISBLANK(R8),0,X8)</f>
      </c>
      <c r="U8" s="213">
        <f>IF(ISBLANK(S8),0,X8)</f>
      </c>
      <c r="V8" s="214">
        <f>IFERROR(Q8/K8,0)</f>
      </c>
      <c r="W8" s="58">
        <f>IFERROR(L8*V8,0)</f>
      </c>
      <c r="X8" s="213">
        <f>IFERROR(Q8+W8,0)</f>
      </c>
      <c r="Y8" s="213">
        <f>IFERROR(M8*V8,0)</f>
      </c>
      <c r="Z8" s="213">
        <f>Y8-(Y8*$B$1)</f>
      </c>
      <c r="AA8" s="67">
        <f>Z8/X8</f>
      </c>
      <c r="AB8" s="215">
        <f>IF(ISBLANK(N8),Y8/O8,Y8/N8)</f>
      </c>
      <c r="AC8" s="215">
        <f>IFERROR(-1*(AB8*B$1),0)</f>
      </c>
      <c r="AD8" s="215">
        <f>IFERROR(SUM(AB8:AC8),0)</f>
      </c>
      <c r="AE8" s="215">
        <f>IF(ISBLANK(N8),AD8,AD8*5)</f>
      </c>
      <c r="AF8" s="216">
        <f>SUM(AG8:BB8)</f>
      </c>
      <c r="AG8" s="207"/>
      <c r="AH8" s="207">
        <v>175.81</v>
      </c>
      <c r="AI8" s="207">
        <v>175.81</v>
      </c>
      <c r="AJ8" s="207"/>
      <c r="AK8" s="207">
        <v>351.63</v>
      </c>
      <c r="AL8" s="207">
        <v>175.81</v>
      </c>
      <c r="AM8" s="207">
        <v>175.81</v>
      </c>
      <c r="AN8" s="207">
        <v>175.81</v>
      </c>
      <c r="AO8" s="207"/>
      <c r="AP8" s="207">
        <v>351.63</v>
      </c>
      <c r="AQ8" s="207">
        <v>175.81</v>
      </c>
      <c r="AR8" s="207">
        <v>175.81</v>
      </c>
      <c r="AS8" s="207">
        <v>175.82</v>
      </c>
      <c r="AT8" s="207">
        <v>2109.75</v>
      </c>
      <c r="AU8" s="336"/>
      <c r="AV8" s="336"/>
      <c r="AW8" s="336"/>
      <c r="AX8" s="336"/>
      <c r="AY8" s="336"/>
      <c r="AZ8" s="336"/>
      <c r="BA8" s="336"/>
      <c r="BB8" s="336"/>
      <c r="BC8" s="215">
        <f>Z8-AF8</f>
      </c>
      <c r="BD8" s="214">
        <f>IFERROR(AF8/Z8,0)</f>
      </c>
      <c r="BE8" s="214">
        <f>IFERROR(AF8/X8,0)</f>
      </c>
      <c r="BF8" s="214">
        <f>X8/SUM(X$3:X$12)</f>
      </c>
      <c r="BG8" s="214">
        <f>BC8/SUM(BC$3:BC205)</f>
      </c>
      <c r="BH8" s="217">
        <f>BC8/'R&amp;H Portfolio'!Q$10</f>
      </c>
      <c r="BI8" s="215">
        <f>BF8*P8</f>
      </c>
      <c r="BJ8" s="73"/>
      <c r="BK8" s="220">
        <f>IF(BJ8="YES", BC8, "")</f>
      </c>
      <c r="BL8" s="17"/>
      <c r="BM8" s="4"/>
    </row>
    <row x14ac:dyDescent="0.25" r="9" customHeight="1" ht="16">
      <c r="A9" s="202">
        <v>25568.79196759259</v>
      </c>
      <c r="B9" s="337" t="s">
        <v>391</v>
      </c>
      <c r="C9" s="335" t="s">
        <v>392</v>
      </c>
      <c r="D9" s="70" t="s">
        <v>393</v>
      </c>
      <c r="E9" s="70" t="s">
        <v>394</v>
      </c>
      <c r="F9" s="70" t="s">
        <v>155</v>
      </c>
      <c r="G9" s="205">
        <v>703</v>
      </c>
      <c r="H9" s="206">
        <v>1.39</v>
      </c>
      <c r="I9" s="207">
        <v>0.08</v>
      </c>
      <c r="J9" s="208">
        <f>H9+I9</f>
      </c>
      <c r="K9" s="209">
        <v>375000</v>
      </c>
      <c r="L9" s="58">
        <f>K9*I9</f>
      </c>
      <c r="M9" s="58">
        <f>K9*J9</f>
      </c>
      <c r="N9" s="210">
        <v>156</v>
      </c>
      <c r="O9" s="16"/>
      <c r="P9" s="211">
        <f>IF(ISBLANK(N9),O9/4.3,N9/20)</f>
      </c>
      <c r="Q9" s="209">
        <v>7000</v>
      </c>
      <c r="R9" s="212" t="s">
        <v>133</v>
      </c>
      <c r="S9" s="209"/>
      <c r="T9" s="213">
        <f>IF(ISBLANK(R9),0,X9)</f>
      </c>
      <c r="U9" s="213">
        <f>IF(ISBLANK(S9),0,X9)</f>
      </c>
      <c r="V9" s="214">
        <f>IFERROR(Q9/K9,0)</f>
      </c>
      <c r="W9" s="58">
        <f>IFERROR(L9*V9,0)</f>
      </c>
      <c r="X9" s="213">
        <f>IFERROR(Q9+W9,0)</f>
      </c>
      <c r="Y9" s="213">
        <f>IFERROR(M9*V9,0)</f>
      </c>
      <c r="Z9" s="213">
        <f>Y9-(Y9*$B$1)</f>
      </c>
      <c r="AA9" s="67">
        <f>Z9/X9</f>
      </c>
      <c r="AB9" s="215">
        <f>IF(ISBLANK(N9),Y9/O9,Y9/N9)</f>
      </c>
      <c r="AC9" s="215">
        <f>IFERROR(-1*(AB9*B$1),0)</f>
      </c>
      <c r="AD9" s="215">
        <f>IFERROR(SUM(AB9:AC9),0)</f>
      </c>
      <c r="AE9" s="215">
        <f>IF(ISBLANK(N9),AD9,AD9*5)</f>
      </c>
      <c r="AF9" s="216">
        <f>SUM(AG9:BB9)</f>
      </c>
      <c r="AG9" s="207"/>
      <c r="AH9" s="207">
        <v>63.98</v>
      </c>
      <c r="AI9" s="207">
        <v>255.93</v>
      </c>
      <c r="AJ9" s="207">
        <v>255.93</v>
      </c>
      <c r="AK9" s="207">
        <v>319.91</v>
      </c>
      <c r="AL9" s="207">
        <v>319.91</v>
      </c>
      <c r="AM9" s="207">
        <v>319.92</v>
      </c>
      <c r="AN9" s="207">
        <v>319.91</v>
      </c>
      <c r="AO9" s="207">
        <v>255.93</v>
      </c>
      <c r="AP9" s="207">
        <v>383.9</v>
      </c>
      <c r="AQ9" s="207">
        <v>319.91</v>
      </c>
      <c r="AR9" s="338">
        <v>319.91</v>
      </c>
      <c r="AS9" s="207">
        <v>319.92</v>
      </c>
      <c r="AT9" s="207">
        <v>319.91</v>
      </c>
      <c r="AU9" s="207">
        <v>255.93</v>
      </c>
      <c r="AV9" s="207">
        <v>255.93</v>
      </c>
      <c r="AW9" s="207">
        <v>255.93</v>
      </c>
      <c r="AX9" s="207">
        <v>319.91</v>
      </c>
      <c r="AY9" s="207">
        <v>127.97</v>
      </c>
      <c r="AZ9" s="207">
        <v>191.95</v>
      </c>
      <c r="BA9" s="207">
        <v>63.98</v>
      </c>
      <c r="BB9" s="207">
        <v>31.99</v>
      </c>
      <c r="BC9" s="215">
        <f>Z9-AF9</f>
      </c>
      <c r="BD9" s="214">
        <f>IFERROR(AF9/Z9,0)</f>
      </c>
      <c r="BE9" s="214">
        <f>IFERROR(AF9/X9,0)</f>
      </c>
      <c r="BF9" s="214">
        <f>X9/SUM(X$3:X$12)</f>
      </c>
      <c r="BG9" s="214">
        <f>BC9/SUM(BC$3:BC206)</f>
      </c>
      <c r="BH9" s="217">
        <f>BC9/'R&amp;H Portfolio'!Q$10</f>
      </c>
      <c r="BI9" s="215">
        <f>BF9*P9</f>
      </c>
      <c r="BJ9" s="73"/>
      <c r="BK9" s="220">
        <f>IF(BJ9="YES", BC9, "")</f>
      </c>
      <c r="BL9" s="17"/>
      <c r="BM9" s="4"/>
    </row>
    <row x14ac:dyDescent="0.25" r="10" customHeight="1" ht="16">
      <c r="A10" s="202">
        <v>25568.79196759259</v>
      </c>
      <c r="B10" s="333" t="s">
        <v>395</v>
      </c>
      <c r="C10" s="339" t="s">
        <v>396</v>
      </c>
      <c r="D10" s="70" t="s">
        <v>397</v>
      </c>
      <c r="E10" s="70" t="s">
        <v>398</v>
      </c>
      <c r="F10" s="70" t="s">
        <v>183</v>
      </c>
      <c r="G10" s="205">
        <v>699</v>
      </c>
      <c r="H10" s="206">
        <v>1.37</v>
      </c>
      <c r="I10" s="207">
        <v>0.12</v>
      </c>
      <c r="J10" s="208">
        <f>H10+I10</f>
      </c>
      <c r="K10" s="209">
        <v>100000</v>
      </c>
      <c r="L10" s="58">
        <f>K10*I10</f>
      </c>
      <c r="M10" s="58">
        <f>K10*J10</f>
      </c>
      <c r="N10" s="16"/>
      <c r="O10" s="210">
        <v>23</v>
      </c>
      <c r="P10" s="211">
        <f>IF(ISBLANK(N10),O10/4.3,N10/20)</f>
      </c>
      <c r="Q10" s="209">
        <v>5000</v>
      </c>
      <c r="R10" s="212" t="s">
        <v>133</v>
      </c>
      <c r="S10" s="209"/>
      <c r="T10" s="213">
        <f>IF(ISBLANK(R10),0,X10)</f>
      </c>
      <c r="U10" s="213">
        <f>IF(ISBLANK(S10),0,X10)</f>
      </c>
      <c r="V10" s="214">
        <f>IFERROR(Q10/K10,0)</f>
      </c>
      <c r="W10" s="58">
        <f>IFERROR(L10*V10,0)</f>
      </c>
      <c r="X10" s="213">
        <f>IFERROR(Q10+W10,0)</f>
      </c>
      <c r="Y10" s="213">
        <f>IFERROR(M10*V10,0)</f>
      </c>
      <c r="Z10" s="213">
        <f>Y10-(Y10*$B$1)</f>
      </c>
      <c r="AA10" s="67">
        <f>Z10/X10</f>
      </c>
      <c r="AB10" s="215">
        <f>IF(ISBLANK(N10),Y10/O10,Y10/N10)</f>
      </c>
      <c r="AC10" s="215">
        <f>IFERROR(-1*(AB10*B$1),0)</f>
      </c>
      <c r="AD10" s="215">
        <f>IFERROR(SUM(AB10:AC10),0)</f>
      </c>
      <c r="AE10" s="215">
        <f>IF(ISBLANK(N10),AD10,AD10*5)</f>
      </c>
      <c r="AF10" s="216">
        <f>SUM(AG10:BB10)</f>
      </c>
      <c r="AG10" s="207"/>
      <c r="AH10" s="207"/>
      <c r="AI10" s="207"/>
      <c r="AJ10" s="207">
        <v>314.19</v>
      </c>
      <c r="AK10" s="207">
        <v>314.2</v>
      </c>
      <c r="AL10" s="207">
        <v>314.19</v>
      </c>
      <c r="AM10" s="207">
        <v>314.2</v>
      </c>
      <c r="AN10" s="207">
        <v>314.19</v>
      </c>
      <c r="AO10" s="207">
        <v>314.2</v>
      </c>
      <c r="AP10" s="207">
        <v>314.19</v>
      </c>
      <c r="AQ10" s="207">
        <v>314.2</v>
      </c>
      <c r="AR10" s="207">
        <v>314.2</v>
      </c>
      <c r="AS10" s="207">
        <v>314.19</v>
      </c>
      <c r="AT10" s="207">
        <v>314.2</v>
      </c>
      <c r="AU10" s="207">
        <v>314.19</v>
      </c>
      <c r="AV10" s="207">
        <v>314.2</v>
      </c>
      <c r="AW10" s="207">
        <v>314.19</v>
      </c>
      <c r="AX10" s="207">
        <v>314.2</v>
      </c>
      <c r="AY10" s="207">
        <v>314.19</v>
      </c>
      <c r="AZ10" s="207">
        <v>314.2</v>
      </c>
      <c r="BA10" s="207">
        <v>314.2</v>
      </c>
      <c r="BB10" s="207">
        <v>314.19</v>
      </c>
      <c r="BC10" s="215">
        <f>Z10-AF10</f>
      </c>
      <c r="BD10" s="214">
        <f>IFERROR(AF10/Z10,0)</f>
      </c>
      <c r="BE10" s="214">
        <f>IFERROR(AF10/X10,0)</f>
      </c>
      <c r="BF10" s="214">
        <f>X10/SUM(X$3:X$12)</f>
      </c>
      <c r="BG10" s="214">
        <f>BC10/SUM(BC$3:BC207)</f>
      </c>
      <c r="BH10" s="217">
        <f>BC10/'R&amp;H Portfolio'!Q$10</f>
      </c>
      <c r="BI10" s="215">
        <f>BF10*P10</f>
      </c>
      <c r="BJ10" s="73"/>
      <c r="BK10" s="220">
        <f>IF(BJ10="YES", BC10, "")</f>
      </c>
      <c r="BL10" s="17"/>
      <c r="BM10" s="4"/>
    </row>
    <row x14ac:dyDescent="0.25" r="11" customHeight="1" ht="16">
      <c r="A11" s="202">
        <v>25568.79196759259</v>
      </c>
      <c r="B11" s="333" t="s">
        <v>399</v>
      </c>
      <c r="C11" s="339" t="s">
        <v>400</v>
      </c>
      <c r="D11" s="70" t="s">
        <v>401</v>
      </c>
      <c r="E11" s="70" t="s">
        <v>402</v>
      </c>
      <c r="F11" s="70" t="s">
        <v>165</v>
      </c>
      <c r="G11" s="205">
        <v>716</v>
      </c>
      <c r="H11" s="206">
        <v>1.39</v>
      </c>
      <c r="I11" s="207">
        <v>0.1</v>
      </c>
      <c r="J11" s="208">
        <f>H11+I11</f>
      </c>
      <c r="K11" s="209">
        <v>400000</v>
      </c>
      <c r="L11" s="58">
        <f>K11*I11</f>
      </c>
      <c r="M11" s="58">
        <f>K11*J11</f>
      </c>
      <c r="N11" s="16"/>
      <c r="O11" s="210">
        <v>20</v>
      </c>
      <c r="P11" s="211">
        <f>IF(ISBLANK(N11),O11/4.3,N11/20)</f>
      </c>
      <c r="Q11" s="209">
        <v>10000</v>
      </c>
      <c r="R11" s="212" t="s">
        <v>133</v>
      </c>
      <c r="S11" s="209"/>
      <c r="T11" s="213">
        <f>IF(ISBLANK(R11),0,X11)</f>
      </c>
      <c r="U11" s="213">
        <f>IF(ISBLANK(S11),0,X11)</f>
      </c>
      <c r="V11" s="214">
        <f>IFERROR(Q11/K11,0)</f>
      </c>
      <c r="W11" s="58">
        <f>IFERROR(L11*V11,0)</f>
      </c>
      <c r="X11" s="213">
        <f>IFERROR(Q11+W11,0)</f>
      </c>
      <c r="Y11" s="213">
        <f>IFERROR(M11*V11,0)</f>
      </c>
      <c r="Z11" s="213">
        <f>Y11-(Y11*$B$1)</f>
      </c>
      <c r="AA11" s="67">
        <f>Z11/X11</f>
      </c>
      <c r="AB11" s="215">
        <f>IF(ISBLANK(N11),Y11/O11,Y11/N11)</f>
      </c>
      <c r="AC11" s="215">
        <f>IFERROR(-1*(AB11*B$1),0)</f>
      </c>
      <c r="AD11" s="215">
        <f>IFERROR(SUM(AB11:AC11),0)</f>
      </c>
      <c r="AE11" s="215">
        <f>IF(ISBLANK(N11),AD11,AD11*5)</f>
      </c>
      <c r="AF11" s="216">
        <f>SUM(AG11:BB11)</f>
      </c>
      <c r="AG11" s="207"/>
      <c r="AH11" s="207"/>
      <c r="AI11" s="207"/>
      <c r="AJ11" s="207">
        <v>650.38</v>
      </c>
      <c r="AK11" s="207"/>
      <c r="AL11" s="207">
        <v>242.5</v>
      </c>
      <c r="AM11" s="207"/>
      <c r="AN11" s="207"/>
      <c r="AO11" s="207"/>
      <c r="AP11" s="207">
        <v>1300.77</v>
      </c>
      <c r="AQ11" s="207">
        <v>650.39</v>
      </c>
      <c r="AR11" s="207">
        <v>650.38</v>
      </c>
      <c r="AS11" s="207"/>
      <c r="AT11" s="207">
        <v>315.25</v>
      </c>
      <c r="AU11" s="207"/>
      <c r="AV11" s="207"/>
      <c r="AW11" s="207">
        <v>630.5</v>
      </c>
      <c r="AX11" s="207"/>
      <c r="AY11" s="207">
        <v>363.75</v>
      </c>
      <c r="AZ11" s="207">
        <v>315.25</v>
      </c>
      <c r="BA11" s="207"/>
      <c r="BB11" s="207"/>
      <c r="BC11" s="215">
        <f>Z11-AF11</f>
      </c>
      <c r="BD11" s="214">
        <f>IFERROR(AF11/Z11,0)</f>
      </c>
      <c r="BE11" s="214">
        <f>IFERROR(AF11/X11,0)</f>
      </c>
      <c r="BF11" s="214">
        <f>X11/SUM(X$3:X$12)</f>
      </c>
      <c r="BG11" s="214">
        <f>BC11/SUM(BC$3:BC208)</f>
      </c>
      <c r="BH11" s="217">
        <f>BC11/'R&amp;H Portfolio'!Q$10</f>
      </c>
      <c r="BI11" s="215">
        <f>BF11*P11</f>
      </c>
      <c r="BJ11" s="73"/>
      <c r="BK11" s="220">
        <f>IF(BJ11="YES", BC11, "")</f>
      </c>
      <c r="BL11" s="340">
        <v>25568.79196759259</v>
      </c>
      <c r="BM11" s="4"/>
    </row>
    <row x14ac:dyDescent="0.25" r="12" customHeight="1" ht="16">
      <c r="A12" s="223">
        <v>25568.79196759259</v>
      </c>
      <c r="B12" s="341" t="s">
        <v>403</v>
      </c>
      <c r="C12" s="342" t="s">
        <v>404</v>
      </c>
      <c r="D12" s="226" t="s">
        <v>405</v>
      </c>
      <c r="E12" s="226" t="s">
        <v>406</v>
      </c>
      <c r="F12" s="226" t="s">
        <v>262</v>
      </c>
      <c r="G12" s="245">
        <v>672</v>
      </c>
      <c r="H12" s="228">
        <v>1.33</v>
      </c>
      <c r="I12" s="229">
        <v>0.12</v>
      </c>
      <c r="J12" s="230">
        <f>H12+I12</f>
      </c>
      <c r="K12" s="231">
        <v>300000</v>
      </c>
      <c r="L12" s="232">
        <f>K12*I12</f>
      </c>
      <c r="M12" s="232">
        <f>K12*J12</f>
      </c>
      <c r="N12" s="233"/>
      <c r="O12" s="233">
        <v>40</v>
      </c>
      <c r="P12" s="234">
        <f>IF(ISBLANK(N12),O12/4.3,N12/20)</f>
      </c>
      <c r="Q12" s="231">
        <v>6000</v>
      </c>
      <c r="R12" s="235" t="s">
        <v>133</v>
      </c>
      <c r="S12" s="236"/>
      <c r="T12" s="237">
        <f>IF(ISBLANK(R12),0,X12)</f>
      </c>
      <c r="U12" s="237">
        <f>IF(ISBLANK(S12),0,X12)</f>
      </c>
      <c r="V12" s="238">
        <f>IFERROR(Q12/K12,0)</f>
      </c>
      <c r="W12" s="232">
        <f>IFERROR(L12*V12,0)</f>
      </c>
      <c r="X12" s="239">
        <f>IFERROR(Q12+W12,0)</f>
      </c>
      <c r="Y12" s="239">
        <f>IFERROR(M12*V12,0)</f>
      </c>
      <c r="Z12" s="239">
        <f>Y12-(Y12*$B$1)</f>
      </c>
      <c r="AA12" s="240">
        <f>Z12/X12</f>
      </c>
      <c r="AB12" s="241">
        <f>IF(ISBLANK(N12),Y12/O12,Y12/N12)</f>
      </c>
      <c r="AC12" s="241">
        <f>IFERROR(-1*(AB12*B$1),0)</f>
      </c>
      <c r="AD12" s="241">
        <f>IFERROR(SUM(AB12:AC12),0)</f>
      </c>
      <c r="AE12" s="241">
        <f>IF(ISBLANK(N12),AD12,AD12*5)</f>
      </c>
      <c r="AF12" s="242">
        <f>SUM(AG12:BB12)</f>
      </c>
      <c r="AG12" s="229"/>
      <c r="AH12" s="229"/>
      <c r="AI12" s="229"/>
      <c r="AJ12" s="229"/>
      <c r="AK12" s="229"/>
      <c r="AL12" s="229">
        <v>210.97</v>
      </c>
      <c r="AM12" s="229">
        <v>210.98</v>
      </c>
      <c r="AN12" s="229">
        <v>210.97</v>
      </c>
      <c r="AO12" s="229"/>
      <c r="AP12" s="229">
        <v>421.95</v>
      </c>
      <c r="AQ12" s="229">
        <v>210.98</v>
      </c>
      <c r="AR12" s="229">
        <v>210.97</v>
      </c>
      <c r="AS12" s="229">
        <v>210.98</v>
      </c>
      <c r="AT12" s="229">
        <v>210.97</v>
      </c>
      <c r="AU12" s="229"/>
      <c r="AV12" s="229">
        <v>210.98</v>
      </c>
      <c r="AW12" s="229">
        <v>421.95</v>
      </c>
      <c r="AX12" s="229">
        <v>210.97</v>
      </c>
      <c r="AY12" s="229">
        <v>210.98</v>
      </c>
      <c r="AZ12" s="229"/>
      <c r="BA12" s="229">
        <v>210.97</v>
      </c>
      <c r="BB12" s="229">
        <v>421.95</v>
      </c>
      <c r="BC12" s="241">
        <f>Z12-AF12</f>
      </c>
      <c r="BD12" s="238">
        <f>IFERROR(AF12/Z12,0)</f>
      </c>
      <c r="BE12" s="238">
        <f>IFERROR(AF12/X12,0)</f>
      </c>
      <c r="BF12" s="214">
        <f>X12/SUM(X$3:X$12)</f>
      </c>
      <c r="BG12" s="214">
        <f>BC12/SUM(BC$3:BC209)</f>
      </c>
      <c r="BH12" s="217">
        <f>BC12/'R&amp;H Portfolio'!Q$10</f>
      </c>
      <c r="BI12" s="241">
        <f>BF12*P12</f>
      </c>
      <c r="BJ12" s="73"/>
      <c r="BK12" s="220">
        <f>IF(BJ12="YES", BC12, "")</f>
      </c>
      <c r="BL12" s="17"/>
      <c r="BM12" s="4"/>
    </row>
    <row x14ac:dyDescent="0.25" r="13" customHeight="1" ht="16">
      <c r="A13" s="202">
        <v>25568.79196759259</v>
      </c>
      <c r="B13" s="333" t="s">
        <v>407</v>
      </c>
      <c r="C13" s="339" t="s">
        <v>201</v>
      </c>
      <c r="D13" s="70" t="s">
        <v>408</v>
      </c>
      <c r="E13" s="70" t="s">
        <v>201</v>
      </c>
      <c r="F13" s="70" t="s">
        <v>165</v>
      </c>
      <c r="G13" s="205">
        <v>725</v>
      </c>
      <c r="H13" s="206">
        <v>1.31</v>
      </c>
      <c r="I13" s="207">
        <v>0.05</v>
      </c>
      <c r="J13" s="208">
        <f>H13+I13</f>
      </c>
      <c r="K13" s="209">
        <v>185000</v>
      </c>
      <c r="L13" s="58">
        <f>K13*I13</f>
      </c>
      <c r="M13" s="58">
        <f>K13*J13</f>
      </c>
      <c r="N13" s="16"/>
      <c r="O13" s="210">
        <v>30</v>
      </c>
      <c r="P13" s="211">
        <f>IF(ISBLANK(N13),O13/4.3,N13/20)</f>
      </c>
      <c r="Q13" s="209">
        <v>7000</v>
      </c>
      <c r="R13" s="209"/>
      <c r="S13" s="212" t="s">
        <v>82</v>
      </c>
      <c r="T13" s="213">
        <f>IF(ISBLANK(R13),0,X13)</f>
      </c>
      <c r="U13" s="213">
        <f>IF(ISBLANK(S13),0,X13)</f>
      </c>
      <c r="V13" s="214">
        <f>IFERROR(Q13/K13,0)</f>
      </c>
      <c r="W13" s="58">
        <f>IFERROR(L13*V13,0)</f>
      </c>
      <c r="X13" s="213">
        <f>IFERROR(Q13+W13,0)</f>
      </c>
      <c r="Y13" s="213">
        <f>IFERROR(M13*V13,0)</f>
      </c>
      <c r="Z13" s="213">
        <f>Y13-(Y13*$B$1)</f>
      </c>
      <c r="AA13" s="67">
        <f>Z13/X13</f>
      </c>
      <c r="AB13" s="215">
        <f>IF(ISBLANK(N13),Y13/O13,Y13/N13)</f>
      </c>
      <c r="AC13" s="215">
        <f>IFERROR(-1*(AB13*B$1),0)</f>
      </c>
      <c r="AD13" s="215">
        <f>IFERROR(SUM(AB13:AC13),0)</f>
      </c>
      <c r="AE13" s="215">
        <f>IF(ISBLANK(N13),AD13,AD13*5)</f>
      </c>
      <c r="AF13" s="216">
        <f>SUM(AG13:BB13)</f>
      </c>
      <c r="AG13" s="207"/>
      <c r="AH13" s="207"/>
      <c r="AI13" s="207"/>
      <c r="AJ13" s="207"/>
      <c r="AK13" s="207"/>
      <c r="AL13" s="207">
        <v>307.81</v>
      </c>
      <c r="AM13" s="207">
        <v>307.81</v>
      </c>
      <c r="AN13" s="207"/>
      <c r="AO13" s="207"/>
      <c r="AP13" s="207">
        <v>307.82</v>
      </c>
      <c r="AQ13" s="207">
        <v>307.81</v>
      </c>
      <c r="AR13" s="207">
        <v>307.81</v>
      </c>
      <c r="AS13" s="207">
        <v>307.82</v>
      </c>
      <c r="AT13" s="207">
        <v>307.81</v>
      </c>
      <c r="AU13" s="207">
        <v>307.81</v>
      </c>
      <c r="AV13" s="207">
        <v>307.82</v>
      </c>
      <c r="AW13" s="207">
        <v>307.81</v>
      </c>
      <c r="AX13" s="207">
        <v>307.81</v>
      </c>
      <c r="AY13" s="207">
        <v>307.82</v>
      </c>
      <c r="AZ13" s="207">
        <v>307.81</v>
      </c>
      <c r="BA13" s="207">
        <v>307.81</v>
      </c>
      <c r="BB13" s="207">
        <v>307.82</v>
      </c>
      <c r="BC13" s="215">
        <f>Z13-AF13</f>
      </c>
      <c r="BD13" s="214">
        <f>IFERROR(AF13/Z13,0)</f>
      </c>
      <c r="BE13" s="214">
        <f>IFERROR(AF13/X13,0)</f>
      </c>
      <c r="BF13" s="214">
        <f>X13/SUM(X$13:X$17)</f>
      </c>
      <c r="BG13" s="214">
        <f>BC13/SUM(BC$3:BC210)</f>
      </c>
      <c r="BH13" s="217">
        <f>BC13/'R&amp;H Portfolio'!Q$10</f>
      </c>
      <c r="BI13" s="215">
        <f>BF13*P13</f>
      </c>
      <c r="BJ13" s="73"/>
      <c r="BK13" s="220">
        <f>IF(BJ13="YES", BC13, "")</f>
      </c>
      <c r="BL13" s="17"/>
      <c r="BM13" s="4"/>
    </row>
    <row x14ac:dyDescent="0.25" r="14" customHeight="1" ht="16">
      <c r="A14" s="202">
        <v>25568.79196759259</v>
      </c>
      <c r="B14" s="333" t="s">
        <v>409</v>
      </c>
      <c r="C14" s="343" t="s">
        <v>372</v>
      </c>
      <c r="D14" s="70" t="s">
        <v>410</v>
      </c>
      <c r="E14" s="70" t="s">
        <v>411</v>
      </c>
      <c r="F14" s="70" t="s">
        <v>150</v>
      </c>
      <c r="G14" s="205">
        <v>710</v>
      </c>
      <c r="H14" s="206">
        <v>1.22</v>
      </c>
      <c r="I14" s="207">
        <v>0.04</v>
      </c>
      <c r="J14" s="208">
        <f>H14+I14</f>
      </c>
      <c r="K14" s="209">
        <v>350000</v>
      </c>
      <c r="L14" s="58">
        <f>K14*I14</f>
      </c>
      <c r="M14" s="58">
        <f>K14*J14</f>
      </c>
      <c r="N14" s="16"/>
      <c r="O14" s="210">
        <v>30</v>
      </c>
      <c r="P14" s="211">
        <f>IF(ISBLANK(N14),O14/4.3,N14/20)</f>
      </c>
      <c r="Q14" s="209">
        <v>7000</v>
      </c>
      <c r="R14" s="212" t="s">
        <v>133</v>
      </c>
      <c r="S14" s="209"/>
      <c r="T14" s="213">
        <f>IF(ISBLANK(R14),0,X14)</f>
      </c>
      <c r="U14" s="213">
        <f>IF(ISBLANK(S14),0,X14)</f>
      </c>
      <c r="V14" s="214">
        <f>IFERROR(Q14/K14,0)</f>
      </c>
      <c r="W14" s="58">
        <f>IFERROR(L14*V14,0)</f>
      </c>
      <c r="X14" s="213">
        <f>IFERROR(Q14+W14,0)</f>
      </c>
      <c r="Y14" s="213">
        <f>IFERROR(M14*V14,0)</f>
      </c>
      <c r="Z14" s="213">
        <f>Y14-(Y14*$B$1)</f>
      </c>
      <c r="AA14" s="67">
        <f>Z14/X14</f>
      </c>
      <c r="AB14" s="215">
        <f>IF(ISBLANK(N14),Y14/O14,Y14/N14)</f>
      </c>
      <c r="AC14" s="215">
        <f>IFERROR(-1*(AB14*B$1),0)</f>
      </c>
      <c r="AD14" s="215">
        <f>IFERROR(SUM(AB14:AC14),0)</f>
      </c>
      <c r="AE14" s="215">
        <f>IF(ISBLANK(N14),AD14,AD14*5)</f>
      </c>
      <c r="AF14" s="216">
        <f>SUM(AG14:BB14)</f>
      </c>
      <c r="AG14" s="207"/>
      <c r="AH14" s="207"/>
      <c r="AI14" s="207"/>
      <c r="AJ14" s="207"/>
      <c r="AK14" s="207"/>
      <c r="AL14" s="207"/>
      <c r="AM14" s="207"/>
      <c r="AN14" s="207">
        <v>570.36</v>
      </c>
      <c r="AO14" s="207"/>
      <c r="AP14" s="207">
        <v>570.36</v>
      </c>
      <c r="AQ14" s="207">
        <v>285.18</v>
      </c>
      <c r="AR14" s="207">
        <v>285.18</v>
      </c>
      <c r="AS14" s="207">
        <v>285.18</v>
      </c>
      <c r="AT14" s="207">
        <v>285.18</v>
      </c>
      <c r="AU14" s="207">
        <v>285.18</v>
      </c>
      <c r="AV14" s="207">
        <v>285.18</v>
      </c>
      <c r="AW14" s="207">
        <v>285.18</v>
      </c>
      <c r="AX14" s="207">
        <v>285.18</v>
      </c>
      <c r="AY14" s="207">
        <v>285.18</v>
      </c>
      <c r="AZ14" s="207">
        <v>285.18</v>
      </c>
      <c r="BA14" s="207">
        <v>4562.88</v>
      </c>
      <c r="BB14" s="336"/>
      <c r="BC14" s="215">
        <f>Z14-AF14</f>
      </c>
      <c r="BD14" s="214">
        <f>IFERROR(AF14/Z14,0)</f>
      </c>
      <c r="BE14" s="214">
        <f>IFERROR(AF14/X14,0)</f>
      </c>
      <c r="BF14" s="214">
        <f>X14/SUM(X$13:X$17)</f>
      </c>
      <c r="BG14" s="214">
        <f>BC14/SUM(BC$3:BC211)</f>
      </c>
      <c r="BH14" s="217">
        <f>BC14/'R&amp;H Portfolio'!Q$10</f>
      </c>
      <c r="BI14" s="215">
        <f>BF14*P14</f>
      </c>
      <c r="BJ14" s="73"/>
      <c r="BK14" s="220">
        <f>IF(BJ14="YES", BC14, "")</f>
      </c>
      <c r="BL14" s="17"/>
      <c r="BM14" s="4"/>
    </row>
    <row x14ac:dyDescent="0.25" r="15" customHeight="1" ht="16">
      <c r="A15" s="202">
        <v>25568.79196759259</v>
      </c>
      <c r="B15" s="333" t="s">
        <v>412</v>
      </c>
      <c r="C15" s="339" t="s">
        <v>413</v>
      </c>
      <c r="D15" s="70" t="s">
        <v>414</v>
      </c>
      <c r="E15" s="70" t="s">
        <v>415</v>
      </c>
      <c r="F15" s="70" t="s">
        <v>160</v>
      </c>
      <c r="G15" s="205">
        <v>649</v>
      </c>
      <c r="H15" s="206">
        <v>1.3</v>
      </c>
      <c r="I15" s="207">
        <v>0.1</v>
      </c>
      <c r="J15" s="208">
        <f>H15+I15</f>
      </c>
      <c r="K15" s="209">
        <v>150000</v>
      </c>
      <c r="L15" s="58">
        <f>K15*I15</f>
      </c>
      <c r="M15" s="58">
        <f>K15*J15</f>
      </c>
      <c r="N15" s="210">
        <v>147</v>
      </c>
      <c r="O15" s="16"/>
      <c r="P15" s="211">
        <f>IF(ISBLANK(N15),O15/4.3,N15/20)</f>
      </c>
      <c r="Q15" s="209">
        <v>6000</v>
      </c>
      <c r="R15" s="212" t="s">
        <v>133</v>
      </c>
      <c r="S15" s="209"/>
      <c r="T15" s="213">
        <f>IF(ISBLANK(R15),0,X15)</f>
      </c>
      <c r="U15" s="213">
        <f>IF(ISBLANK(S15),0,X15)</f>
      </c>
      <c r="V15" s="214">
        <f>IFERROR(Q15/K15,0)</f>
      </c>
      <c r="W15" s="58">
        <f>IFERROR(L15*V15,0)</f>
      </c>
      <c r="X15" s="213">
        <f>IFERROR(Q15+W15,0)</f>
      </c>
      <c r="Y15" s="213">
        <f>IFERROR(M15*V15,0)</f>
      </c>
      <c r="Z15" s="213">
        <f>Y15-(Y15*$B$1)</f>
      </c>
      <c r="AA15" s="67">
        <f>Z15/X15</f>
      </c>
      <c r="AB15" s="215">
        <f>IF(ISBLANK(N15),Y15/O15,Y15/N15)</f>
      </c>
      <c r="AC15" s="215">
        <f>IFERROR(-1*(AB15*B$1),0)</f>
      </c>
      <c r="AD15" s="215">
        <f>IFERROR(SUM(AB15:AC15),0)</f>
      </c>
      <c r="AE15" s="215">
        <f>IF(ISBLANK(N15),AD15,AD15*5)</f>
      </c>
      <c r="AF15" s="216">
        <f>SUM(AG15:BB15)</f>
      </c>
      <c r="AG15" s="207"/>
      <c r="AH15" s="207"/>
      <c r="AI15" s="207"/>
      <c r="AJ15" s="207"/>
      <c r="AK15" s="207"/>
      <c r="AL15" s="207"/>
      <c r="AM15" s="207">
        <v>277.14</v>
      </c>
      <c r="AN15" s="207">
        <v>277.14</v>
      </c>
      <c r="AO15" s="207">
        <v>221.71</v>
      </c>
      <c r="AP15" s="207">
        <v>332.58</v>
      </c>
      <c r="AQ15" s="207">
        <v>6554.420000000001</v>
      </c>
      <c r="AR15" s="207">
        <v>277.15</v>
      </c>
      <c r="AS15" s="336"/>
      <c r="AT15" s="336"/>
      <c r="AU15" s="336"/>
      <c r="AV15" s="336"/>
      <c r="AW15" s="336"/>
      <c r="AX15" s="336"/>
      <c r="AY15" s="336"/>
      <c r="AZ15" s="336"/>
      <c r="BA15" s="336"/>
      <c r="BB15" s="336"/>
      <c r="BC15" s="215">
        <f>Z15-AF15</f>
      </c>
      <c r="BD15" s="214">
        <f>IFERROR(AF15/Z15,0)</f>
      </c>
      <c r="BE15" s="344">
        <f>IFERROR(AF15/X15,0)</f>
      </c>
      <c r="BF15" s="214">
        <f>X15/SUM(X$13:X$17)</f>
      </c>
      <c r="BG15" s="214">
        <f>BC15/SUM(BC$3:BC212)</f>
      </c>
      <c r="BH15" s="217">
        <f>BC15/'R&amp;H Portfolio'!Q$10</f>
      </c>
      <c r="BI15" s="215">
        <f>BF15*P15</f>
      </c>
      <c r="BJ15" s="73"/>
      <c r="BK15" s="220">
        <f>IF(BJ15="YES", BC15, "")</f>
      </c>
      <c r="BL15" s="17"/>
      <c r="BM15" s="4"/>
    </row>
    <row x14ac:dyDescent="0.25" r="16" customHeight="1" ht="16">
      <c r="A16" s="202">
        <v>25568.79196759259</v>
      </c>
      <c r="B16" s="333" t="s">
        <v>416</v>
      </c>
      <c r="C16" s="339" t="s">
        <v>417</v>
      </c>
      <c r="D16" s="70" t="s">
        <v>418</v>
      </c>
      <c r="E16" s="70" t="s">
        <v>419</v>
      </c>
      <c r="F16" s="70" t="s">
        <v>335</v>
      </c>
      <c r="G16" s="205">
        <v>554</v>
      </c>
      <c r="H16" s="206">
        <v>1.32</v>
      </c>
      <c r="I16" s="207">
        <v>0.11</v>
      </c>
      <c r="J16" s="208">
        <f>H16+I16</f>
      </c>
      <c r="K16" s="209">
        <v>20000</v>
      </c>
      <c r="L16" s="58">
        <f>K16*I16</f>
      </c>
      <c r="M16" s="58">
        <f>K16*J16</f>
      </c>
      <c r="N16" s="16"/>
      <c r="O16" s="210">
        <v>18</v>
      </c>
      <c r="P16" s="211">
        <f>IF(ISBLANK(N16),O16/4.3,N16/20)</f>
      </c>
      <c r="Q16" s="209">
        <v>3000</v>
      </c>
      <c r="R16" s="212" t="s">
        <v>133</v>
      </c>
      <c r="S16" s="209"/>
      <c r="T16" s="213">
        <f>IF(ISBLANK(R16),0,X16)</f>
      </c>
      <c r="U16" s="213">
        <f>IF(ISBLANK(S16),0,X16)</f>
      </c>
      <c r="V16" s="214">
        <f>IFERROR(Q16/K16,0)</f>
      </c>
      <c r="W16" s="58">
        <f>IFERROR(L16*V16,0)</f>
      </c>
      <c r="X16" s="213">
        <f>IFERROR(Q16+W16,0)</f>
      </c>
      <c r="Y16" s="213">
        <f>IFERROR(M16*V16,0)</f>
      </c>
      <c r="Z16" s="213">
        <f>Y16-(Y16*$B$1)</f>
      </c>
      <c r="AA16" s="67">
        <f>Z16/X16</f>
      </c>
      <c r="AB16" s="215">
        <f>IF(ISBLANK(N16),Y16/O16,Y16/N16)</f>
      </c>
      <c r="AC16" s="215">
        <f>IFERROR(-1*(AB16*B$1),0)</f>
      </c>
      <c r="AD16" s="215">
        <f>IFERROR(SUM(AB16:AC16),0)</f>
      </c>
      <c r="AE16" s="215">
        <f>IF(ISBLANK(N16),AD16,AD16*5)</f>
      </c>
      <c r="AF16" s="216">
        <f>SUM(AG16:BB16)</f>
      </c>
      <c r="AG16" s="207"/>
      <c r="AH16" s="207"/>
      <c r="AI16" s="207"/>
      <c r="AJ16" s="207"/>
      <c r="AK16" s="207"/>
      <c r="AL16" s="207"/>
      <c r="AM16" s="207"/>
      <c r="AN16" s="207">
        <v>231.18</v>
      </c>
      <c r="AO16" s="207"/>
      <c r="AP16" s="207">
        <v>462.37</v>
      </c>
      <c r="AQ16" s="207">
        <v>231.18</v>
      </c>
      <c r="AR16" s="207">
        <v>231.18</v>
      </c>
      <c r="AS16" s="207">
        <v>231.19</v>
      </c>
      <c r="AT16" s="207">
        <v>231.18</v>
      </c>
      <c r="AU16" s="207"/>
      <c r="AV16" s="207">
        <v>231.18</v>
      </c>
      <c r="AW16" s="207">
        <v>462.37</v>
      </c>
      <c r="AX16" s="207">
        <v>1849.45</v>
      </c>
      <c r="AY16" s="336"/>
      <c r="AZ16" s="336"/>
      <c r="BA16" s="336"/>
      <c r="BB16" s="336"/>
      <c r="BC16" s="215">
        <f>Z16-AF16</f>
      </c>
      <c r="BD16" s="214">
        <f>IFERROR(AF16/Z16,0)</f>
      </c>
      <c r="BE16" s="214">
        <f>IFERROR(AF16/X16,0)</f>
      </c>
      <c r="BF16" s="214">
        <f>X16/SUM(X$13:X$17)</f>
      </c>
      <c r="BG16" s="214">
        <f>BC16/SUM(BC$3:BC213)</f>
      </c>
      <c r="BH16" s="217">
        <f>BC16/'R&amp;H Portfolio'!Q$10</f>
      </c>
      <c r="BI16" s="215">
        <f>BF16*P16</f>
      </c>
      <c r="BJ16" s="73"/>
      <c r="BK16" s="220">
        <f>IF(BJ16="YES", BC16, "")</f>
      </c>
      <c r="BL16" s="17"/>
      <c r="BM16" s="4"/>
    </row>
    <row x14ac:dyDescent="0.25" r="17" customHeight="1" ht="16">
      <c r="A17" s="223">
        <v>25568.79196759259</v>
      </c>
      <c r="B17" s="341" t="s">
        <v>420</v>
      </c>
      <c r="C17" s="345" t="s">
        <v>421</v>
      </c>
      <c r="D17" s="226" t="s">
        <v>422</v>
      </c>
      <c r="E17" s="226" t="s">
        <v>423</v>
      </c>
      <c r="F17" s="226" t="s">
        <v>274</v>
      </c>
      <c r="G17" s="245">
        <v>751</v>
      </c>
      <c r="H17" s="228">
        <v>1.35</v>
      </c>
      <c r="I17" s="229">
        <v>0.12</v>
      </c>
      <c r="J17" s="230">
        <f>H17+I17</f>
      </c>
      <c r="K17" s="231">
        <v>350000</v>
      </c>
      <c r="L17" s="232">
        <f>K17*I17</f>
      </c>
      <c r="M17" s="232">
        <f>K17*J17</f>
      </c>
      <c r="N17" s="233"/>
      <c r="O17" s="233">
        <v>32</v>
      </c>
      <c r="P17" s="234">
        <f>IF(ISBLANK(N17),O17/4.3,N17/20)</f>
      </c>
      <c r="Q17" s="231">
        <v>9000</v>
      </c>
      <c r="R17" s="246" t="s">
        <v>133</v>
      </c>
      <c r="S17" s="231"/>
      <c r="T17" s="239">
        <f>IF(ISBLANK(R17),0,X17)</f>
      </c>
      <c r="U17" s="239">
        <f>IF(ISBLANK(S17),0,X17)</f>
      </c>
      <c r="V17" s="238">
        <f>IFERROR(Q17/K17,0)</f>
      </c>
      <c r="W17" s="232">
        <f>IFERROR(L17*V17,0)</f>
      </c>
      <c r="X17" s="239">
        <f>IFERROR(Q17+W17,0)</f>
      </c>
      <c r="Y17" s="239">
        <f>IFERROR(M17*V17,0)</f>
      </c>
      <c r="Z17" s="239">
        <f>Y17-(Y17*$B$1)</f>
      </c>
      <c r="AA17" s="240">
        <f>Z17/X17</f>
      </c>
      <c r="AB17" s="241">
        <f>IF(ISBLANK(N17),Y17/O17,Y17/N17)</f>
      </c>
      <c r="AC17" s="241">
        <f>IFERROR(-1*(AB17*B$1),0)</f>
      </c>
      <c r="AD17" s="241">
        <f>IFERROR(SUM(AB17:AC17),0)</f>
      </c>
      <c r="AE17" s="241">
        <f>IF(ISBLANK(N17),AD17,AD17*5)</f>
      </c>
      <c r="AF17" s="242">
        <f>SUM(AG17:BB17)</f>
      </c>
      <c r="AG17" s="229"/>
      <c r="AH17" s="229"/>
      <c r="AI17" s="229"/>
      <c r="AJ17" s="229"/>
      <c r="AK17" s="229"/>
      <c r="AL17" s="229"/>
      <c r="AM17" s="229"/>
      <c r="AN17" s="229">
        <v>401.03</v>
      </c>
      <c r="AO17" s="229">
        <v>401.03</v>
      </c>
      <c r="AP17" s="229">
        <v>401.04</v>
      </c>
      <c r="AQ17" s="229">
        <v>401.03</v>
      </c>
      <c r="AR17" s="229">
        <v>401.04</v>
      </c>
      <c r="AS17" s="229">
        <v>401.03</v>
      </c>
      <c r="AT17" s="229">
        <v>401.04</v>
      </c>
      <c r="AU17" s="229">
        <v>401.03</v>
      </c>
      <c r="AV17" s="229">
        <v>401.04</v>
      </c>
      <c r="AW17" s="229">
        <v>401.03</v>
      </c>
      <c r="AX17" s="229">
        <v>401.03</v>
      </c>
      <c r="AY17" s="229">
        <v>1648.18</v>
      </c>
      <c r="AZ17" s="229">
        <v>401.04</v>
      </c>
      <c r="BA17" s="229">
        <v>6907.22</v>
      </c>
      <c r="BB17" s="346"/>
      <c r="BC17" s="241">
        <f>Z17-AF17</f>
      </c>
      <c r="BD17" s="238">
        <f>IFERROR(AF17/Z17,0)</f>
      </c>
      <c r="BE17" s="238">
        <f>IFERROR(AF17/X17,0)</f>
      </c>
      <c r="BF17" s="238">
        <f>X17/SUM(X$13:X$17)</f>
      </c>
      <c r="BG17" s="238">
        <f>BC17/SUM(BC$3:BC214)</f>
      </c>
      <c r="BH17" s="217">
        <f>BC17/'R&amp;H Portfolio'!Q$10</f>
      </c>
      <c r="BI17" s="241">
        <f>BF17*P17</f>
      </c>
      <c r="BJ17" s="218"/>
      <c r="BK17" s="219">
        <f>IF(BJ17="YES", BC17, "")</f>
      </c>
      <c r="BL17" s="17"/>
      <c r="BM17" s="4"/>
    </row>
    <row x14ac:dyDescent="0.25" r="18" customHeight="1" ht="16">
      <c r="A18" s="202">
        <v>25568.79196759259</v>
      </c>
      <c r="B18" s="333" t="s">
        <v>424</v>
      </c>
      <c r="C18" s="339" t="s">
        <v>425</v>
      </c>
      <c r="D18" s="70" t="s">
        <v>426</v>
      </c>
      <c r="E18" s="70" t="s">
        <v>261</v>
      </c>
      <c r="F18" s="70" t="s">
        <v>274</v>
      </c>
      <c r="G18" s="205">
        <v>779</v>
      </c>
      <c r="H18" s="206">
        <v>1.39</v>
      </c>
      <c r="I18" s="207">
        <v>0.1</v>
      </c>
      <c r="J18" s="208">
        <f>H18+I18</f>
      </c>
      <c r="K18" s="209">
        <v>150000</v>
      </c>
      <c r="L18" s="58">
        <f>K18*I18</f>
      </c>
      <c r="M18" s="58">
        <f>K18*J18</f>
      </c>
      <c r="N18" s="210">
        <v>100</v>
      </c>
      <c r="O18" s="16"/>
      <c r="P18" s="211">
        <f>IF(ISBLANK(N18),O18/4.3,N18/20)</f>
      </c>
      <c r="Q18" s="209">
        <v>7000</v>
      </c>
      <c r="R18" s="212" t="s">
        <v>133</v>
      </c>
      <c r="S18" s="209"/>
      <c r="T18" s="213">
        <f>IF(ISBLANK(R18),0,X18)</f>
      </c>
      <c r="U18" s="213">
        <f>IF(ISBLANK(S18),0,X18)</f>
      </c>
      <c r="V18" s="214">
        <f>IFERROR(Q18/K18,0)</f>
      </c>
      <c r="W18" s="58">
        <f>IFERROR(L18*V18,0)</f>
      </c>
      <c r="X18" s="213">
        <f>IFERROR(Q18+W18,0)</f>
      </c>
      <c r="Y18" s="213">
        <f>IFERROR(M18*V18,0)</f>
      </c>
      <c r="Z18" s="213">
        <f>Y18-(Y18*$B$1)</f>
      </c>
      <c r="AA18" s="67">
        <f>IFERROR(Z18/X18,0)</f>
      </c>
      <c r="AB18" s="215">
        <f>IFERROR(IF(ISBLANK(N18),Y18/O18,Y18/N18),0)</f>
      </c>
      <c r="AC18" s="215">
        <f>IFERROR(-1*(AB18*B$1),0)</f>
      </c>
      <c r="AD18" s="215">
        <f>IFERROR(SUM(AB18:AC18),0)</f>
      </c>
      <c r="AE18" s="215">
        <f>IF(ISBLANK(N18),AD18,AD18*5)</f>
      </c>
      <c r="AF18" s="216">
        <f>SUM(AG18:BB18)</f>
      </c>
      <c r="AG18" s="207"/>
      <c r="AH18" s="207"/>
      <c r="AI18" s="207"/>
      <c r="AJ18" s="207"/>
      <c r="AK18" s="207"/>
      <c r="AL18" s="207"/>
      <c r="AM18" s="207"/>
      <c r="AN18" s="207"/>
      <c r="AO18" s="207">
        <v>101.17</v>
      </c>
      <c r="AP18" s="207">
        <v>1965.02</v>
      </c>
      <c r="AQ18" s="207">
        <v>505.86</v>
      </c>
      <c r="AR18" s="207">
        <v>505.85</v>
      </c>
      <c r="AS18" s="207">
        <v>404.69</v>
      </c>
      <c r="AT18" s="207">
        <v>607.02</v>
      </c>
      <c r="AU18" s="207">
        <v>404.69</v>
      </c>
      <c r="AV18" s="207">
        <v>505.85</v>
      </c>
      <c r="AW18" s="207">
        <v>607.03</v>
      </c>
      <c r="AX18" s="207">
        <v>505.85</v>
      </c>
      <c r="AY18" s="207">
        <v>505.86</v>
      </c>
      <c r="AZ18" s="207">
        <v>404.68</v>
      </c>
      <c r="BA18" s="207">
        <v>404.69</v>
      </c>
      <c r="BB18" s="207">
        <v>708.1899999999999</v>
      </c>
      <c r="BC18" s="215">
        <f>Z18-AF18</f>
      </c>
      <c r="BD18" s="214">
        <f>IFERROR(AF18/Z18,0)</f>
      </c>
      <c r="BE18" s="214">
        <f>IFERROR(AF18/X18,0)</f>
      </c>
      <c r="BF18" s="214">
        <f>IFERROR(X18/SUM(X$18:X$27),)</f>
      </c>
      <c r="BG18" s="214">
        <f>BC18/SUM(BC$3:BC215)</f>
      </c>
      <c r="BH18" s="217">
        <f>BC18/'R&amp;H Portfolio'!Q$10</f>
      </c>
      <c r="BI18" s="215">
        <f>BF18*P18</f>
      </c>
      <c r="BJ18" s="73"/>
      <c r="BK18" s="220">
        <f>IF(BJ18="YES", BC18, "")</f>
      </c>
      <c r="BL18" s="17"/>
      <c r="BM18" s="4"/>
    </row>
    <row x14ac:dyDescent="0.25" r="19" customHeight="1" ht="16">
      <c r="A19" s="202">
        <v>25568.79196759259</v>
      </c>
      <c r="B19" s="333" t="s">
        <v>427</v>
      </c>
      <c r="C19" s="339" t="s">
        <v>428</v>
      </c>
      <c r="D19" s="70" t="s">
        <v>429</v>
      </c>
      <c r="E19" s="70" t="s">
        <v>164</v>
      </c>
      <c r="F19" s="70" t="s">
        <v>165</v>
      </c>
      <c r="G19" s="205">
        <v>602</v>
      </c>
      <c r="H19" s="206">
        <v>1.3</v>
      </c>
      <c r="I19" s="207">
        <v>0.12</v>
      </c>
      <c r="J19" s="208">
        <f>H19+I19</f>
      </c>
      <c r="K19" s="209">
        <v>17000</v>
      </c>
      <c r="L19" s="58">
        <f>K19*I19</f>
      </c>
      <c r="M19" s="58">
        <f>K19*J19</f>
      </c>
      <c r="N19" s="210">
        <v>126</v>
      </c>
      <c r="O19" s="16"/>
      <c r="P19" s="211">
        <f>IF(ISBLANK(N19),O19/4.3,N19/20)</f>
      </c>
      <c r="Q19" s="209">
        <v>2000</v>
      </c>
      <c r="R19" s="209"/>
      <c r="S19" s="212" t="s">
        <v>82</v>
      </c>
      <c r="T19" s="213">
        <f>IF(ISBLANK(R19),0,X19)</f>
      </c>
      <c r="U19" s="213">
        <f>IF(ISBLANK(S19),0,X19)</f>
      </c>
      <c r="V19" s="214">
        <f>IFERROR(Q19/K19,0)</f>
      </c>
      <c r="W19" s="58">
        <f>IFERROR(L19*V19,0)</f>
      </c>
      <c r="X19" s="213">
        <f>IFERROR(Q19+W19,0)</f>
      </c>
      <c r="Y19" s="213">
        <f>IFERROR(M19*V19,0)</f>
      </c>
      <c r="Z19" s="213">
        <f>Y19-(Y19*$B$1)</f>
      </c>
      <c r="AA19" s="67">
        <f>IFERROR(Z19/X19,0)</f>
      </c>
      <c r="AB19" s="215">
        <f>IFERROR(IF(ISBLANK(N19),Y19/O19,Y19/N19),0)</f>
      </c>
      <c r="AC19" s="215">
        <f>IFERROR(-1*(AB19*B$1),0)</f>
      </c>
      <c r="AD19" s="215">
        <f>IFERROR(SUM(AB19:AC19),0)</f>
      </c>
      <c r="AE19" s="215">
        <f>IF(ISBLANK(N19),AD19,AD19*5)</f>
      </c>
      <c r="AF19" s="216">
        <f>SUM(AG19:BB19)</f>
      </c>
      <c r="AG19" s="207"/>
      <c r="AH19" s="207"/>
      <c r="AI19" s="207"/>
      <c r="AJ19" s="207"/>
      <c r="AK19" s="207"/>
      <c r="AL19" s="207"/>
      <c r="AM19" s="207"/>
      <c r="AN19" s="207"/>
      <c r="AO19" s="207"/>
      <c r="AP19" s="207">
        <v>131.18</v>
      </c>
      <c r="AQ19" s="207">
        <v>109.32</v>
      </c>
      <c r="AR19" s="207">
        <v>109.32</v>
      </c>
      <c r="AS19" s="207">
        <v>65.59</v>
      </c>
      <c r="AT19" s="207">
        <v>109.32</v>
      </c>
      <c r="AU19" s="207">
        <v>87.45</v>
      </c>
      <c r="AV19" s="207">
        <v>109.32</v>
      </c>
      <c r="AW19" s="207">
        <v>87.46000000000001</v>
      </c>
      <c r="AX19" s="207">
        <v>109.31</v>
      </c>
      <c r="AY19" s="207">
        <v>109.32</v>
      </c>
      <c r="AZ19" s="207">
        <v>87.46000000000001</v>
      </c>
      <c r="BA19" s="207">
        <v>109.32</v>
      </c>
      <c r="BB19" s="207">
        <v>109.32</v>
      </c>
      <c r="BC19" s="215">
        <f>Z19-AF19</f>
      </c>
      <c r="BD19" s="214">
        <f>IFERROR(AF19/Z19,0)</f>
      </c>
      <c r="BE19" s="214">
        <f>IFERROR(AF19/X19,0)</f>
      </c>
      <c r="BF19" s="214">
        <f>IFERROR(X19/SUM(X$18:X$27),)</f>
      </c>
      <c r="BG19" s="214">
        <f>BC19/SUM(BC$3:BC216)</f>
      </c>
      <c r="BH19" s="217">
        <f>BC19/'R&amp;H Portfolio'!Q$10</f>
      </c>
      <c r="BI19" s="215">
        <f>BF19*P19</f>
      </c>
      <c r="BJ19" s="73"/>
      <c r="BK19" s="220">
        <f>IF(BJ19="YES", BC19, "")</f>
      </c>
      <c r="BL19" s="17"/>
      <c r="BM19" s="4"/>
    </row>
    <row x14ac:dyDescent="0.25" r="20" customHeight="1" ht="16">
      <c r="A20" s="202">
        <v>25568.79196759259</v>
      </c>
      <c r="B20" s="333" t="s">
        <v>430</v>
      </c>
      <c r="C20" s="339" t="s">
        <v>431</v>
      </c>
      <c r="D20" s="70" t="s">
        <v>432</v>
      </c>
      <c r="E20" s="70" t="s">
        <v>433</v>
      </c>
      <c r="F20" s="70" t="s">
        <v>335</v>
      </c>
      <c r="G20" s="205">
        <v>541</v>
      </c>
      <c r="H20" s="206">
        <v>1.37</v>
      </c>
      <c r="I20" s="207">
        <v>0.12</v>
      </c>
      <c r="J20" s="208">
        <f>H20+I20</f>
      </c>
      <c r="K20" s="209">
        <v>40000</v>
      </c>
      <c r="L20" s="58">
        <f>K20*I20</f>
      </c>
      <c r="M20" s="58">
        <f>K20*J20</f>
      </c>
      <c r="N20" s="210">
        <v>115</v>
      </c>
      <c r="O20" s="16"/>
      <c r="P20" s="211">
        <f>IF(ISBLANK(N20),O20/4.3,N20/20)</f>
      </c>
      <c r="Q20" s="209">
        <v>4000</v>
      </c>
      <c r="R20" s="212" t="s">
        <v>133</v>
      </c>
      <c r="S20" s="3"/>
      <c r="T20" s="213">
        <f>IF(ISBLANK(R20),0,X20)</f>
      </c>
      <c r="U20" s="213">
        <f>IF(ISBLANK(S20),0,X20)</f>
      </c>
      <c r="V20" s="214">
        <f>IFERROR(Q20/K20,0)</f>
      </c>
      <c r="W20" s="58">
        <f>IFERROR(L20*V20,0)</f>
      </c>
      <c r="X20" s="213">
        <f>IFERROR(Q20+W20,0)</f>
      </c>
      <c r="Y20" s="213">
        <f>IFERROR(M20*V20,0)</f>
      </c>
      <c r="Z20" s="213">
        <f>Y20-(Y20*$B$1)</f>
      </c>
      <c r="AA20" s="67">
        <f>IFERROR(Z20/X20,0)</f>
      </c>
      <c r="AB20" s="215">
        <f>IFERROR(IF(ISBLANK(N20),Y20/O20,Y20/N20),0)</f>
      </c>
      <c r="AC20" s="215">
        <f>IFERROR(-1*(AB20*B$1),0)</f>
      </c>
      <c r="AD20" s="215">
        <f>IFERROR(SUM(AB20:AC20),0)</f>
      </c>
      <c r="AE20" s="215">
        <f>IF(ISBLANK(N20),AD20,AD20*5)</f>
      </c>
      <c r="AF20" s="216">
        <f>SUM(AG20:BB20)</f>
      </c>
      <c r="AG20" s="207"/>
      <c r="AH20" s="207"/>
      <c r="AI20" s="207"/>
      <c r="AJ20" s="207"/>
      <c r="AK20" s="207"/>
      <c r="AL20" s="207"/>
      <c r="AM20" s="207"/>
      <c r="AN20" s="207"/>
      <c r="AO20" s="207"/>
      <c r="AP20" s="207">
        <v>50.27</v>
      </c>
      <c r="AQ20" s="207">
        <v>251.35</v>
      </c>
      <c r="AR20" s="207">
        <v>251.36</v>
      </c>
      <c r="AS20" s="207">
        <v>251.35</v>
      </c>
      <c r="AT20" s="207">
        <v>251.36</v>
      </c>
      <c r="AU20" s="207">
        <v>201.09</v>
      </c>
      <c r="AV20" s="207">
        <v>251.35</v>
      </c>
      <c r="AW20" s="207">
        <v>100.54</v>
      </c>
      <c r="AX20" s="207">
        <v>201.09</v>
      </c>
      <c r="AY20" s="207">
        <v>150.81</v>
      </c>
      <c r="AZ20" s="207">
        <v>201.09</v>
      </c>
      <c r="BA20" s="207">
        <v>251.35</v>
      </c>
      <c r="BB20" s="207">
        <v>301.6300000000001</v>
      </c>
      <c r="BC20" s="215">
        <f>Z20-AF20</f>
      </c>
      <c r="BD20" s="214">
        <f>IFERROR(AF20/Z20,0)</f>
      </c>
      <c r="BE20" s="214">
        <f>IFERROR(AF20/X20,0)</f>
      </c>
      <c r="BF20" s="214">
        <f>IFERROR(X20/SUM(X$18:X$27),)</f>
      </c>
      <c r="BG20" s="214">
        <f>BC20/SUM(BC$3:BC217)</f>
      </c>
      <c r="BH20" s="217">
        <f>BC20/'R&amp;H Portfolio'!Q$10</f>
      </c>
      <c r="BI20" s="215">
        <f>BF20*P20</f>
      </c>
      <c r="BJ20" s="73"/>
      <c r="BK20" s="220">
        <f>IF(BJ20="YES", BC20, "")</f>
      </c>
      <c r="BL20" s="17"/>
      <c r="BM20" s="4"/>
    </row>
    <row x14ac:dyDescent="0.25" r="21" customHeight="1" ht="16">
      <c r="A21" s="202">
        <v>25568.79196759259</v>
      </c>
      <c r="B21" s="203" t="s">
        <v>434</v>
      </c>
      <c r="C21" s="204" t="s">
        <v>435</v>
      </c>
      <c r="D21" s="70" t="s">
        <v>436</v>
      </c>
      <c r="E21" s="70" t="s">
        <v>402</v>
      </c>
      <c r="F21" s="70" t="s">
        <v>437</v>
      </c>
      <c r="G21" s="205">
        <v>674</v>
      </c>
      <c r="H21" s="206">
        <v>1.32</v>
      </c>
      <c r="I21" s="207">
        <v>0.12</v>
      </c>
      <c r="J21" s="208">
        <f>H21+I21</f>
      </c>
      <c r="K21" s="209">
        <v>150000</v>
      </c>
      <c r="L21" s="58">
        <f>K21*I21</f>
      </c>
      <c r="M21" s="58">
        <f>K21*J21</f>
      </c>
      <c r="N21" s="210">
        <v>130</v>
      </c>
      <c r="O21" s="16"/>
      <c r="P21" s="211">
        <f>IF(ISBLANK(N21),O21/4.3,N21/20)</f>
      </c>
      <c r="Q21" s="209">
        <v>10000</v>
      </c>
      <c r="R21" s="212" t="s">
        <v>133</v>
      </c>
      <c r="S21" s="3"/>
      <c r="T21" s="213">
        <f>IF(ISBLANK(R21),0,X21)</f>
      </c>
      <c r="U21" s="213">
        <f>IF(ISBLANK(S21),0,X21)</f>
      </c>
      <c r="V21" s="214">
        <f>IFERROR(Q21/K21,0)</f>
      </c>
      <c r="W21" s="58">
        <f>IFERROR(L21*V21,0)</f>
      </c>
      <c r="X21" s="213">
        <f>IFERROR(Q21+W21,0)</f>
      </c>
      <c r="Y21" s="213">
        <f>IFERROR(M21*V21,0)</f>
      </c>
      <c r="Z21" s="213">
        <f>Y21-(Y21*$B$1)</f>
      </c>
      <c r="AA21" s="67">
        <f>IFERROR(Z21/X21,0)</f>
      </c>
      <c r="AB21" s="215">
        <f>IFERROR(IF(ISBLANK(N21),Y21/O21,Y21/N21),0)</f>
      </c>
      <c r="AC21" s="215">
        <f>IFERROR(-1*(AB21*B$1),0)</f>
      </c>
      <c r="AD21" s="215">
        <f>IFERROR(SUM(AB21:AC21),0)</f>
      </c>
      <c r="AE21" s="215">
        <f>IF(ISBLANK(N21),AD21,AD21*5)</f>
      </c>
      <c r="AF21" s="216">
        <f>SUM(AG21:BB21)</f>
      </c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>
        <v>537.23</v>
      </c>
      <c r="AR21" s="207">
        <v>537.23</v>
      </c>
      <c r="AS21" s="207">
        <v>537.23</v>
      </c>
      <c r="AT21" s="207">
        <v>537.23</v>
      </c>
      <c r="AU21" s="207">
        <v>429.79</v>
      </c>
      <c r="AV21" s="207">
        <v>537.23</v>
      </c>
      <c r="AW21" s="207">
        <v>644.6700000000001</v>
      </c>
      <c r="AX21" s="207">
        <v>537.24</v>
      </c>
      <c r="AY21" s="207">
        <v>537.23</v>
      </c>
      <c r="AZ21" s="207">
        <v>429.78</v>
      </c>
      <c r="BA21" s="207">
        <v>537.23</v>
      </c>
      <c r="BB21" s="207">
        <v>644.6800000000001</v>
      </c>
      <c r="BC21" s="215">
        <f>Z21-AF21</f>
      </c>
      <c r="BD21" s="214">
        <f>IFERROR(AF21/Z21,0)</f>
      </c>
      <c r="BE21" s="214">
        <f>IFERROR(AF21/X21,0)</f>
      </c>
      <c r="BF21" s="214">
        <f>IFERROR(X21/SUM(X$18:X$27),)</f>
      </c>
      <c r="BG21" s="214">
        <f>BC21/SUM(BC$3:BC218)</f>
      </c>
      <c r="BH21" s="217">
        <f>BC21/'R&amp;H Portfolio'!Q$10</f>
      </c>
      <c r="BI21" s="215">
        <f>BF21*P21</f>
      </c>
      <c r="BJ21" s="73"/>
      <c r="BK21" s="220">
        <f>IF(BJ21="YES", BC21, "")</f>
      </c>
      <c r="BL21" s="17"/>
      <c r="BM21" s="4"/>
    </row>
    <row x14ac:dyDescent="0.25" r="22" customHeight="1" ht="16">
      <c r="A22" s="202">
        <v>25568.79196759259</v>
      </c>
      <c r="B22" s="203" t="s">
        <v>438</v>
      </c>
      <c r="C22" s="204" t="s">
        <v>439</v>
      </c>
      <c r="D22" s="70" t="s">
        <v>440</v>
      </c>
      <c r="E22" s="70" t="s">
        <v>149</v>
      </c>
      <c r="F22" s="70" t="s">
        <v>197</v>
      </c>
      <c r="G22" s="205">
        <v>704</v>
      </c>
      <c r="H22" s="206">
        <v>1.4</v>
      </c>
      <c r="I22" s="207">
        <v>0.09</v>
      </c>
      <c r="J22" s="208">
        <f>H22+I22</f>
      </c>
      <c r="K22" s="209">
        <v>215000</v>
      </c>
      <c r="L22" s="58">
        <f>K22*I22</f>
      </c>
      <c r="M22" s="58">
        <f>K22*J22</f>
      </c>
      <c r="N22" s="210">
        <v>132</v>
      </c>
      <c r="O22" s="16"/>
      <c r="P22" s="211">
        <f>IF(ISBLANK(N22),O22/4.3,N22/20)</f>
      </c>
      <c r="Q22" s="209">
        <v>8000</v>
      </c>
      <c r="R22" s="212" t="s">
        <v>133</v>
      </c>
      <c r="S22" s="3"/>
      <c r="T22" s="213">
        <f>IF(ISBLANK(R22),0,X22)</f>
      </c>
      <c r="U22" s="213">
        <f>IF(ISBLANK(S22),0,X22)</f>
      </c>
      <c r="V22" s="214">
        <f>IFERROR(Q22/K22,0)</f>
      </c>
      <c r="W22" s="58">
        <f>IFERROR(L22*V22,0)</f>
      </c>
      <c r="X22" s="213">
        <f>IFERROR(Q22+W22,0)</f>
      </c>
      <c r="Y22" s="213">
        <f>IFERROR(M22*V22,0)</f>
      </c>
      <c r="Z22" s="213">
        <f>Y22-(Y22*$B$1)</f>
      </c>
      <c r="AA22" s="67">
        <f>IFERROR(Z22/X22,0)</f>
      </c>
      <c r="AB22" s="215">
        <f>IFERROR(IF(ISBLANK(N22),Y22/O22,Y22/N22),0)</f>
      </c>
      <c r="AC22" s="215">
        <f>IFERROR(-1*(AB22*B$1),0)</f>
      </c>
      <c r="AD22" s="215">
        <f>IFERROR(SUM(AB22:AC22),0)</f>
      </c>
      <c r="AE22" s="215">
        <f>IF(ISBLANK(N22),AD22,AD22*5)</f>
      </c>
      <c r="AF22" s="216">
        <f>SUM(AG22:BB22)</f>
      </c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>
        <v>87.59</v>
      </c>
      <c r="AR22" s="207">
        <v>437.97</v>
      </c>
      <c r="AS22" s="207">
        <v>437.97</v>
      </c>
      <c r="AT22" s="207">
        <v>437.97</v>
      </c>
      <c r="AU22" s="207">
        <v>350.37</v>
      </c>
      <c r="AV22" s="207">
        <v>437.97</v>
      </c>
      <c r="AW22" s="207">
        <v>525.5600000000001</v>
      </c>
      <c r="AX22" s="207">
        <v>437.97</v>
      </c>
      <c r="AY22" s="207">
        <v>437.97</v>
      </c>
      <c r="AZ22" s="207">
        <v>350.38</v>
      </c>
      <c r="BA22" s="207">
        <v>437.96</v>
      </c>
      <c r="BB22" s="207">
        <v>525.57</v>
      </c>
      <c r="BC22" s="215">
        <f>Z22-AF22</f>
      </c>
      <c r="BD22" s="214">
        <f>IFERROR(AF22/Z22,0)</f>
      </c>
      <c r="BE22" s="214">
        <f>IFERROR(AF22/X22,0)</f>
      </c>
      <c r="BF22" s="214">
        <f>IFERROR(X22/SUM(X$18:X$27),)</f>
      </c>
      <c r="BG22" s="214">
        <f>BC22/SUM(BC$3:BC219)</f>
      </c>
      <c r="BH22" s="217">
        <f>BC22/'R&amp;H Portfolio'!Q$10</f>
      </c>
      <c r="BI22" s="215">
        <f>BF22*P22</f>
      </c>
      <c r="BJ22" s="73"/>
      <c r="BK22" s="220">
        <f>IF(BJ22="YES", BC22, "")</f>
      </c>
      <c r="BL22" s="17"/>
      <c r="BM22" s="4"/>
    </row>
    <row x14ac:dyDescent="0.25" r="23" customHeight="1" ht="15">
      <c r="A23" s="202">
        <v>25568.79196759259</v>
      </c>
      <c r="B23" s="247" t="s">
        <v>441</v>
      </c>
      <c r="C23" s="204" t="s">
        <v>442</v>
      </c>
      <c r="D23" s="70" t="s">
        <v>443</v>
      </c>
      <c r="E23" s="70" t="s">
        <v>394</v>
      </c>
      <c r="F23" s="70" t="s">
        <v>155</v>
      </c>
      <c r="G23" s="205">
        <v>703</v>
      </c>
      <c r="H23" s="206">
        <v>1.39</v>
      </c>
      <c r="I23" s="207">
        <v>0.1</v>
      </c>
      <c r="J23" s="208">
        <f>H23+I23</f>
      </c>
      <c r="K23" s="209">
        <v>265000</v>
      </c>
      <c r="L23" s="58">
        <f>K23*I23</f>
      </c>
      <c r="M23" s="58">
        <f>K23*J23</f>
      </c>
      <c r="N23" s="210">
        <v>140</v>
      </c>
      <c r="O23" s="16"/>
      <c r="P23" s="211">
        <f>IF(ISBLANK(N23),O23/4.3,N23/20)</f>
      </c>
      <c r="Q23" s="209">
        <v>8000</v>
      </c>
      <c r="R23" s="212" t="s">
        <v>133</v>
      </c>
      <c r="S23" s="3"/>
      <c r="T23" s="213">
        <f>IF(ISBLANK(R23),0,X23)</f>
      </c>
      <c r="U23" s="213">
        <f>IF(ISBLANK(S23),0,X23)</f>
      </c>
      <c r="V23" s="214">
        <f>IFERROR(Q23/K23,0)</f>
      </c>
      <c r="W23" s="58">
        <f>IFERROR(L23*V23,0)</f>
      </c>
      <c r="X23" s="213">
        <f>IFERROR(Q23+W23,0)</f>
      </c>
      <c r="Y23" s="213">
        <f>IFERROR(M23*V23,0)</f>
      </c>
      <c r="Z23" s="213">
        <f>Y23-(Y23*$B$1)</f>
      </c>
      <c r="AA23" s="67">
        <f>IFERROR(Z23/X23,0)</f>
      </c>
      <c r="AB23" s="215">
        <f>IFERROR(IF(ISBLANK(N23),Y23/O23,Y23/N23),0)</f>
      </c>
      <c r="AC23" s="215">
        <f>IFERROR(-1*(AB23*B$1),0)</f>
      </c>
      <c r="AD23" s="215">
        <f>IFERROR(SUM(AB23:AC23),0)</f>
      </c>
      <c r="AE23" s="215">
        <f>IF(ISBLANK(N23),AD23,AD23*5)</f>
      </c>
      <c r="AF23" s="216">
        <f>SUM(AG23:BB23)</f>
      </c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>
        <v>247.76</v>
      </c>
      <c r="AR23" s="207">
        <v>412.94</v>
      </c>
      <c r="AS23" s="207">
        <v>412.95</v>
      </c>
      <c r="AT23" s="207">
        <v>412.94</v>
      </c>
      <c r="AU23" s="207">
        <v>330.36</v>
      </c>
      <c r="AV23" s="207">
        <v>330.35</v>
      </c>
      <c r="AW23" s="207">
        <v>330.35</v>
      </c>
      <c r="AX23" s="207">
        <v>412.95</v>
      </c>
      <c r="AY23" s="207">
        <v>165.18</v>
      </c>
      <c r="AZ23" s="207">
        <v>82.58</v>
      </c>
      <c r="BA23" s="207">
        <v>82.59</v>
      </c>
      <c r="BB23" s="207">
        <v>41.3</v>
      </c>
      <c r="BC23" s="215">
        <f>Z23-AF23</f>
      </c>
      <c r="BD23" s="214">
        <f>IFERROR(AF23/Z23,0)</f>
      </c>
      <c r="BE23" s="214">
        <f>IFERROR(AF23/X23,0)</f>
      </c>
      <c r="BF23" s="214">
        <f>IFERROR(X23/SUM(X$18:X$27),)</f>
      </c>
      <c r="BG23" s="214">
        <f>BC23/SUM(BC$3:BC220)</f>
      </c>
      <c r="BH23" s="217">
        <f>BC23/'R&amp;H Portfolio'!Q$10</f>
      </c>
      <c r="BI23" s="215">
        <f>BF23*P23</f>
      </c>
      <c r="BJ23" s="73"/>
      <c r="BK23" s="220">
        <f>IF(BJ23="YES", BC23, "")</f>
      </c>
      <c r="BL23" s="17"/>
      <c r="BM23" s="4"/>
    </row>
    <row x14ac:dyDescent="0.25" r="24" customHeight="1" ht="15">
      <c r="A24" s="202">
        <v>25568.79196759259</v>
      </c>
      <c r="B24" s="203" t="s">
        <v>444</v>
      </c>
      <c r="C24" s="204" t="s">
        <v>445</v>
      </c>
      <c r="D24" s="70" t="s">
        <v>446</v>
      </c>
      <c r="E24" s="70" t="s">
        <v>406</v>
      </c>
      <c r="F24" s="70" t="s">
        <v>206</v>
      </c>
      <c r="G24" s="205">
        <v>590</v>
      </c>
      <c r="H24" s="206">
        <v>1.33</v>
      </c>
      <c r="I24" s="207">
        <v>0.12</v>
      </c>
      <c r="J24" s="208">
        <f>H24+I24</f>
      </c>
      <c r="K24" s="209">
        <v>70000</v>
      </c>
      <c r="L24" s="58">
        <f>K24*I24</f>
      </c>
      <c r="M24" s="58">
        <f>K24*J24</f>
      </c>
      <c r="N24" s="210">
        <v>120</v>
      </c>
      <c r="O24" s="16"/>
      <c r="P24" s="211">
        <f>IF(ISBLANK(N24),O24/4.3,N24/20)</f>
      </c>
      <c r="Q24" s="209">
        <v>6000</v>
      </c>
      <c r="R24" s="212" t="s">
        <v>133</v>
      </c>
      <c r="S24" s="3"/>
      <c r="T24" s="213">
        <f>IF(ISBLANK(R24),0,X24)</f>
      </c>
      <c r="U24" s="213">
        <f>IF(ISBLANK(S24),0,X24)</f>
      </c>
      <c r="V24" s="214">
        <f>IFERROR(Q24/K24,0)</f>
      </c>
      <c r="W24" s="58">
        <f>IFERROR(L24*V24,0)</f>
      </c>
      <c r="X24" s="213">
        <f>IFERROR(Q24+W24,0)</f>
      </c>
      <c r="Y24" s="213">
        <f>IFERROR(M24*V24,0)</f>
      </c>
      <c r="Z24" s="213">
        <f>Y24-(Y24*$B$1)</f>
      </c>
      <c r="AA24" s="67">
        <f>IFERROR(Z24/X24,0)</f>
      </c>
      <c r="AB24" s="215">
        <f>IFERROR(IF(ISBLANK(N24),Y24/O24,Y24/N24),0)</f>
      </c>
      <c r="AC24" s="215">
        <f>IFERROR(-1*(AB24*B$1),0)</f>
      </c>
      <c r="AD24" s="215">
        <f>IFERROR(SUM(AB24:AC24),0)</f>
      </c>
      <c r="AE24" s="215">
        <f>IF(ISBLANK(N24),AD24,AD24*5)</f>
      </c>
      <c r="AF24" s="216">
        <f>SUM(AG24:BB24)</f>
      </c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>
        <v>351.6199999999999</v>
      </c>
      <c r="AR24" s="207">
        <v>351.6199999999999</v>
      </c>
      <c r="AS24" s="207">
        <v>351.6299999999999</v>
      </c>
      <c r="AT24" s="207">
        <v>281.29</v>
      </c>
      <c r="AU24" s="207">
        <v>210.98</v>
      </c>
      <c r="AV24" s="207">
        <v>210.97</v>
      </c>
      <c r="AW24" s="207">
        <v>281.3</v>
      </c>
      <c r="AX24" s="207">
        <v>210.98</v>
      </c>
      <c r="AY24" s="207">
        <v>351.6199999999999</v>
      </c>
      <c r="AZ24" s="207">
        <v>70.32</v>
      </c>
      <c r="BA24" s="207"/>
      <c r="BB24" s="207">
        <v>210.98</v>
      </c>
      <c r="BC24" s="215">
        <f>Z24-AF24</f>
      </c>
      <c r="BD24" s="214">
        <f>IFERROR(AF24/Z24,0)</f>
      </c>
      <c r="BE24" s="214">
        <f>IFERROR(AF24/X24,0)</f>
      </c>
      <c r="BF24" s="214">
        <f>IFERROR(X24/SUM(X$18:X$27),)</f>
      </c>
      <c r="BG24" s="214">
        <f>BC24/SUM(BC$3:BC221)</f>
      </c>
      <c r="BH24" s="217">
        <f>BC24/'R&amp;H Portfolio'!Q$10</f>
      </c>
      <c r="BI24" s="215">
        <f>BF24*P24</f>
      </c>
      <c r="BJ24" s="73"/>
      <c r="BK24" s="220">
        <f>IF(BJ24="YES", BC24, "")</f>
      </c>
      <c r="BL24" s="17"/>
      <c r="BM24" s="4"/>
    </row>
    <row x14ac:dyDescent="0.25" r="25" customHeight="1" ht="15">
      <c r="A25" s="202">
        <v>25568.79196759259</v>
      </c>
      <c r="B25" s="203" t="s">
        <v>447</v>
      </c>
      <c r="C25" s="204" t="s">
        <v>448</v>
      </c>
      <c r="D25" s="70" t="s">
        <v>449</v>
      </c>
      <c r="E25" s="70" t="s">
        <v>266</v>
      </c>
      <c r="F25" s="70" t="s">
        <v>450</v>
      </c>
      <c r="G25" s="205">
        <v>678</v>
      </c>
      <c r="H25" s="206">
        <v>1.28</v>
      </c>
      <c r="I25" s="207">
        <v>0.08</v>
      </c>
      <c r="J25" s="208">
        <f>H25+I25</f>
      </c>
      <c r="K25" s="209">
        <v>40000</v>
      </c>
      <c r="L25" s="58">
        <f>K25*I25</f>
      </c>
      <c r="M25" s="58">
        <f>K25*J25</f>
      </c>
      <c r="N25" s="210">
        <v>120</v>
      </c>
      <c r="O25" s="16"/>
      <c r="P25" s="211">
        <f>IF(ISBLANK(N25),O25/4.3,N25/20)</f>
      </c>
      <c r="Q25" s="209">
        <v>2000</v>
      </c>
      <c r="R25" s="3"/>
      <c r="S25" s="212" t="s">
        <v>82</v>
      </c>
      <c r="T25" s="213">
        <f>IF(ISBLANK(R25),0,X25)</f>
      </c>
      <c r="U25" s="213">
        <f>IF(ISBLANK(S25),0,X25)</f>
      </c>
      <c r="V25" s="214">
        <f>IFERROR(Q25/K25,0)</f>
      </c>
      <c r="W25" s="58">
        <f>IFERROR(L25*V25,0)</f>
      </c>
      <c r="X25" s="213">
        <f>IFERROR(Q25+W25,0)</f>
      </c>
      <c r="Y25" s="213">
        <f>IFERROR(M25*V25,0)</f>
      </c>
      <c r="Z25" s="213">
        <f>Y25-(Y25*$B$1)</f>
      </c>
      <c r="AA25" s="67">
        <f>IFERROR(Z25/X25,0)</f>
      </c>
      <c r="AB25" s="215">
        <f>IFERROR(IF(ISBLANK(N25),Y25/O25,Y25/N25),0)</f>
      </c>
      <c r="AC25" s="215">
        <f>IFERROR(-1*(AB25*B$1),0)</f>
      </c>
      <c r="AD25" s="215">
        <f>IFERROR(SUM(AB25:AC25),0)</f>
      </c>
      <c r="AE25" s="215">
        <f>IF(ISBLANK(N25),AD25,AD25*5)</f>
      </c>
      <c r="AF25" s="216">
        <f>SUM(AG25:BB25)</f>
      </c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>
        <v>21.98</v>
      </c>
      <c r="AR25" s="207">
        <v>109.93</v>
      </c>
      <c r="AS25" s="207">
        <v>109.94</v>
      </c>
      <c r="AT25" s="207">
        <v>109.93</v>
      </c>
      <c r="AU25" s="207">
        <v>87.94999999999999</v>
      </c>
      <c r="AV25" s="207">
        <v>109.93</v>
      </c>
      <c r="AW25" s="207">
        <v>131.92</v>
      </c>
      <c r="AX25" s="207">
        <v>109.93</v>
      </c>
      <c r="AY25" s="207">
        <v>43.97</v>
      </c>
      <c r="AZ25" s="207">
        <v>87.94999999999999</v>
      </c>
      <c r="BA25" s="207">
        <v>109.93</v>
      </c>
      <c r="BB25" s="207">
        <v>131.92</v>
      </c>
      <c r="BC25" s="215">
        <f>Z25-AF25</f>
      </c>
      <c r="BD25" s="214">
        <f>IFERROR(AF25/Z25,0)</f>
      </c>
      <c r="BE25" s="214">
        <f>IFERROR(AF25/X25,0)</f>
      </c>
      <c r="BF25" s="214">
        <f>IFERROR(X25/SUM(X$18:X$27),)</f>
      </c>
      <c r="BG25" s="214">
        <f>BC25/SUM(BC$3:BC222)</f>
      </c>
      <c r="BH25" s="217">
        <f>BC25/'R&amp;H Portfolio'!Q$10</f>
      </c>
      <c r="BI25" s="215">
        <f>BF25*P25</f>
      </c>
      <c r="BJ25" s="73"/>
      <c r="BK25" s="220">
        <f>IF(BJ25="YES", BC25, "")</f>
      </c>
      <c r="BL25" s="17"/>
      <c r="BM25" s="4"/>
    </row>
    <row x14ac:dyDescent="0.25" r="26" customHeight="1" ht="15">
      <c r="A26" s="202">
        <v>25568.79196759259</v>
      </c>
      <c r="B26" s="203" t="s">
        <v>451</v>
      </c>
      <c r="C26" s="204" t="s">
        <v>452</v>
      </c>
      <c r="D26" s="70" t="s">
        <v>453</v>
      </c>
      <c r="E26" s="70" t="s">
        <v>454</v>
      </c>
      <c r="F26" s="70" t="s">
        <v>165</v>
      </c>
      <c r="G26" s="205">
        <v>600</v>
      </c>
      <c r="H26" s="206">
        <v>1.3</v>
      </c>
      <c r="I26" s="207">
        <v>0.12</v>
      </c>
      <c r="J26" s="208">
        <f>H26+I26</f>
      </c>
      <c r="K26" s="209">
        <v>135000</v>
      </c>
      <c r="L26" s="58">
        <f>K26*I26</f>
      </c>
      <c r="M26" s="58">
        <f>K26*J26</f>
      </c>
      <c r="N26" s="210">
        <v>126</v>
      </c>
      <c r="O26" s="16"/>
      <c r="P26" s="211">
        <f>IF(ISBLANK(N26),O26/4.3,N26/20)</f>
      </c>
      <c r="Q26" s="209">
        <v>12000</v>
      </c>
      <c r="R26" s="212" t="s">
        <v>133</v>
      </c>
      <c r="S26" s="3"/>
      <c r="T26" s="213">
        <f>IF(ISBLANK(R26),0,X26)</f>
      </c>
      <c r="U26" s="213">
        <f>IF(ISBLANK(S26),0,X26)</f>
      </c>
      <c r="V26" s="214">
        <f>IFERROR(Q26/K26,0)</f>
      </c>
      <c r="W26" s="58">
        <f>IFERROR(L26*V26,0)</f>
      </c>
      <c r="X26" s="213">
        <f>IFERROR(Q26+W26,0)</f>
      </c>
      <c r="Y26" s="213">
        <f>IFERROR(M26*V26,0)</f>
      </c>
      <c r="Z26" s="213">
        <f>Y26-(Y26*$B$1)</f>
      </c>
      <c r="AA26" s="67">
        <f>IFERROR(Z26/X26,0)</f>
      </c>
      <c r="AB26" s="215">
        <f>IFERROR(IF(ISBLANK(N26),Y26/O26,Y26/N26),0)</f>
      </c>
      <c r="AC26" s="215">
        <f>IFERROR(-1*(AB26*B$1),0)</f>
      </c>
      <c r="AD26" s="215">
        <f>IFERROR(SUM(AB26:AC26),0)</f>
      </c>
      <c r="AE26" s="215">
        <f>IF(ISBLANK(N26),AD26,AD26*5)</f>
      </c>
      <c r="AF26" s="216">
        <f>SUM(AG26:BB26)</f>
      </c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>
        <v>262.36</v>
      </c>
      <c r="AT26" s="207">
        <v>655.9000000000001</v>
      </c>
      <c r="AU26" s="207">
        <v>524.73</v>
      </c>
      <c r="AV26" s="207">
        <v>655.9000000000001</v>
      </c>
      <c r="AW26" s="207">
        <v>655.9100000000001</v>
      </c>
      <c r="AX26" s="207">
        <v>262.36</v>
      </c>
      <c r="AY26" s="207">
        <v>918.2700000000002</v>
      </c>
      <c r="AZ26" s="207">
        <v>262.36</v>
      </c>
      <c r="BA26" s="207">
        <v>131.18</v>
      </c>
      <c r="BB26" s="207">
        <v>655.9100000000001</v>
      </c>
      <c r="BC26" s="215">
        <f>Z26-AF26</f>
      </c>
      <c r="BD26" s="214">
        <f>IFERROR(AF26/Z26,0)</f>
      </c>
      <c r="BE26" s="214">
        <f>IFERROR(AF26/X26,0)</f>
      </c>
      <c r="BF26" s="214">
        <f>IFERROR(X26/SUM(X$18:X$27),)</f>
      </c>
      <c r="BG26" s="214">
        <f>BC26/SUM(BC$3:BC223)</f>
      </c>
      <c r="BH26" s="217">
        <f>BC26/'R&amp;H Portfolio'!Q$10</f>
      </c>
      <c r="BI26" s="215">
        <f>BF26*P26</f>
      </c>
      <c r="BJ26" s="73"/>
      <c r="BK26" s="220">
        <f>IF(BJ26="YES", BC26, "")</f>
      </c>
      <c r="BL26" s="17"/>
      <c r="BM26" s="4"/>
    </row>
    <row x14ac:dyDescent="0.25" r="27" customHeight="1" ht="15">
      <c r="A27" s="223">
        <v>25568.79196759259</v>
      </c>
      <c r="B27" s="224" t="s">
        <v>455</v>
      </c>
      <c r="C27" s="225" t="s">
        <v>456</v>
      </c>
      <c r="D27" s="226" t="s">
        <v>457</v>
      </c>
      <c r="E27" s="226" t="s">
        <v>380</v>
      </c>
      <c r="F27" s="226" t="s">
        <v>226</v>
      </c>
      <c r="G27" s="245">
        <v>674</v>
      </c>
      <c r="H27" s="228">
        <v>1.32</v>
      </c>
      <c r="I27" s="229">
        <v>0.09</v>
      </c>
      <c r="J27" s="230">
        <f>H27+I27</f>
      </c>
      <c r="K27" s="231">
        <v>170000</v>
      </c>
      <c r="L27" s="232">
        <f>K27*I27</f>
      </c>
      <c r="M27" s="232">
        <f>K27*J27</f>
      </c>
      <c r="N27" s="233"/>
      <c r="O27" s="233">
        <v>26</v>
      </c>
      <c r="P27" s="234">
        <f>IF(ISBLANK(N27),O27/4.3,N27/20)</f>
      </c>
      <c r="Q27" s="231">
        <v>7000</v>
      </c>
      <c r="R27" s="246" t="s">
        <v>133</v>
      </c>
      <c r="S27" s="246"/>
      <c r="T27" s="239">
        <f>IF(ISBLANK(R27),0,X27)</f>
      </c>
      <c r="U27" s="239">
        <f>IF(ISBLANK(S27),0,X27)</f>
      </c>
      <c r="V27" s="238">
        <f>IFERROR(Q27/K27,0)</f>
      </c>
      <c r="W27" s="232">
        <f>IFERROR(L27*V27,0)</f>
      </c>
      <c r="X27" s="239">
        <f>IFERROR(Q27+W27,0)</f>
      </c>
      <c r="Y27" s="239">
        <f>IFERROR(M27*V27,0)</f>
      </c>
      <c r="Z27" s="239">
        <f>Y27-(Y27*$B$1)</f>
      </c>
      <c r="AA27" s="240">
        <f>IFERROR(Z27/X27,0)</f>
      </c>
      <c r="AB27" s="241">
        <f>IFERROR(IF(ISBLANK(N27),Y27/O27,Y27/N27),0)</f>
      </c>
      <c r="AC27" s="241">
        <f>IFERROR(-1*(AB27*B$1),0)</f>
      </c>
      <c r="AD27" s="241">
        <f>IFERROR(SUM(AB27:AC27),0)</f>
      </c>
      <c r="AE27" s="241">
        <f>IF(ISBLANK(N27),AD27,AD27*5)</f>
      </c>
      <c r="AF27" s="242">
        <f>SUM(AG27:BB27)</f>
      </c>
      <c r="AG27" s="229"/>
      <c r="AH27" s="229"/>
      <c r="AI27" s="229"/>
      <c r="AJ27" s="229"/>
      <c r="AK27" s="229"/>
      <c r="AL27" s="229"/>
      <c r="AM27" s="229"/>
      <c r="AN27" s="229"/>
      <c r="AO27" s="229"/>
      <c r="AP27" s="229"/>
      <c r="AQ27" s="229"/>
      <c r="AR27" s="229"/>
      <c r="AS27" s="229"/>
      <c r="AT27" s="229">
        <v>368.22</v>
      </c>
      <c r="AU27" s="229">
        <v>368.23</v>
      </c>
      <c r="AV27" s="229">
        <v>368.23</v>
      </c>
      <c r="AW27" s="229">
        <v>368.22</v>
      </c>
      <c r="AX27" s="229">
        <v>368.23</v>
      </c>
      <c r="AY27" s="229">
        <v>368.23</v>
      </c>
      <c r="AZ27" s="229"/>
      <c r="BA27" s="229">
        <v>368.22</v>
      </c>
      <c r="BB27" s="229">
        <v>368.23</v>
      </c>
      <c r="BC27" s="241">
        <f>Z27-AF27</f>
      </c>
      <c r="BD27" s="238">
        <f>IFERROR(AF27/Z27,0)</f>
      </c>
      <c r="BE27" s="238">
        <f>IFERROR(AF27/X27,0)</f>
      </c>
      <c r="BF27" s="214">
        <f>IFERROR(X27/SUM(X$18:X$27),)</f>
      </c>
      <c r="BG27" s="238">
        <f>BC27/SUM(BC$3:BC224)</f>
      </c>
      <c r="BH27" s="217">
        <f>BC27/'R&amp;H Portfolio'!Q$10</f>
      </c>
      <c r="BI27" s="241">
        <f>BF27*P27</f>
      </c>
      <c r="BJ27" s="218"/>
      <c r="BK27" s="219">
        <f>IF(BJ27="YES", BC27, "")</f>
      </c>
      <c r="BL27" s="17"/>
      <c r="BM27" s="4"/>
    </row>
    <row x14ac:dyDescent="0.25" r="28" customHeight="1" ht="15">
      <c r="A28" s="202">
        <v>25568.79196759259</v>
      </c>
      <c r="B28" s="203" t="s">
        <v>458</v>
      </c>
      <c r="C28" s="204" t="s">
        <v>459</v>
      </c>
      <c r="D28" s="70" t="s">
        <v>460</v>
      </c>
      <c r="E28" s="70" t="s">
        <v>394</v>
      </c>
      <c r="F28" s="70" t="s">
        <v>160</v>
      </c>
      <c r="G28" s="205">
        <v>641</v>
      </c>
      <c r="H28" s="206">
        <v>1.29</v>
      </c>
      <c r="I28" s="207">
        <v>0.06</v>
      </c>
      <c r="J28" s="208">
        <f>H28+I28</f>
      </c>
      <c r="K28" s="209">
        <v>90000</v>
      </c>
      <c r="L28" s="58">
        <f>K28*I28</f>
      </c>
      <c r="M28" s="58">
        <f>K28*J28</f>
      </c>
      <c r="N28" s="16"/>
      <c r="O28" s="210">
        <v>32</v>
      </c>
      <c r="P28" s="211">
        <f>IF(ISBLANK(N28),O28/4.3,N28/20)</f>
      </c>
      <c r="Q28" s="209">
        <v>6000</v>
      </c>
      <c r="R28" s="212" t="s">
        <v>133</v>
      </c>
      <c r="S28" s="3"/>
      <c r="T28" s="213">
        <f>IF(ISBLANK(R28),0,X28)</f>
      </c>
      <c r="U28" s="213">
        <f>IF(ISBLANK(S28),0,X28)</f>
      </c>
      <c r="V28" s="214">
        <f>IFERROR(Q28/K28,0)</f>
      </c>
      <c r="W28" s="58">
        <f>IFERROR(L28*V28,0)</f>
      </c>
      <c r="X28" s="213">
        <f>IFERROR(Q28+W28,0)</f>
      </c>
      <c r="Y28" s="213">
        <f>IFERROR(M28*V28,0)</f>
      </c>
      <c r="Z28" s="213">
        <f>Y28-(Y28*$B$1)</f>
      </c>
      <c r="AA28" s="67">
        <f>IFERROR(Z28/X28,0)</f>
      </c>
      <c r="AB28" s="215">
        <f>IFERROR(IF(ISBLANK(N28),Y28/O28,Y28/N28),0)</f>
      </c>
      <c r="AC28" s="215">
        <f>IFERROR(-1*(AB28*B$1),0)</f>
      </c>
      <c r="AD28" s="215">
        <f>IFERROR(SUM(AB28:AC28),0)</f>
      </c>
      <c r="AE28" s="215">
        <f>IF(ISBLANK(N28),AD28,AD28*5)</f>
      </c>
      <c r="AF28" s="216">
        <f>SUM(AG28:BB28)</f>
      </c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>
        <v>245.53</v>
      </c>
      <c r="AU28" s="207">
        <v>245.53</v>
      </c>
      <c r="AV28" s="207">
        <v>245.53</v>
      </c>
      <c r="AW28" s="207">
        <v>245.53</v>
      </c>
      <c r="AX28" s="207">
        <v>245.53</v>
      </c>
      <c r="AY28" s="207">
        <v>245.53</v>
      </c>
      <c r="AZ28" s="207">
        <v>245.54</v>
      </c>
      <c r="BA28" s="207">
        <v>245.53</v>
      </c>
      <c r="BB28" s="207"/>
      <c r="BC28" s="215">
        <f>Z28-AF28</f>
      </c>
      <c r="BD28" s="214">
        <f>IFERROR(AF28/Z28,0)</f>
      </c>
      <c r="BE28" s="214">
        <f>IFERROR(AF28/X28,0)</f>
      </c>
      <c r="BF28" s="214">
        <f>IFERROR(X28/SUM(X$28:X$39),)</f>
      </c>
      <c r="BG28" s="214">
        <f>BC28/SUM(BC$3:BC225)</f>
      </c>
      <c r="BH28" s="217">
        <f>BC28/'R&amp;H Portfolio'!Q$10</f>
      </c>
      <c r="BI28" s="215">
        <f>BF28*P28</f>
      </c>
      <c r="BJ28" s="73"/>
      <c r="BK28" s="220">
        <f>IF(BJ28="YES", BC28, "")</f>
      </c>
      <c r="BL28" s="17"/>
      <c r="BM28" s="4"/>
    </row>
    <row x14ac:dyDescent="0.25" r="29" customHeight="1" ht="15">
      <c r="A29" s="202">
        <v>25568.79196759259</v>
      </c>
      <c r="B29" s="203" t="s">
        <v>461</v>
      </c>
      <c r="C29" s="204" t="s">
        <v>462</v>
      </c>
      <c r="D29" s="70" t="s">
        <v>463</v>
      </c>
      <c r="E29" s="70" t="s">
        <v>464</v>
      </c>
      <c r="F29" s="70" t="s">
        <v>218</v>
      </c>
      <c r="G29" s="205">
        <v>743</v>
      </c>
      <c r="H29" s="206">
        <v>1.26</v>
      </c>
      <c r="I29" s="207">
        <v>0.07</v>
      </c>
      <c r="J29" s="208">
        <f>H29+I29</f>
      </c>
      <c r="K29" s="209">
        <v>550000</v>
      </c>
      <c r="L29" s="58">
        <f>K29*I29</f>
      </c>
      <c r="M29" s="58">
        <f>K29*J29</f>
      </c>
      <c r="N29" s="16"/>
      <c r="O29" s="210">
        <v>24</v>
      </c>
      <c r="P29" s="211">
        <f>IF(ISBLANK(N29),O29/4.3,N29/20)</f>
      </c>
      <c r="Q29" s="209">
        <v>7000</v>
      </c>
      <c r="R29" s="212" t="s">
        <v>133</v>
      </c>
      <c r="S29" s="3"/>
      <c r="T29" s="213">
        <f>IF(ISBLANK(R29),0,X29)</f>
      </c>
      <c r="U29" s="213">
        <f>IF(ISBLANK(S29),0,X29)</f>
      </c>
      <c r="V29" s="214">
        <f>IFERROR(Q29/K29,0)</f>
      </c>
      <c r="W29" s="58">
        <f>IFERROR(L29*V29,0)</f>
      </c>
      <c r="X29" s="213">
        <f>IFERROR(Q29+W29,0)</f>
      </c>
      <c r="Y29" s="213">
        <f>IFERROR(M29*V29,0)</f>
      </c>
      <c r="Z29" s="213">
        <f>Y29-(Y29*$B$1)</f>
      </c>
      <c r="AA29" s="67">
        <f>IFERROR(Z29/X29,0)</f>
      </c>
      <c r="AB29" s="215">
        <f>IFERROR(IF(ISBLANK(N29),Y29/O29,Y29/N29),0)</f>
      </c>
      <c r="AC29" s="215">
        <f>IFERROR(-1*(AB29*B$1),0)</f>
      </c>
      <c r="AD29" s="215">
        <f>IFERROR(SUM(AB29:AC29),0)</f>
      </c>
      <c r="AE29" s="215">
        <f>IF(ISBLANK(N29),AD29,AD29*5)</f>
      </c>
      <c r="AF29" s="216">
        <f>SUM(AG29:BB29)</f>
      </c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>
        <v>376.27</v>
      </c>
      <c r="AV29" s="207">
        <v>376.28</v>
      </c>
      <c r="AW29" s="207">
        <v>376.28</v>
      </c>
      <c r="AX29" s="207"/>
      <c r="AY29" s="207">
        <v>74.08</v>
      </c>
      <c r="AZ29" s="207">
        <v>74.07</v>
      </c>
      <c r="BA29" s="207">
        <v>74.07</v>
      </c>
      <c r="BB29" s="207">
        <v>92.59</v>
      </c>
      <c r="BC29" s="215">
        <f>Z29-AF29</f>
      </c>
      <c r="BD29" s="214">
        <f>IFERROR(AF29/Z29,0)</f>
      </c>
      <c r="BE29" s="214">
        <f>IFERROR(AF29/X29,0)</f>
      </c>
      <c r="BF29" s="214">
        <f>IFERROR(X29/SUM(X$28:X$39),)</f>
      </c>
      <c r="BG29" s="214">
        <f>BC29/SUM(BC$3:BC226)</f>
      </c>
      <c r="BH29" s="217">
        <f>BC29/'R&amp;H Portfolio'!Q$10</f>
      </c>
      <c r="BI29" s="215">
        <f>BF29*P29</f>
      </c>
      <c r="BJ29" s="73"/>
      <c r="BK29" s="220">
        <f>IF(BJ29="YES", BC29, "")</f>
      </c>
      <c r="BL29" s="17"/>
      <c r="BM29" s="4"/>
    </row>
    <row x14ac:dyDescent="0.25" r="30" customHeight="1" ht="15">
      <c r="A30" s="202">
        <v>25568.79196759259</v>
      </c>
      <c r="B30" s="203" t="s">
        <v>465</v>
      </c>
      <c r="C30" s="204" t="s">
        <v>466</v>
      </c>
      <c r="D30" s="70" t="s">
        <v>467</v>
      </c>
      <c r="E30" s="70" t="s">
        <v>468</v>
      </c>
      <c r="F30" s="70" t="s">
        <v>469</v>
      </c>
      <c r="G30" s="205">
        <v>705</v>
      </c>
      <c r="H30" s="206">
        <v>1.27</v>
      </c>
      <c r="I30" s="207">
        <v>0.03</v>
      </c>
      <c r="J30" s="208">
        <f>H30+I30</f>
      </c>
      <c r="K30" s="209">
        <v>250000</v>
      </c>
      <c r="L30" s="58">
        <f>K30*I30</f>
      </c>
      <c r="M30" s="58">
        <f>K30*J30</f>
      </c>
      <c r="N30" s="210">
        <v>126</v>
      </c>
      <c r="O30" s="16"/>
      <c r="P30" s="211">
        <f>IF(ISBLANK(N30),O30/4.3,N30/20)</f>
      </c>
      <c r="Q30" s="209">
        <v>7000</v>
      </c>
      <c r="R30" s="212" t="s">
        <v>301</v>
      </c>
      <c r="S30" s="3"/>
      <c r="T30" s="213">
        <f>IF(ISBLANK(R30),0,X30)</f>
      </c>
      <c r="U30" s="213">
        <f>IF(ISBLANK(S30),0,X30)</f>
      </c>
      <c r="V30" s="214">
        <f>IFERROR(Q30/K30,0)</f>
      </c>
      <c r="W30" s="58">
        <f>IFERROR(L30*V30,0)</f>
      </c>
      <c r="X30" s="213">
        <f>IFERROR(Q30+W30,0)</f>
      </c>
      <c r="Y30" s="213">
        <f>IFERROR(M30*V30,0)</f>
      </c>
      <c r="Z30" s="213">
        <f>Y30-(Y30*$B$1)</f>
      </c>
      <c r="AA30" s="67">
        <f>IFERROR(Z30/X30,0)</f>
      </c>
      <c r="AB30" s="215">
        <f>IFERROR(IF(ISBLANK(N30),Y30/O30,Y30/N30),0)</f>
      </c>
      <c r="AC30" s="215">
        <f>IFERROR(-1*(AB30*B$1),0)</f>
      </c>
      <c r="AD30" s="215">
        <f>IFERROR(SUM(AB30:AC30),0)</f>
      </c>
      <c r="AE30" s="215">
        <f>IF(ISBLANK(N30),AD30,AD30*5)</f>
      </c>
      <c r="AF30" s="216">
        <f>SUM(AG30:BB30)</f>
      </c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>
        <v>280.22</v>
      </c>
      <c r="AV30" s="207">
        <v>350.28</v>
      </c>
      <c r="AW30" s="207">
        <v>420.33</v>
      </c>
      <c r="AX30" s="207">
        <v>350.28</v>
      </c>
      <c r="AY30" s="207">
        <v>210.17</v>
      </c>
      <c r="AZ30" s="207">
        <v>420.33</v>
      </c>
      <c r="BA30" s="207">
        <v>280.22</v>
      </c>
      <c r="BB30" s="207">
        <v>490.39</v>
      </c>
      <c r="BC30" s="215">
        <f>Z30-AF30</f>
      </c>
      <c r="BD30" s="214">
        <f>IFERROR(AF30/Z30,0)</f>
      </c>
      <c r="BE30" s="214">
        <f>IFERROR(AF30/X30,0)</f>
      </c>
      <c r="BF30" s="214">
        <f>IFERROR(X30/SUM(X$28:X$39),)</f>
      </c>
      <c r="BG30" s="214">
        <f>BC30/SUM(BC$3:BC227)</f>
      </c>
      <c r="BH30" s="217">
        <f>BC30/'R&amp;H Portfolio'!Q$10</f>
      </c>
      <c r="BI30" s="215">
        <f>BF30*P30</f>
      </c>
      <c r="BJ30" s="73"/>
      <c r="BK30" s="220">
        <f>IF(BJ30="YES", BC30, "")</f>
      </c>
      <c r="BL30" s="17"/>
      <c r="BM30" s="4"/>
    </row>
    <row x14ac:dyDescent="0.25" r="31" customHeight="1" ht="15">
      <c r="A31" s="202">
        <v>25568.79196759259</v>
      </c>
      <c r="B31" s="203" t="s">
        <v>470</v>
      </c>
      <c r="C31" s="3"/>
      <c r="D31" s="70" t="s">
        <v>467</v>
      </c>
      <c r="E31" s="70" t="s">
        <v>390</v>
      </c>
      <c r="F31" s="70" t="s">
        <v>218</v>
      </c>
      <c r="G31" s="205">
        <v>728</v>
      </c>
      <c r="H31" s="206">
        <v>1.33</v>
      </c>
      <c r="I31" s="207">
        <v>0.12</v>
      </c>
      <c r="J31" s="208">
        <f>H31+I31</f>
      </c>
      <c r="K31" s="209">
        <v>60000</v>
      </c>
      <c r="L31" s="58">
        <f>K31*I31</f>
      </c>
      <c r="M31" s="58">
        <f>K31*J31</f>
      </c>
      <c r="N31" s="16"/>
      <c r="O31" s="210">
        <v>30</v>
      </c>
      <c r="P31" s="211">
        <f>IF(ISBLANK(N31),O31/4.3,N31/20)</f>
      </c>
      <c r="Q31" s="209">
        <v>5000</v>
      </c>
      <c r="R31" s="3"/>
      <c r="S31" s="212" t="s">
        <v>82</v>
      </c>
      <c r="T31" s="213">
        <f>IF(ISBLANK(R31),0,X31)</f>
      </c>
      <c r="U31" s="213">
        <f>IF(ISBLANK(S31),0,X31)</f>
      </c>
      <c r="V31" s="214">
        <f>IFERROR(Q31/K31,0)</f>
      </c>
      <c r="W31" s="58">
        <f>IFERROR(L31*V31,0)</f>
      </c>
      <c r="X31" s="213">
        <f>IFERROR(Q31+W31,0)</f>
      </c>
      <c r="Y31" s="213">
        <f>IFERROR(M31*V31,0)</f>
      </c>
      <c r="Z31" s="213">
        <f>Y31-(Y31*$B$1)</f>
      </c>
      <c r="AA31" s="67">
        <f>IFERROR(Z31/X31,0)</f>
      </c>
      <c r="AB31" s="215">
        <f>IFERROR(IF(ISBLANK(N31),Y31/O31,Y31/N31),0)</f>
      </c>
      <c r="AC31" s="215">
        <f>IFERROR(-1*(AB31*B$1),0)</f>
      </c>
      <c r="AD31" s="215">
        <f>IFERROR(SUM(AB31:AC31),0)</f>
      </c>
      <c r="AE31" s="215">
        <f>IF(ISBLANK(N31),AD31,AD31*5)</f>
      </c>
      <c r="AF31" s="216">
        <f>SUM(AG31:BB31)</f>
      </c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>
        <v>234.41</v>
      </c>
      <c r="AV31" s="207">
        <v>234.42</v>
      </c>
      <c r="AW31" s="207">
        <v>234.42</v>
      </c>
      <c r="AX31" s="207">
        <v>234.41</v>
      </c>
      <c r="AY31" s="207">
        <v>234.42</v>
      </c>
      <c r="AZ31" s="207">
        <v>234.42</v>
      </c>
      <c r="BA31" s="207">
        <v>234.41</v>
      </c>
      <c r="BB31" s="207">
        <v>234.42</v>
      </c>
      <c r="BC31" s="215">
        <f>Z31-AF31</f>
      </c>
      <c r="BD31" s="214">
        <f>IFERROR(AF31/Z31,0)</f>
      </c>
      <c r="BE31" s="214">
        <f>IFERROR(AF31/X31,0)</f>
      </c>
      <c r="BF31" s="214">
        <f>IFERROR(X31/SUM(X$28:X$39),)</f>
      </c>
      <c r="BG31" s="214">
        <f>BC31/SUM(BC$3:BC228)</f>
      </c>
      <c r="BH31" s="217">
        <f>BC31/'R&amp;H Portfolio'!Q$10</f>
      </c>
      <c r="BI31" s="215">
        <f>BF31*P31</f>
      </c>
      <c r="BJ31" s="3"/>
      <c r="BK31" s="3"/>
      <c r="BL31" s="17"/>
      <c r="BM31" s="4"/>
    </row>
    <row x14ac:dyDescent="0.25" r="32" customHeight="1" ht="15">
      <c r="A32" s="202">
        <v>25568.79196759259</v>
      </c>
      <c r="B32" s="203" t="s">
        <v>471</v>
      </c>
      <c r="C32" s="204" t="s">
        <v>472</v>
      </c>
      <c r="D32" s="70" t="s">
        <v>473</v>
      </c>
      <c r="E32" s="70" t="s">
        <v>149</v>
      </c>
      <c r="F32" s="70" t="s">
        <v>218</v>
      </c>
      <c r="G32" s="205">
        <v>840</v>
      </c>
      <c r="H32" s="206">
        <v>1.3</v>
      </c>
      <c r="I32" s="207">
        <v>0.12</v>
      </c>
      <c r="J32" s="208">
        <f>H32+I32</f>
      </c>
      <c r="K32" s="209">
        <v>70000</v>
      </c>
      <c r="L32" s="58">
        <f>K32*I32</f>
      </c>
      <c r="M32" s="58">
        <f>K32*J32</f>
      </c>
      <c r="N32" s="16"/>
      <c r="O32" s="210">
        <v>28</v>
      </c>
      <c r="P32" s="211">
        <f>IF(ISBLANK(N32),O32/4.3,N32/20)</f>
      </c>
      <c r="Q32" s="209">
        <v>7000</v>
      </c>
      <c r="R32" s="3"/>
      <c r="S32" s="212" t="s">
        <v>82</v>
      </c>
      <c r="T32" s="213">
        <f>IF(ISBLANK(R32),0,X32)</f>
      </c>
      <c r="U32" s="213">
        <f>IF(ISBLANK(S32),0,X32)</f>
      </c>
      <c r="V32" s="214">
        <f>IFERROR(Q32/K32,0)</f>
      </c>
      <c r="W32" s="58">
        <f>IFERROR(L32*V32,0)</f>
      </c>
      <c r="X32" s="213">
        <f>IFERROR(Q32+W32,0)</f>
      </c>
      <c r="Y32" s="213">
        <f>IFERROR(M32*V32,0)</f>
      </c>
      <c r="Z32" s="213">
        <f>Y32-(Y32*$B$1)</f>
      </c>
      <c r="AA32" s="67">
        <f>IFERROR(Z32/X32,0)</f>
      </c>
      <c r="AB32" s="215">
        <f>IFERROR(IF(ISBLANK(N32),Y32/O32,Y32/N32),0)</f>
      </c>
      <c r="AC32" s="215">
        <f>IFERROR(-1*(AB32*B$1),0)</f>
      </c>
      <c r="AD32" s="215">
        <f>IFERROR(SUM(AB32:AC32),0)</f>
      </c>
      <c r="AE32" s="215">
        <f>IF(ISBLANK(N32),AD32,AD32*5)</f>
      </c>
      <c r="AF32" s="216">
        <f>SUM(AG32:BB32)</f>
      </c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>
        <v>344.35</v>
      </c>
      <c r="AW32" s="207"/>
      <c r="AX32" s="207"/>
      <c r="AY32" s="207">
        <v>344.35</v>
      </c>
      <c r="AZ32" s="207"/>
      <c r="BA32" s="207">
        <v>344.35</v>
      </c>
      <c r="BB32" s="207">
        <v>688.7</v>
      </c>
      <c r="BC32" s="215">
        <f>Z32-AF32</f>
      </c>
      <c r="BD32" s="214">
        <f>IFERROR(AF32/Z32,0)</f>
      </c>
      <c r="BE32" s="214">
        <f>IFERROR(AF32/X32,0)</f>
      </c>
      <c r="BF32" s="214">
        <f>IFERROR(X32/SUM(X$28:X$39),)</f>
      </c>
      <c r="BG32" s="214">
        <f>BC32/SUM(BC$3:BC229)</f>
      </c>
      <c r="BH32" s="217">
        <f>BC32/'R&amp;H Portfolio'!Q$10</f>
      </c>
      <c r="BI32" s="215">
        <f>BF32*P32</f>
      </c>
      <c r="BJ32" s="3"/>
      <c r="BK32" s="3"/>
      <c r="BL32" s="17"/>
      <c r="BM32" s="4"/>
    </row>
    <row x14ac:dyDescent="0.25" r="33" customHeight="1" ht="15">
      <c r="A33" s="202">
        <v>25568.79196759259</v>
      </c>
      <c r="B33" s="203" t="s">
        <v>474</v>
      </c>
      <c r="C33" s="204" t="s">
        <v>475</v>
      </c>
      <c r="D33" s="70" t="s">
        <v>476</v>
      </c>
      <c r="E33" s="70" t="s">
        <v>477</v>
      </c>
      <c r="F33" s="70" t="s">
        <v>478</v>
      </c>
      <c r="G33" s="205">
        <v>615</v>
      </c>
      <c r="H33" s="206">
        <v>1.35</v>
      </c>
      <c r="I33" s="207">
        <v>0.12</v>
      </c>
      <c r="J33" s="208">
        <f>H33+I33</f>
      </c>
      <c r="K33" s="209">
        <v>50000</v>
      </c>
      <c r="L33" s="58">
        <f>K33*I33</f>
      </c>
      <c r="M33" s="58">
        <f>K33*J33</f>
      </c>
      <c r="N33" s="16"/>
      <c r="O33" s="210">
        <v>26</v>
      </c>
      <c r="P33" s="211">
        <f>IF(ISBLANK(N33),O33/4.3,N33/20)</f>
      </c>
      <c r="Q33" s="209">
        <v>5000</v>
      </c>
      <c r="R33" s="3"/>
      <c r="S33" s="212" t="s">
        <v>82</v>
      </c>
      <c r="T33" s="213">
        <f>IF(ISBLANK(R33),0,X33)</f>
      </c>
      <c r="U33" s="213">
        <f>IF(ISBLANK(S33),0,X33)</f>
      </c>
      <c r="V33" s="214">
        <f>IFERROR(Q33/K33,0)</f>
      </c>
      <c r="W33" s="58">
        <f>IFERROR(L33*V33,0)</f>
      </c>
      <c r="X33" s="213">
        <f>IFERROR(Q33+W33,0)</f>
      </c>
      <c r="Y33" s="213">
        <f>IFERROR(M33*V33,0)</f>
      </c>
      <c r="Z33" s="213">
        <f>Y33-(Y33*$B$1)</f>
      </c>
      <c r="AA33" s="67">
        <f>IFERROR(Z33/X33,0)</f>
      </c>
      <c r="AB33" s="215">
        <f>IFERROR(IF(ISBLANK(N33),Y33/O33,Y33/N33),0)</f>
      </c>
      <c r="AC33" s="215">
        <f>IFERROR(-1*(AB33*B$1),0)</f>
      </c>
      <c r="AD33" s="215">
        <f>IFERROR(SUM(AB33:AC33),0)</f>
      </c>
      <c r="AE33" s="215">
        <f>IF(ISBLANK(N33),AD33,AD33*5)</f>
      </c>
      <c r="AF33" s="216">
        <f>SUM(AG33:BB33)</f>
      </c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>
        <v>274.21</v>
      </c>
      <c r="AX33" s="207">
        <v>274.21</v>
      </c>
      <c r="AY33" s="207">
        <v>274.21</v>
      </c>
      <c r="AZ33" s="207">
        <v>274.21</v>
      </c>
      <c r="BA33" s="207">
        <v>274.21</v>
      </c>
      <c r="BB33" s="207">
        <v>274.21</v>
      </c>
      <c r="BC33" s="215">
        <f>Z33-AF33</f>
      </c>
      <c r="BD33" s="214">
        <f>IFERROR(AF33/Z33,0)</f>
      </c>
      <c r="BE33" s="214">
        <f>IFERROR(AF33/X33,0)</f>
      </c>
      <c r="BF33" s="214">
        <f>IFERROR(X33/SUM(X$28:X$39),)</f>
      </c>
      <c r="BG33" s="214">
        <f>BC33/SUM(BC$3:BC230)</f>
      </c>
      <c r="BH33" s="217">
        <f>BC33/'R&amp;H Portfolio'!Q$10</f>
      </c>
      <c r="BI33" s="215">
        <f>BF33*P33</f>
      </c>
      <c r="BJ33" s="3"/>
      <c r="BK33" s="3"/>
      <c r="BL33" s="17"/>
      <c r="BM33" s="4"/>
    </row>
    <row x14ac:dyDescent="0.25" r="34" customHeight="1" ht="15">
      <c r="A34" s="202">
        <v>25568.79196759259</v>
      </c>
      <c r="B34" s="203" t="s">
        <v>479</v>
      </c>
      <c r="C34" s="204" t="s">
        <v>480</v>
      </c>
      <c r="D34" s="70" t="s">
        <v>481</v>
      </c>
      <c r="E34" s="70" t="s">
        <v>201</v>
      </c>
      <c r="F34" s="70" t="s">
        <v>226</v>
      </c>
      <c r="G34" s="205">
        <v>620</v>
      </c>
      <c r="H34" s="206">
        <v>1.32</v>
      </c>
      <c r="I34" s="207">
        <v>0.09</v>
      </c>
      <c r="J34" s="208">
        <f>H34+I34</f>
      </c>
      <c r="K34" s="209">
        <v>39000</v>
      </c>
      <c r="L34" s="58">
        <f>K34*I34</f>
      </c>
      <c r="M34" s="58">
        <f>K34*J34</f>
      </c>
      <c r="N34" s="16"/>
      <c r="O34" s="210">
        <v>29</v>
      </c>
      <c r="P34" s="211">
        <f>IF(ISBLANK(N34),O34/4.3,N34/20)</f>
      </c>
      <c r="Q34" s="209">
        <v>4000</v>
      </c>
      <c r="R34" s="3"/>
      <c r="S34" s="212" t="s">
        <v>82</v>
      </c>
      <c r="T34" s="213">
        <f>IF(ISBLANK(R34),0,X34)</f>
      </c>
      <c r="U34" s="213">
        <f>IF(ISBLANK(S34),0,X34)</f>
      </c>
      <c r="V34" s="214">
        <f>IFERROR(Q34/K34,0)</f>
      </c>
      <c r="W34" s="58">
        <f>IFERROR(L34*V34,0)</f>
      </c>
      <c r="X34" s="213">
        <f>IFERROR(Q34+W34,0)</f>
      </c>
      <c r="Y34" s="213">
        <f>IFERROR(M34*V34,0)</f>
      </c>
      <c r="Z34" s="213">
        <f>Y34-(Y34*$B$1)</f>
      </c>
      <c r="AA34" s="67">
        <f>IFERROR(Z34/X34,0)</f>
      </c>
      <c r="AB34" s="215">
        <f>IFERROR(IF(ISBLANK(N34),Y34/O34,Y34/N34),0)</f>
      </c>
      <c r="AC34" s="215">
        <f>IFERROR(-1*(AB34*B$1),0)</f>
      </c>
      <c r="AD34" s="215">
        <f>IFERROR(SUM(AB34:AC34),0)</f>
      </c>
      <c r="AE34" s="215">
        <f>IF(ISBLANK(N34),AD34,AD34*5)</f>
      </c>
      <c r="AF34" s="216">
        <f>SUM(AG34:BB34)</f>
      </c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>
        <v>377.29</v>
      </c>
      <c r="AX34" s="207">
        <v>188.65</v>
      </c>
      <c r="AY34" s="207">
        <v>188.65</v>
      </c>
      <c r="AZ34" s="207"/>
      <c r="BA34" s="207">
        <v>188.65</v>
      </c>
      <c r="BB34" s="207">
        <v>377.3</v>
      </c>
      <c r="BC34" s="215">
        <f>Z34-AF34</f>
      </c>
      <c r="BD34" s="214">
        <f>IFERROR(AF34/Z34,0)</f>
      </c>
      <c r="BE34" s="214">
        <f>IFERROR(AF34/X34,0)</f>
      </c>
      <c r="BF34" s="214">
        <f>IFERROR(X34/SUM(X$28:X$39),)</f>
      </c>
      <c r="BG34" s="214">
        <f>BC34/SUM(BC$3:BC231)</f>
      </c>
      <c r="BH34" s="217">
        <f>BC34/'R&amp;H Portfolio'!Q$10</f>
      </c>
      <c r="BI34" s="215">
        <f>BF34*P34</f>
      </c>
      <c r="BJ34" s="3"/>
      <c r="BK34" s="3"/>
      <c r="BL34" s="17"/>
      <c r="BM34" s="4"/>
    </row>
    <row x14ac:dyDescent="0.25" r="35" customHeight="1" ht="15">
      <c r="A35" s="202">
        <v>25568.79196759259</v>
      </c>
      <c r="B35" s="203" t="s">
        <v>482</v>
      </c>
      <c r="C35" s="204" t="s">
        <v>483</v>
      </c>
      <c r="D35" s="70" t="s">
        <v>484</v>
      </c>
      <c r="E35" s="70" t="s">
        <v>485</v>
      </c>
      <c r="F35" s="70" t="s">
        <v>226</v>
      </c>
      <c r="G35" s="205">
        <v>670</v>
      </c>
      <c r="H35" s="206">
        <v>1.34</v>
      </c>
      <c r="I35" s="207">
        <v>0.1</v>
      </c>
      <c r="J35" s="208">
        <f>H35+I35</f>
      </c>
      <c r="K35" s="209">
        <v>600000</v>
      </c>
      <c r="L35" s="58">
        <f>K35*I35</f>
      </c>
      <c r="M35" s="58">
        <f>K35*J35</f>
      </c>
      <c r="N35" s="16"/>
      <c r="O35" s="210">
        <v>29</v>
      </c>
      <c r="P35" s="211">
        <f>IF(ISBLANK(N35),O35/4.3,N35/20)</f>
      </c>
      <c r="Q35" s="209">
        <v>12000</v>
      </c>
      <c r="R35" s="212" t="s">
        <v>133</v>
      </c>
      <c r="S35" s="3"/>
      <c r="T35" s="213">
        <f>IF(ISBLANK(R35),0,X35)</f>
      </c>
      <c r="U35" s="213">
        <f>IF(ISBLANK(S35),0,X35)</f>
      </c>
      <c r="V35" s="214">
        <f>IFERROR(Q35/K35,0)</f>
      </c>
      <c r="W35" s="58">
        <f>IFERROR(L35*V35,0)</f>
      </c>
      <c r="X35" s="213">
        <f>IFERROR(Q35+W35,0)</f>
      </c>
      <c r="Y35" s="213">
        <f>IFERROR(M35*V35,0)</f>
      </c>
      <c r="Z35" s="213">
        <f>Y35-(Y35*$B$1)</f>
      </c>
      <c r="AA35" s="67">
        <f>IFERROR(Z35/X35,0)</f>
      </c>
      <c r="AB35" s="215">
        <f>IFERROR(IF(ISBLANK(N35),Y35/O35,Y35/N35),0)</f>
      </c>
      <c r="AC35" s="215">
        <f>IFERROR(-1*(AB35*B$1),0)</f>
      </c>
      <c r="AD35" s="215">
        <f>IFERROR(SUM(AB35:AC35),0)</f>
      </c>
      <c r="AE35" s="215">
        <f>IF(ISBLANK(N35),AD35,AD35*5)</f>
      </c>
      <c r="AF35" s="216">
        <f>SUM(AG35:BB35)</f>
      </c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>
        <v>598.62</v>
      </c>
      <c r="AY35" s="207">
        <v>598.63</v>
      </c>
      <c r="AZ35" s="207">
        <v>598.63</v>
      </c>
      <c r="BA35" s="207">
        <v>598.63</v>
      </c>
      <c r="BB35" s="207">
        <v>598.63</v>
      </c>
      <c r="BC35" s="215">
        <f>Z35-AF35</f>
      </c>
      <c r="BD35" s="214">
        <f>IFERROR(AF35/Z35,0)</f>
      </c>
      <c r="BE35" s="214">
        <f>IFERROR(AF35/X35,0)</f>
      </c>
      <c r="BF35" s="214">
        <f>IFERROR(X35/SUM(X$28:X$39),)</f>
      </c>
      <c r="BG35" s="214">
        <f>BC35/SUM(BC$3:BC232)</f>
      </c>
      <c r="BH35" s="217">
        <f>BC35/'R&amp;H Portfolio'!Q$10</f>
      </c>
      <c r="BI35" s="215">
        <f>BF35*P35</f>
      </c>
      <c r="BJ35" s="3"/>
      <c r="BK35" s="3"/>
      <c r="BL35" s="17"/>
      <c r="BM35" s="4"/>
    </row>
    <row x14ac:dyDescent="0.25" r="36" customHeight="1" ht="15">
      <c r="A36" s="202">
        <v>25568.79196759259</v>
      </c>
      <c r="B36" s="203" t="s">
        <v>486</v>
      </c>
      <c r="C36" s="70" t="s">
        <v>372</v>
      </c>
      <c r="D36" s="70" t="s">
        <v>487</v>
      </c>
      <c r="E36" s="70" t="s">
        <v>201</v>
      </c>
      <c r="F36" s="70" t="s">
        <v>226</v>
      </c>
      <c r="G36" s="205">
        <v>701</v>
      </c>
      <c r="H36" s="206">
        <v>1.3</v>
      </c>
      <c r="I36" s="207">
        <v>0.12</v>
      </c>
      <c r="J36" s="208">
        <f>H36+I36</f>
      </c>
      <c r="K36" s="209">
        <v>35000</v>
      </c>
      <c r="L36" s="58">
        <f>K36*I36</f>
      </c>
      <c r="M36" s="58">
        <f>K36*J36</f>
      </c>
      <c r="N36" s="16"/>
      <c r="O36" s="210">
        <v>26</v>
      </c>
      <c r="P36" s="211">
        <f>IF(ISBLANK(N36),O36/4.3,N36/20)</f>
      </c>
      <c r="Q36" s="209">
        <v>3500</v>
      </c>
      <c r="R36" s="3"/>
      <c r="S36" s="212" t="s">
        <v>82</v>
      </c>
      <c r="T36" s="213">
        <f>IF(ISBLANK(R36),0,X36)</f>
      </c>
      <c r="U36" s="213">
        <f>IF(ISBLANK(S36),0,X36)</f>
      </c>
      <c r="V36" s="214">
        <f>IFERROR(Q36/K36,0)</f>
      </c>
      <c r="W36" s="58">
        <f>IFERROR(L36*V36,0)</f>
      </c>
      <c r="X36" s="213">
        <f>IFERROR(Q36+W36,0)</f>
      </c>
      <c r="Y36" s="213">
        <f>IFERROR(M36*V36,0)</f>
      </c>
      <c r="Z36" s="213">
        <f>Y36-(Y36*$B$1)</f>
      </c>
      <c r="AA36" s="67">
        <f>IFERROR(Z36/X36,0)</f>
      </c>
      <c r="AB36" s="215">
        <f>IFERROR(IF(ISBLANK(N36),Y36/O36,Y36/N36),0)</f>
      </c>
      <c r="AC36" s="215">
        <f>IFERROR(-1*(AB36*B$1),0)</f>
      </c>
      <c r="AD36" s="215">
        <f>IFERROR(SUM(AB36:AC36),0)</f>
      </c>
      <c r="AE36" s="215">
        <f>IF(ISBLANK(N36),AD36,AD36*5)</f>
      </c>
      <c r="AF36" s="216">
        <f>SUM(AG36:BB36)</f>
      </c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>
        <v>185.41</v>
      </c>
      <c r="AY36" s="207">
        <v>185.42</v>
      </c>
      <c r="AZ36" s="207">
        <v>185.42</v>
      </c>
      <c r="BA36" s="207">
        <v>185.42</v>
      </c>
      <c r="BB36" s="207">
        <v>185.42</v>
      </c>
      <c r="BC36" s="215">
        <f>Z36-AF36</f>
      </c>
      <c r="BD36" s="214">
        <f>IFERROR(AF36/Z36,0)</f>
      </c>
      <c r="BE36" s="214">
        <f>IFERROR(AF36/X36,0)</f>
      </c>
      <c r="BF36" s="214">
        <f>IFERROR(X36/SUM(X$28:X$39),)</f>
      </c>
      <c r="BG36" s="214">
        <f>BC36/SUM(BC$3:BC233)</f>
      </c>
      <c r="BH36" s="217">
        <f>BC36/'R&amp;H Portfolio'!Q$10</f>
      </c>
      <c r="BI36" s="215">
        <f>BF36*P36</f>
      </c>
      <c r="BJ36" s="3"/>
      <c r="BK36" s="3"/>
      <c r="BL36" s="17"/>
      <c r="BM36" s="4"/>
    </row>
    <row x14ac:dyDescent="0.25" r="37" customHeight="1" ht="15">
      <c r="A37" s="202">
        <v>25568.79196759259</v>
      </c>
      <c r="B37" s="203" t="s">
        <v>488</v>
      </c>
      <c r="C37" s="204" t="s">
        <v>489</v>
      </c>
      <c r="D37" s="70" t="s">
        <v>490</v>
      </c>
      <c r="E37" s="70" t="s">
        <v>164</v>
      </c>
      <c r="F37" s="70" t="s">
        <v>226</v>
      </c>
      <c r="G37" s="205">
        <v>577</v>
      </c>
      <c r="H37" s="206">
        <v>1.35</v>
      </c>
      <c r="I37" s="207">
        <v>0.12</v>
      </c>
      <c r="J37" s="208">
        <f>H37+I37</f>
      </c>
      <c r="K37" s="209">
        <v>35000</v>
      </c>
      <c r="L37" s="58">
        <f>K37*I37</f>
      </c>
      <c r="M37" s="58">
        <f>K37*J37</f>
      </c>
      <c r="N37" s="210">
        <v>126</v>
      </c>
      <c r="O37" s="16"/>
      <c r="P37" s="211">
        <f>IF(ISBLANK(N37),O37/4.3,N37/20)</f>
      </c>
      <c r="Q37" s="209">
        <v>2000</v>
      </c>
      <c r="R37" s="3"/>
      <c r="S37" s="212" t="s">
        <v>82</v>
      </c>
      <c r="T37" s="213">
        <f>IF(ISBLANK(R37),0,X37)</f>
      </c>
      <c r="U37" s="213">
        <f>IF(ISBLANK(S37),0,X37)</f>
      </c>
      <c r="V37" s="214">
        <f>IFERROR(Q37/K37,0)</f>
      </c>
      <c r="W37" s="58">
        <f>IFERROR(L37*V37,0)</f>
      </c>
      <c r="X37" s="213">
        <f>IFERROR(Q37+W37,0)</f>
      </c>
      <c r="Y37" s="213">
        <f>IFERROR(M37*V37,0)</f>
      </c>
      <c r="Z37" s="213">
        <f>Y37-(Y37*$B$1)</f>
      </c>
      <c r="AA37" s="67">
        <f>IFERROR(Z37/X37,0)</f>
      </c>
      <c r="AB37" s="215">
        <f>IFERROR(IF(ISBLANK(N37),Y37/O37,Y37/N37),0)</f>
      </c>
      <c r="AC37" s="215">
        <f>IFERROR(-1*(AB37*B$1),0)</f>
      </c>
      <c r="AD37" s="215">
        <f>IFERROR(SUM(AB37:AC37),0)</f>
      </c>
      <c r="AE37" s="215">
        <f>IF(ISBLANK(N37),AD37,AD37*5)</f>
      </c>
      <c r="AF37" s="216">
        <f>SUM(AG37:BB37)</f>
      </c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>
        <v>113.16</v>
      </c>
      <c r="AY37" s="207">
        <v>113.17</v>
      </c>
      <c r="AZ37" s="207">
        <v>45.26</v>
      </c>
      <c r="BA37" s="207">
        <v>67.89999999999999</v>
      </c>
      <c r="BB37" s="207">
        <v>22.64</v>
      </c>
      <c r="BC37" s="215">
        <f>Z37-AF37</f>
      </c>
      <c r="BD37" s="214">
        <f>IFERROR(AF37/Z37,0)</f>
      </c>
      <c r="BE37" s="214">
        <f>IFERROR(AF37/X37,0)</f>
      </c>
      <c r="BF37" s="214">
        <f>IFERROR(X37/SUM(X$28:X$39),)</f>
      </c>
      <c r="BG37" s="214">
        <f>BC37/SUM(BC$3:BC234)</f>
      </c>
      <c r="BH37" s="217">
        <f>BC37/'R&amp;H Portfolio'!Q$10</f>
      </c>
      <c r="BI37" s="215">
        <f>BF37*P37</f>
      </c>
      <c r="BJ37" s="3"/>
      <c r="BK37" s="3"/>
      <c r="BL37" s="17"/>
      <c r="BM37" s="4"/>
    </row>
    <row x14ac:dyDescent="0.25" r="38" customHeight="1" ht="15">
      <c r="A38" s="17"/>
      <c r="B38" s="203" t="s">
        <v>491</v>
      </c>
      <c r="C38" s="70" t="s">
        <v>492</v>
      </c>
      <c r="D38" s="70" t="s">
        <v>493</v>
      </c>
      <c r="E38" s="70" t="s">
        <v>164</v>
      </c>
      <c r="F38" s="70" t="s">
        <v>170</v>
      </c>
      <c r="G38" s="205"/>
      <c r="H38" s="18"/>
      <c r="I38" s="18"/>
      <c r="J38" s="208">
        <f>H38+I38</f>
      </c>
      <c r="K38" s="209"/>
      <c r="L38" s="58">
        <f>K38*I38</f>
      </c>
      <c r="M38" s="58">
        <f>K38*J38</f>
      </c>
      <c r="N38" s="16"/>
      <c r="O38" s="16"/>
      <c r="P38" s="211">
        <f>IF(ISBLANK(N38),O38/4.3,N38/20)</f>
      </c>
      <c r="Q38" s="209"/>
      <c r="R38" s="3"/>
      <c r="S38" s="3"/>
      <c r="T38" s="213">
        <f>IF(ISBLANK(R38),0,X38)</f>
      </c>
      <c r="U38" s="213">
        <f>IF(ISBLANK(S38),0,X38)</f>
      </c>
      <c r="V38" s="214">
        <f>IFERROR(Q38/K38,0)</f>
      </c>
      <c r="W38" s="58">
        <f>IFERROR(L38*V38,0)</f>
      </c>
      <c r="X38" s="213">
        <f>IFERROR(Q38+W38,0)</f>
      </c>
      <c r="Y38" s="213">
        <f>IFERROR(M38*V38,0)</f>
      </c>
      <c r="Z38" s="213">
        <f>Y38-(Y38*$B$1)</f>
      </c>
      <c r="AA38" s="67">
        <f>IFERROR(Z38/X38,0)</f>
      </c>
      <c r="AB38" s="215">
        <f>IFERROR(IF(ISBLANK(N38),Y38/O38,Y38/N38),0)</f>
      </c>
      <c r="AC38" s="215">
        <f>IFERROR(-1*(AB38*B$1),0)</f>
      </c>
      <c r="AD38" s="215">
        <f>IFERROR(SUM(AB38:AC38),0)</f>
      </c>
      <c r="AE38" s="215">
        <f>IF(ISBLANK(N38),AD38,AD38*5)</f>
      </c>
      <c r="AF38" s="216">
        <f>SUM(AG38:BB38)</f>
      </c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15">
        <f>Z38-AF38</f>
      </c>
      <c r="BD38" s="214">
        <f>IFERROR(AF38/Z38,0)</f>
      </c>
      <c r="BE38" s="214">
        <f>IFERROR(AF38/X38,0)</f>
      </c>
      <c r="BF38" s="214">
        <f>IFERROR(X38/SUM(X$28:X$39),)</f>
      </c>
      <c r="BG38" s="214">
        <f>BC38/SUM(BC$3:BC235)</f>
      </c>
      <c r="BH38" s="217">
        <f>BC38/'R&amp;H Portfolio'!Q$10</f>
      </c>
      <c r="BI38" s="215">
        <f>BF38*P38</f>
      </c>
      <c r="BJ38" s="3"/>
      <c r="BK38" s="3"/>
      <c r="BL38" s="17"/>
      <c r="BM38" s="4"/>
    </row>
    <row x14ac:dyDescent="0.25" r="39" customHeight="1" ht="15">
      <c r="A39" s="223">
        <v>25568.79196759259</v>
      </c>
      <c r="B39" s="224" t="s">
        <v>494</v>
      </c>
      <c r="C39" s="225" t="s">
        <v>495</v>
      </c>
      <c r="D39" s="226" t="s">
        <v>496</v>
      </c>
      <c r="E39" s="226" t="s">
        <v>201</v>
      </c>
      <c r="F39" s="226" t="s">
        <v>226</v>
      </c>
      <c r="G39" s="245">
        <v>618</v>
      </c>
      <c r="H39" s="228">
        <v>1.36</v>
      </c>
      <c r="I39" s="229">
        <v>0.09</v>
      </c>
      <c r="J39" s="230">
        <f>H39+I39</f>
      </c>
      <c r="K39" s="231">
        <v>25000</v>
      </c>
      <c r="L39" s="232">
        <f>K39*I39</f>
      </c>
      <c r="M39" s="232">
        <f>K39*J39</f>
      </c>
      <c r="N39" s="233"/>
      <c r="O39" s="233">
        <v>22</v>
      </c>
      <c r="P39" s="234">
        <f>IF(ISBLANK(N39),O39/4.3,N39/20)</f>
      </c>
      <c r="Q39" s="231">
        <v>2500</v>
      </c>
      <c r="R39" s="246" t="s">
        <v>133</v>
      </c>
      <c r="S39" s="246"/>
      <c r="T39" s="239">
        <f>IF(ISBLANK(R39),0,X39)</f>
      </c>
      <c r="U39" s="239">
        <f>IF(ISBLANK(S39),0,X39)</f>
      </c>
      <c r="V39" s="238">
        <f>IFERROR(Q39/K39,0)</f>
      </c>
      <c r="W39" s="232">
        <f>IFERROR(L39*V39,0)</f>
      </c>
      <c r="X39" s="239">
        <f>IFERROR(Q39+W39,0)</f>
      </c>
      <c r="Y39" s="239">
        <f>IFERROR(M39*V39,0)</f>
      </c>
      <c r="Z39" s="239">
        <f>Y39-(Y39*$B$1)</f>
      </c>
      <c r="AA39" s="240">
        <f>IFERROR(Z39/X39,0)</f>
      </c>
      <c r="AB39" s="241">
        <f>IFERROR(IF(ISBLANK(N39),Y39/O39,Y39/N39),0)</f>
      </c>
      <c r="AC39" s="241">
        <f>IFERROR(-1*(AB39*B$1),0)</f>
      </c>
      <c r="AD39" s="241">
        <f>IFERROR(SUM(AB39:AC39),0)</f>
      </c>
      <c r="AE39" s="241">
        <f>IF(ISBLANK(N39),AD39,AD39*5)</f>
      </c>
      <c r="AF39" s="242">
        <f>SUM(AG39:BB39)</f>
      </c>
      <c r="AG39" s="229"/>
      <c r="AH39" s="229"/>
      <c r="AI39" s="229"/>
      <c r="AJ39" s="229"/>
      <c r="AK39" s="229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29"/>
      <c r="AX39" s="229">
        <v>159.82</v>
      </c>
      <c r="AY39" s="229">
        <v>159.83</v>
      </c>
      <c r="AZ39" s="229">
        <v>159.83</v>
      </c>
      <c r="BA39" s="229">
        <v>159.83</v>
      </c>
      <c r="BB39" s="229"/>
      <c r="BC39" s="241">
        <f>Z39-AF39</f>
      </c>
      <c r="BD39" s="238">
        <f>IFERROR(AF39/Z39,0)</f>
      </c>
      <c r="BE39" s="238">
        <f>IFERROR(AF39/X39,0)</f>
      </c>
      <c r="BF39" s="214">
        <f>IFERROR(X39/SUM(X$28:X$39),)</f>
      </c>
      <c r="BG39" s="238">
        <f>BC39/SUM(BC$3:BC236)</f>
      </c>
      <c r="BH39" s="217">
        <f>BC39/'R&amp;H Portfolio'!Q$10</f>
      </c>
      <c r="BI39" s="241">
        <f>BF39*P39</f>
      </c>
      <c r="BJ39" s="3"/>
      <c r="BK39" s="3"/>
      <c r="BL39" s="17"/>
      <c r="BM39" s="4"/>
    </row>
    <row x14ac:dyDescent="0.25" r="40" customHeight="1" ht="15">
      <c r="A40" s="202">
        <v>25568.79196759259</v>
      </c>
      <c r="B40" s="203" t="s">
        <v>497</v>
      </c>
      <c r="C40" s="204" t="s">
        <v>492</v>
      </c>
      <c r="D40" s="70" t="s">
        <v>498</v>
      </c>
      <c r="E40" s="70" t="s">
        <v>164</v>
      </c>
      <c r="F40" s="70" t="s">
        <v>170</v>
      </c>
      <c r="G40" s="205">
        <v>646</v>
      </c>
      <c r="H40" s="206">
        <v>1.33</v>
      </c>
      <c r="I40" s="207">
        <v>0.12</v>
      </c>
      <c r="J40" s="208">
        <f>H40+I40</f>
      </c>
      <c r="K40" s="209">
        <v>200000</v>
      </c>
      <c r="L40" s="58">
        <f>K40*I40</f>
      </c>
      <c r="M40" s="58">
        <f>K40*J40</f>
      </c>
      <c r="N40" s="16"/>
      <c r="O40" s="210">
        <v>32</v>
      </c>
      <c r="P40" s="211">
        <f>IF(ISBLANK(N40),O40/4.3,N40/20)</f>
      </c>
      <c r="Q40" s="209">
        <v>10000</v>
      </c>
      <c r="R40" s="212" t="s">
        <v>301</v>
      </c>
      <c r="S40" s="3"/>
      <c r="T40" s="213">
        <f>IF(ISBLANK(R40),0,X40)</f>
      </c>
      <c r="U40" s="213">
        <f>IF(ISBLANK(S40),0,X40)</f>
      </c>
      <c r="V40" s="214">
        <f>IFERROR(Q40/K40,0)</f>
      </c>
      <c r="W40" s="58">
        <f>IFERROR(L40*V40,0)</f>
      </c>
      <c r="X40" s="213">
        <f>IFERROR(Q40+W40,0)</f>
      </c>
      <c r="Y40" s="213">
        <f>IFERROR(M40*V40,0)</f>
      </c>
      <c r="Z40" s="213">
        <f>Y40-(Y40*$B$1)</f>
      </c>
      <c r="AA40" s="67">
        <f>IFERROR(Z40/X40,0)</f>
      </c>
      <c r="AB40" s="215">
        <f>IFERROR(IF(ISBLANK(N40),Y40/O40,Y40/N40),0)</f>
      </c>
      <c r="AC40" s="215">
        <f>IFERROR(-1*(AB40*B$1),0)</f>
      </c>
      <c r="AD40" s="215">
        <f>IFERROR(SUM(AB40:AC40),0)</f>
      </c>
      <c r="AE40" s="215">
        <f>IF(ISBLANK(N40),AD40,AD40*5)</f>
      </c>
      <c r="AF40" s="216">
        <f>SUM(AG40:BB40)</f>
      </c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>
        <v>439.53</v>
      </c>
      <c r="AY40" s="207">
        <v>439.53</v>
      </c>
      <c r="AZ40" s="207"/>
      <c r="BA40" s="207">
        <v>439.53</v>
      </c>
      <c r="BB40" s="207">
        <v>879.06</v>
      </c>
      <c r="BC40" s="215">
        <f>Z40-AF40</f>
      </c>
      <c r="BD40" s="214">
        <f>IFERROR(AF40/Z40,0)</f>
      </c>
      <c r="BE40" s="214">
        <f>IFERROR(AF40/X40,0)</f>
      </c>
      <c r="BF40" s="214">
        <f>IFERROR(X40/SUM(X$40:X$50),)</f>
      </c>
      <c r="BG40" s="214">
        <f>BC40/SUM(BC$3:BC237)</f>
      </c>
      <c r="BH40" s="217">
        <f>BC40/'R&amp;H Portfolio'!Q$10</f>
      </c>
      <c r="BI40" s="215">
        <f>BF40*P40</f>
      </c>
      <c r="BJ40" s="3"/>
      <c r="BK40" s="3"/>
      <c r="BL40" s="17"/>
      <c r="BM40" s="4"/>
    </row>
    <row x14ac:dyDescent="0.25" r="41" customHeight="1" ht="15">
      <c r="A41" s="202">
        <v>25568.79196759259</v>
      </c>
      <c r="B41" s="203" t="s">
        <v>499</v>
      </c>
      <c r="C41" s="204" t="s">
        <v>500</v>
      </c>
      <c r="D41" s="70" t="s">
        <v>501</v>
      </c>
      <c r="E41" s="70" t="s">
        <v>502</v>
      </c>
      <c r="F41" s="70" t="s">
        <v>218</v>
      </c>
      <c r="G41" s="205">
        <v>725</v>
      </c>
      <c r="H41" s="206">
        <v>1.32</v>
      </c>
      <c r="I41" s="207">
        <v>0.12</v>
      </c>
      <c r="J41" s="208">
        <f>H41+I41</f>
      </c>
      <c r="K41" s="209">
        <v>415000</v>
      </c>
      <c r="L41" s="58">
        <f>K41*I41</f>
      </c>
      <c r="M41" s="58">
        <f>K41*J41</f>
      </c>
      <c r="N41" s="16"/>
      <c r="O41" s="210">
        <v>36</v>
      </c>
      <c r="P41" s="211">
        <f>IF(ISBLANK(N41),O41/4.3,N41/20)</f>
      </c>
      <c r="Q41" s="209">
        <v>11000</v>
      </c>
      <c r="R41" s="212" t="s">
        <v>133</v>
      </c>
      <c r="S41" s="3"/>
      <c r="T41" s="213">
        <f>IF(ISBLANK(R41),0,X41)</f>
      </c>
      <c r="U41" s="213">
        <f>IF(ISBLANK(S41),0,X41)</f>
      </c>
      <c r="V41" s="214">
        <f>IFERROR(Q41/K41,0)</f>
      </c>
      <c r="W41" s="58">
        <f>IFERROR(L41*V41,0)</f>
      </c>
      <c r="X41" s="213">
        <f>IFERROR(Q41+W41,0)</f>
      </c>
      <c r="Y41" s="213">
        <f>IFERROR(M41*V41,0)</f>
      </c>
      <c r="Z41" s="213">
        <f>Y41-(Y41*$B$1)</f>
      </c>
      <c r="AA41" s="67">
        <f>IFERROR(Z41/X41,0)</f>
      </c>
      <c r="AB41" s="215">
        <f>IFERROR(IF(ISBLANK(N41),Y41/O41,Y41/N41),0)</f>
      </c>
      <c r="AC41" s="215">
        <f>IFERROR(-1*(AB41*B$1),0)</f>
      </c>
      <c r="AD41" s="215">
        <f>IFERROR(SUM(AB41:AC41),0)</f>
      </c>
      <c r="AE41" s="215">
        <f>IF(ISBLANK(N41),AD41,AD41*5)</f>
      </c>
      <c r="AF41" s="216">
        <f>SUM(AG41:BB41)</f>
      </c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>
        <v>426.8</v>
      </c>
      <c r="AZ41" s="207"/>
      <c r="BA41" s="207">
        <v>426.8</v>
      </c>
      <c r="BB41" s="207">
        <v>853.6</v>
      </c>
      <c r="BC41" s="215">
        <f>Z41-AF41</f>
      </c>
      <c r="BD41" s="214">
        <f>IFERROR(AF41/Z41,0)</f>
      </c>
      <c r="BE41" s="214">
        <f>IFERROR(AF41/X41,0)</f>
      </c>
      <c r="BF41" s="214">
        <f>IFERROR(X41/SUM(X$40:X$50),)</f>
      </c>
      <c r="BG41" s="214">
        <f>BC41/SUM(BC$3:BC238)</f>
      </c>
      <c r="BH41" s="217">
        <f>BC41/'R&amp;H Portfolio'!Q$10</f>
      </c>
      <c r="BI41" s="215">
        <f>BF41*P41</f>
      </c>
      <c r="BJ41" s="3"/>
      <c r="BK41" s="3"/>
      <c r="BL41" s="17"/>
      <c r="BM41" s="4"/>
    </row>
    <row x14ac:dyDescent="0.25" r="42" customHeight="1" ht="15">
      <c r="A42" s="202">
        <v>25568.79196759259</v>
      </c>
      <c r="B42" s="203" t="s">
        <v>503</v>
      </c>
      <c r="C42" s="70" t="s">
        <v>504</v>
      </c>
      <c r="D42" s="70" t="s">
        <v>505</v>
      </c>
      <c r="E42" s="70" t="s">
        <v>164</v>
      </c>
      <c r="F42" s="70" t="s">
        <v>262</v>
      </c>
      <c r="G42" s="205">
        <v>782</v>
      </c>
      <c r="H42" s="206">
        <v>1.28</v>
      </c>
      <c r="I42" s="207">
        <v>0.08</v>
      </c>
      <c r="J42" s="208">
        <f>H42+I42</f>
      </c>
      <c r="K42" s="209">
        <v>300000</v>
      </c>
      <c r="L42" s="58">
        <f>K42*I42</f>
      </c>
      <c r="M42" s="58">
        <f>K42*J42</f>
      </c>
      <c r="N42" s="16"/>
      <c r="O42" s="210">
        <v>32</v>
      </c>
      <c r="P42" s="211">
        <f>IF(ISBLANK(N42),O42/4.3,N42/20)</f>
      </c>
      <c r="Q42" s="209">
        <v>7000</v>
      </c>
      <c r="R42" s="212" t="s">
        <v>133</v>
      </c>
      <c r="S42" s="3"/>
      <c r="T42" s="213">
        <f>IF(ISBLANK(R42),0,X42)</f>
      </c>
      <c r="U42" s="213">
        <f>IF(ISBLANK(S42),0,X42)</f>
      </c>
      <c r="V42" s="214">
        <f>IFERROR(Q42/K42,0)</f>
      </c>
      <c r="W42" s="58">
        <f>IFERROR(L42*V42,0)</f>
      </c>
      <c r="X42" s="213">
        <f>IFERROR(Q42+W42,0)</f>
      </c>
      <c r="Y42" s="213">
        <f>IFERROR(M42*V42,0)</f>
      </c>
      <c r="Z42" s="213">
        <f>Y42-(Y42*$B$1)</f>
      </c>
      <c r="AA42" s="67">
        <f>IFERROR(Z42/X42,0)</f>
      </c>
      <c r="AB42" s="215">
        <f>IFERROR(IF(ISBLANK(N42),Y42/O42,Y42/N42),0)</f>
      </c>
      <c r="AC42" s="215">
        <f>IFERROR(-1*(AB42*B$1),0)</f>
      </c>
      <c r="AD42" s="215">
        <f>IFERROR(SUM(AB42:AC42),0)</f>
      </c>
      <c r="AE42" s="215">
        <f>IF(ISBLANK(N42),AD42,AD42*5)</f>
      </c>
      <c r="AF42" s="216">
        <f>SUM(AG42:BB42)</f>
      </c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>
        <v>288.57</v>
      </c>
      <c r="AZ42" s="207">
        <v>288.58</v>
      </c>
      <c r="BA42" s="207">
        <v>577.15</v>
      </c>
      <c r="BB42" s="207">
        <v>577.15</v>
      </c>
      <c r="BC42" s="215">
        <f>Z42-AF42</f>
      </c>
      <c r="BD42" s="214">
        <f>IFERROR(AF42/Z42,0)</f>
      </c>
      <c r="BE42" s="214">
        <f>IFERROR(AF42/X42,0)</f>
      </c>
      <c r="BF42" s="214">
        <f>IFERROR(X42/SUM(X$40:X$50),)</f>
      </c>
      <c r="BG42" s="214">
        <f>BC42/SUM(BC$3:BC239)</f>
      </c>
      <c r="BH42" s="217">
        <f>BC42/'R&amp;H Portfolio'!Q$10</f>
      </c>
      <c r="BI42" s="215">
        <f>BF42*P42</f>
      </c>
      <c r="BJ42" s="3"/>
      <c r="BK42" s="3"/>
      <c r="BL42" s="17"/>
      <c r="BM42" s="4"/>
    </row>
    <row x14ac:dyDescent="0.25" r="43" customHeight="1" ht="15">
      <c r="A43" s="202">
        <v>25568.79196759259</v>
      </c>
      <c r="B43" s="203" t="s">
        <v>506</v>
      </c>
      <c r="C43" s="204" t="s">
        <v>507</v>
      </c>
      <c r="D43" s="70" t="s">
        <v>505</v>
      </c>
      <c r="E43" s="70" t="s">
        <v>394</v>
      </c>
      <c r="F43" s="70" t="s">
        <v>226</v>
      </c>
      <c r="G43" s="205">
        <v>582</v>
      </c>
      <c r="H43" s="206">
        <v>1.3</v>
      </c>
      <c r="I43" s="207">
        <v>0.12</v>
      </c>
      <c r="J43" s="208">
        <f>H43+I43</f>
      </c>
      <c r="K43" s="209">
        <v>250000</v>
      </c>
      <c r="L43" s="58">
        <f>K43*I43</f>
      </c>
      <c r="M43" s="58">
        <f>K43*J43</f>
      </c>
      <c r="N43" s="210">
        <v>147</v>
      </c>
      <c r="O43" s="16"/>
      <c r="P43" s="211">
        <f>IF(ISBLANK(N43),O43/4.3,N43/20)</f>
      </c>
      <c r="Q43" s="209">
        <v>8000</v>
      </c>
      <c r="R43" s="212" t="s">
        <v>301</v>
      </c>
      <c r="S43" s="3"/>
      <c r="T43" s="213">
        <f>IF(ISBLANK(R43),0,X43)</f>
      </c>
      <c r="U43" s="213">
        <f>IF(ISBLANK(S43),0,X43)</f>
      </c>
      <c r="V43" s="214">
        <f>IFERROR(Q43/K43,0)</f>
      </c>
      <c r="W43" s="58">
        <f>IFERROR(L43*V43,0)</f>
      </c>
      <c r="X43" s="213">
        <f>IFERROR(Q43+W43,0)</f>
      </c>
      <c r="Y43" s="213">
        <f>IFERROR(M43*V43,0)</f>
      </c>
      <c r="Z43" s="213">
        <f>Y43-(Y43*$B$1)</f>
      </c>
      <c r="AA43" s="67">
        <f>IFERROR(Z43/X43,0)</f>
      </c>
      <c r="AB43" s="215">
        <f>IFERROR(IF(ISBLANK(N43),Y43/O43,Y43/N43),0)</f>
      </c>
      <c r="AC43" s="215">
        <f>IFERROR(-1*(AB43*B$1),0)</f>
      </c>
      <c r="AD43" s="215">
        <f>IFERROR(SUM(AB43:AC43),0)</f>
      </c>
      <c r="AE43" s="215">
        <f>IF(ISBLANK(N43),AD43,AD43*5)</f>
      </c>
      <c r="AF43" s="216">
        <f>SUM(AG43:BB43)</f>
      </c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>
        <v>149.92</v>
      </c>
      <c r="AZ43" s="207">
        <v>299.84</v>
      </c>
      <c r="BA43" s="207">
        <v>374.8</v>
      </c>
      <c r="BB43" s="207">
        <v>374.81</v>
      </c>
      <c r="BC43" s="215">
        <f>Z43-AF43</f>
      </c>
      <c r="BD43" s="214">
        <f>IFERROR(AF43/Z43,0)</f>
      </c>
      <c r="BE43" s="214">
        <f>IFERROR(AF43/X43,0)</f>
      </c>
      <c r="BF43" s="214">
        <f>IFERROR(X43/SUM(X$40:X$50),)</f>
      </c>
      <c r="BG43" s="214">
        <f>BC43/SUM(BC$3:BC240)</f>
      </c>
      <c r="BH43" s="217">
        <f>BC43/'R&amp;H Portfolio'!Q$10</f>
      </c>
      <c r="BI43" s="215">
        <f>BF43*P43</f>
      </c>
      <c r="BJ43" s="3"/>
      <c r="BK43" s="3"/>
      <c r="BL43" s="17"/>
      <c r="BM43" s="4"/>
    </row>
    <row x14ac:dyDescent="0.25" r="44" customHeight="1" ht="15">
      <c r="A44" s="202">
        <v>25568.79196759259</v>
      </c>
      <c r="B44" s="203" t="s">
        <v>508</v>
      </c>
      <c r="C44" s="204" t="s">
        <v>509</v>
      </c>
      <c r="D44" s="70" t="s">
        <v>510</v>
      </c>
      <c r="E44" s="70" t="s">
        <v>468</v>
      </c>
      <c r="F44" s="70" t="s">
        <v>150</v>
      </c>
      <c r="G44" s="205">
        <v>749</v>
      </c>
      <c r="H44" s="206">
        <v>1.33</v>
      </c>
      <c r="I44" s="207">
        <v>0.12</v>
      </c>
      <c r="J44" s="208">
        <f>H44+I44</f>
      </c>
      <c r="K44" s="209">
        <v>40000</v>
      </c>
      <c r="L44" s="58">
        <f>K44*I44</f>
      </c>
      <c r="M44" s="58">
        <f>K44*J44</f>
      </c>
      <c r="N44" s="210">
        <v>140</v>
      </c>
      <c r="O44" s="16"/>
      <c r="P44" s="211">
        <f>IF(ISBLANK(N44),O44/4.3,N44/20)</f>
      </c>
      <c r="Q44" s="209">
        <v>5000</v>
      </c>
      <c r="R44" s="212" t="s">
        <v>511</v>
      </c>
      <c r="S44" s="3"/>
      <c r="T44" s="213">
        <f>IF(ISBLANK(R44),0,X44)</f>
      </c>
      <c r="U44" s="213">
        <f>IF(ISBLANK(S44),0,X44)</f>
      </c>
      <c r="V44" s="214">
        <f>IFERROR(Q44/K44,0)</f>
      </c>
      <c r="W44" s="58">
        <f>IFERROR(L44*V44,0)</f>
      </c>
      <c r="X44" s="213">
        <f>IFERROR(Q44+W44,0)</f>
      </c>
      <c r="Y44" s="213">
        <f>IFERROR(M44*V44,0)</f>
      </c>
      <c r="Z44" s="213">
        <f>Y44-(Y44*$B$1)</f>
      </c>
      <c r="AA44" s="67">
        <f>IFERROR(Z44/X44,0)</f>
      </c>
      <c r="AB44" s="215">
        <f>IFERROR(IF(ISBLANK(N44),Y44/O44,Y44/N44),0)</f>
      </c>
      <c r="AC44" s="215">
        <f>IFERROR(-1*(AB44*B$1),0)</f>
      </c>
      <c r="AD44" s="215">
        <f>IFERROR(SUM(AB44:AC44),0)</f>
      </c>
      <c r="AE44" s="215">
        <f>IF(ISBLANK(N44),AD44,AD44*5)</f>
      </c>
      <c r="AF44" s="216">
        <f>SUM(AG44:BB44)</f>
      </c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>
        <v>50.23</v>
      </c>
      <c r="AZ44" s="207">
        <v>200.93</v>
      </c>
      <c r="BA44" s="207">
        <v>50.23</v>
      </c>
      <c r="BB44" s="207"/>
      <c r="BC44" s="215">
        <f>Z44-AF44</f>
      </c>
      <c r="BD44" s="214">
        <f>IFERROR(AF44/Z44,0)</f>
      </c>
      <c r="BE44" s="214">
        <f>IFERROR(AF44/X44,0)</f>
      </c>
      <c r="BF44" s="214">
        <f>IFERROR(X44/SUM(X$40:X$50),)</f>
      </c>
      <c r="BG44" s="214">
        <f>BC44/SUM(BC$3:BC241)</f>
      </c>
      <c r="BH44" s="217">
        <f>BC44/'R&amp;H Portfolio'!Q$10</f>
      </c>
      <c r="BI44" s="215">
        <f>BF44*P44</f>
      </c>
      <c r="BJ44" s="3"/>
      <c r="BK44" s="3"/>
      <c r="BL44" s="17"/>
      <c r="BM44" s="4"/>
    </row>
    <row x14ac:dyDescent="0.25" r="45" customHeight="1" ht="15">
      <c r="A45" s="202">
        <v>25568.79196759259</v>
      </c>
      <c r="B45" s="203" t="s">
        <v>512</v>
      </c>
      <c r="C45" s="3"/>
      <c r="D45" s="70" t="s">
        <v>513</v>
      </c>
      <c r="E45" s="70" t="s">
        <v>468</v>
      </c>
      <c r="F45" s="70" t="s">
        <v>274</v>
      </c>
      <c r="G45" s="205">
        <v>689</v>
      </c>
      <c r="H45" s="206">
        <v>1.36</v>
      </c>
      <c r="I45" s="207">
        <v>0.11</v>
      </c>
      <c r="J45" s="208">
        <f>H45+I45</f>
      </c>
      <c r="K45" s="209">
        <v>500000</v>
      </c>
      <c r="L45" s="58">
        <f>K45*I45</f>
      </c>
      <c r="M45" s="58">
        <f>K45*J45</f>
      </c>
      <c r="N45" s="16"/>
      <c r="O45" s="210">
        <v>32</v>
      </c>
      <c r="P45" s="211">
        <f>IF(ISBLANK(N45),O45/4.3,N45/20)</f>
      </c>
      <c r="Q45" s="209">
        <v>12000</v>
      </c>
      <c r="R45" s="3"/>
      <c r="S45" s="212" t="s">
        <v>82</v>
      </c>
      <c r="T45" s="213">
        <f>IF(ISBLANK(R45),0,X45)</f>
      </c>
      <c r="U45" s="213">
        <f>IF(ISBLANK(S45),0,X45)</f>
      </c>
      <c r="V45" s="214">
        <f>IFERROR(Q45/K45,0)</f>
      </c>
      <c r="W45" s="58">
        <f>IFERROR(L45*V45,0)</f>
      </c>
      <c r="X45" s="213">
        <f>IFERROR(Q45+W45,0)</f>
      </c>
      <c r="Y45" s="213">
        <f>IFERROR(M45*V45,0)</f>
      </c>
      <c r="Z45" s="213">
        <f>Y45-(Y45*$B$1)</f>
      </c>
      <c r="AA45" s="67">
        <f>IFERROR(Z45/X45,0)</f>
      </c>
      <c r="AB45" s="215">
        <f>IFERROR(IF(ISBLANK(N45),Y45/O45,Y45/N45),0)</f>
      </c>
      <c r="AC45" s="215">
        <f>IFERROR(-1*(AB45*B$1),0)</f>
      </c>
      <c r="AD45" s="215">
        <f>IFERROR(SUM(AB45:AC45),0)</f>
      </c>
      <c r="AE45" s="215">
        <f>IF(ISBLANK(N45),AD45,AD45*5)</f>
      </c>
      <c r="AF45" s="216">
        <f>SUM(AG45:BB45)</f>
      </c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>
        <v>534.71</v>
      </c>
      <c r="BC45" s="215">
        <f>Z45-AF45</f>
      </c>
      <c r="BD45" s="214">
        <f>IFERROR(AF45/Z45,0)</f>
      </c>
      <c r="BE45" s="214">
        <f>IFERROR(AF45/X45,0)</f>
      </c>
      <c r="BF45" s="214">
        <f>IFERROR(X45/SUM(X$40:X$50),)</f>
      </c>
      <c r="BG45" s="214">
        <f>BC45/SUM(BC$3:BC242)</f>
      </c>
      <c r="BH45" s="217">
        <f>BC45/'R&amp;H Portfolio'!Q$10</f>
      </c>
      <c r="BI45" s="215">
        <f>BF45*P45</f>
      </c>
      <c r="BJ45" s="3"/>
      <c r="BK45" s="3"/>
      <c r="BL45" s="17"/>
      <c r="BM45" s="4"/>
    </row>
    <row x14ac:dyDescent="0.25" r="46" customHeight="1" ht="15">
      <c r="A46" s="202">
        <v>25568.79196759259</v>
      </c>
      <c r="B46" s="203" t="s">
        <v>514</v>
      </c>
      <c r="C46" s="3"/>
      <c r="D46" s="70" t="s">
        <v>515</v>
      </c>
      <c r="E46" s="70" t="s">
        <v>411</v>
      </c>
      <c r="F46" s="70" t="s">
        <v>150</v>
      </c>
      <c r="G46" s="205">
        <v>715</v>
      </c>
      <c r="H46" s="206">
        <v>1.22</v>
      </c>
      <c r="I46" s="207">
        <v>0.04</v>
      </c>
      <c r="J46" s="208">
        <f>H46+I46</f>
      </c>
      <c r="K46" s="209">
        <v>500000</v>
      </c>
      <c r="L46" s="58">
        <f>K46*I46</f>
      </c>
      <c r="M46" s="58">
        <f>K46*J46</f>
      </c>
      <c r="N46" s="16"/>
      <c r="O46" s="210">
        <v>30</v>
      </c>
      <c r="P46" s="211">
        <f>IF(ISBLANK(N46),O46/4.3,N46/20)</f>
      </c>
      <c r="Q46" s="209">
        <v>7000</v>
      </c>
      <c r="R46" s="212" t="s">
        <v>133</v>
      </c>
      <c r="S46" s="3"/>
      <c r="T46" s="213">
        <f>IF(ISBLANK(R46),0,X46)</f>
      </c>
      <c r="U46" s="213">
        <f>IF(ISBLANK(S46),0,X46)</f>
      </c>
      <c r="V46" s="214">
        <f>IFERROR(Q46/K46,0)</f>
      </c>
      <c r="W46" s="58">
        <f>IFERROR(L46*V46,0)</f>
      </c>
      <c r="X46" s="213">
        <f>IFERROR(Q46+W46,0)</f>
      </c>
      <c r="Y46" s="213">
        <f>IFERROR(M46*V46,0)</f>
      </c>
      <c r="Z46" s="213">
        <f>Y46-(Y46*$B$1)</f>
      </c>
      <c r="AA46" s="67">
        <f>IFERROR(Z46/X46,0)</f>
      </c>
      <c r="AB46" s="215">
        <f>IFERROR(IF(ISBLANK(N46),Y46/O46,Y46/N46),0)</f>
      </c>
      <c r="AC46" s="215">
        <f>IFERROR(-1*(AB46*B$1),0)</f>
      </c>
      <c r="AD46" s="215">
        <f>IFERROR(SUM(AB46:AC46),0)</f>
      </c>
      <c r="AE46" s="215">
        <f>IF(ISBLANK(N46),AD46,AD46*5)</f>
      </c>
      <c r="AF46" s="216">
        <f>SUM(AG46:BB46)</f>
      </c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>
        <v>285.18</v>
      </c>
      <c r="BC46" s="215">
        <f>Z46-AF46</f>
      </c>
      <c r="BD46" s="214">
        <f>IFERROR(AF46/Z46,0)</f>
      </c>
      <c r="BE46" s="214">
        <f>IFERROR(AF46/X46,0)</f>
      </c>
      <c r="BF46" s="214">
        <f>IFERROR(X46/SUM(X$40:X$50),)</f>
      </c>
      <c r="BG46" s="214">
        <f>BC46/SUM(BC$3:BC243)</f>
      </c>
      <c r="BH46" s="217">
        <f>BC46/'R&amp;H Portfolio'!Q$10</f>
      </c>
      <c r="BI46" s="215">
        <f>BF46*P46</f>
      </c>
      <c r="BJ46" s="3"/>
      <c r="BK46" s="3"/>
      <c r="BL46" s="17"/>
      <c r="BM46" s="4"/>
    </row>
    <row x14ac:dyDescent="0.25" r="47" customHeight="1" ht="15">
      <c r="A47" s="17"/>
      <c r="B47" s="203" t="s">
        <v>516</v>
      </c>
      <c r="C47" s="3"/>
      <c r="D47" s="70" t="s">
        <v>517</v>
      </c>
      <c r="E47" s="70" t="s">
        <v>242</v>
      </c>
      <c r="F47" s="70" t="s">
        <v>218</v>
      </c>
      <c r="G47" s="205"/>
      <c r="H47" s="18"/>
      <c r="I47" s="18"/>
      <c r="J47" s="208">
        <f>H47+I47</f>
      </c>
      <c r="K47" s="209"/>
      <c r="L47" s="58">
        <f>K47*I47</f>
      </c>
      <c r="M47" s="58">
        <f>K47*J47</f>
      </c>
      <c r="N47" s="16"/>
      <c r="O47" s="16"/>
      <c r="P47" s="211">
        <f>IF(ISBLANK(N47),O47/4.3,N47/20)</f>
      </c>
      <c r="Q47" s="209"/>
      <c r="R47" s="3"/>
      <c r="S47" s="3"/>
      <c r="T47" s="213">
        <f>IF(ISBLANK(R47),0,X47)</f>
      </c>
      <c r="U47" s="213">
        <f>IF(ISBLANK(S47),0,X47)</f>
      </c>
      <c r="V47" s="214">
        <f>IFERROR(Q47/K47,0)</f>
      </c>
      <c r="W47" s="58">
        <f>IFERROR(L47*V47,0)</f>
      </c>
      <c r="X47" s="213">
        <f>IFERROR(Q47+W47,0)</f>
      </c>
      <c r="Y47" s="213">
        <f>IFERROR(M47*V47,0)</f>
      </c>
      <c r="Z47" s="213">
        <f>Y47-(Y47*$B$1)</f>
      </c>
      <c r="AA47" s="67">
        <f>IFERROR(Z47/X47,0)</f>
      </c>
      <c r="AB47" s="215">
        <f>IFERROR(IF(ISBLANK(N47),Y47/O47,Y47/N47),0)</f>
      </c>
      <c r="AC47" s="215">
        <f>IFERROR(-1*(AB47*B$1),0)</f>
      </c>
      <c r="AD47" s="215">
        <f>IFERROR(SUM(AB47:AC47),0)</f>
      </c>
      <c r="AE47" s="215">
        <f>IF(ISBLANK(N47),AD47,AD47*5)</f>
      </c>
      <c r="AF47" s="216">
        <f>SUM(AG47:BB47)</f>
      </c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15">
        <f>Z47-AF47</f>
      </c>
      <c r="BD47" s="214">
        <f>IFERROR(AF47/Z47,0)</f>
      </c>
      <c r="BE47" s="214">
        <f>IFERROR(AF47/X47,0)</f>
      </c>
      <c r="BF47" s="214">
        <f>IFERROR(X47/SUM(X$40:X$50),)</f>
      </c>
      <c r="BG47" s="214">
        <f>BC47/SUM(BC$3:BC244)</f>
      </c>
      <c r="BH47" s="217">
        <f>BC47/'R&amp;H Portfolio'!Q$10</f>
      </c>
      <c r="BI47" s="215">
        <f>BF47*P47</f>
      </c>
      <c r="BJ47" s="3"/>
      <c r="BK47" s="3"/>
      <c r="BL47" s="17"/>
      <c r="BM47" s="4"/>
    </row>
    <row x14ac:dyDescent="0.25" r="48" customHeight="1" ht="15">
      <c r="A48" s="202">
        <v>25568.79196759259</v>
      </c>
      <c r="B48" s="203" t="s">
        <v>518</v>
      </c>
      <c r="C48" s="204" t="s">
        <v>519</v>
      </c>
      <c r="D48" s="70" t="s">
        <v>520</v>
      </c>
      <c r="E48" s="70" t="s">
        <v>521</v>
      </c>
      <c r="F48" s="70" t="s">
        <v>218</v>
      </c>
      <c r="G48" s="205">
        <v>500</v>
      </c>
      <c r="H48" s="206">
        <v>1.33</v>
      </c>
      <c r="I48" s="207">
        <v>0.12</v>
      </c>
      <c r="J48" s="208">
        <f>H48+I48</f>
      </c>
      <c r="K48" s="209">
        <v>20000</v>
      </c>
      <c r="L48" s="58">
        <f>K48*I48</f>
      </c>
      <c r="M48" s="58">
        <f>K48*J48</f>
      </c>
      <c r="N48" s="210">
        <v>120</v>
      </c>
      <c r="O48" s="16"/>
      <c r="P48" s="211">
        <f>IF(ISBLANK(N48),O48/4.3,N48/20)</f>
      </c>
      <c r="Q48" s="209">
        <v>1325</v>
      </c>
      <c r="R48" s="3"/>
      <c r="S48" s="212" t="s">
        <v>82</v>
      </c>
      <c r="T48" s="213">
        <f>IF(ISBLANK(R48),0,X48)</f>
      </c>
      <c r="U48" s="213">
        <f>IF(ISBLANK(S48),0,X48)</f>
      </c>
      <c r="V48" s="214">
        <f>IFERROR(Q48/K48,0)</f>
      </c>
      <c r="W48" s="58">
        <f>IFERROR(L48*V48,0)</f>
      </c>
      <c r="X48" s="213">
        <f>IFERROR(Q48+W48,0)</f>
      </c>
      <c r="Y48" s="213">
        <f>IFERROR(M48*V48,0)</f>
      </c>
      <c r="Z48" s="213">
        <f>Y48-(Y48*$B$1)</f>
      </c>
      <c r="AA48" s="67">
        <f>IFERROR(Z48/X48,0)</f>
      </c>
      <c r="AB48" s="215">
        <f>IFERROR(IF(ISBLANK(N48),Y48/O48,Y48/N48),0)</f>
      </c>
      <c r="AC48" s="215">
        <f>IFERROR(-1*(AB48*B$1),0)</f>
      </c>
      <c r="AD48" s="215">
        <f>IFERROR(SUM(AB48:AC48),0)</f>
      </c>
      <c r="AE48" s="215">
        <f>IF(ISBLANK(N48),AD48,AD48*5)</f>
      </c>
      <c r="AF48" s="216">
        <f>SUM(AG48:BB48)</f>
      </c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>
        <v>15.53</v>
      </c>
      <c r="AZ48" s="207">
        <v>62.12</v>
      </c>
      <c r="BA48" s="207">
        <v>77.64999999999999</v>
      </c>
      <c r="BB48" s="207">
        <v>77.64999999999999</v>
      </c>
      <c r="BC48" s="215">
        <f>Z48-AF48</f>
      </c>
      <c r="BD48" s="214">
        <f>IFERROR(AF48/Z48,0)</f>
      </c>
      <c r="BE48" s="214">
        <f>IFERROR(AF48/X48,0)</f>
      </c>
      <c r="BF48" s="214">
        <f>IFERROR(X48/SUM(X$40:X$50),)</f>
      </c>
      <c r="BG48" s="214">
        <f>BC48/SUM(BC$3:BC245)</f>
      </c>
      <c r="BH48" s="217">
        <f>BC48/'R&amp;H Portfolio'!Q$10</f>
      </c>
      <c r="BI48" s="215">
        <f>BF48*P48</f>
      </c>
      <c r="BJ48" s="3"/>
      <c r="BK48" s="3"/>
      <c r="BL48" s="17"/>
      <c r="BM48" s="4"/>
    </row>
    <row x14ac:dyDescent="0.25" r="49" customHeight="1" ht="15">
      <c r="A49" s="202">
        <v>25568.79196759259</v>
      </c>
      <c r="B49" s="203" t="s">
        <v>522</v>
      </c>
      <c r="C49" s="3"/>
      <c r="D49" s="70" t="s">
        <v>523</v>
      </c>
      <c r="E49" s="70" t="s">
        <v>326</v>
      </c>
      <c r="F49" s="70" t="s">
        <v>206</v>
      </c>
      <c r="G49" s="205">
        <v>700</v>
      </c>
      <c r="H49" s="206">
        <v>1.26</v>
      </c>
      <c r="I49" s="207">
        <v>0.06</v>
      </c>
      <c r="J49" s="208">
        <f>H49+I49</f>
      </c>
      <c r="K49" s="209">
        <v>50000</v>
      </c>
      <c r="L49" s="58">
        <f>K49*I49</f>
      </c>
      <c r="M49" s="58">
        <f>K49*J49</f>
      </c>
      <c r="N49" s="16"/>
      <c r="O49" s="210">
        <v>32</v>
      </c>
      <c r="P49" s="211">
        <f>IF(ISBLANK(N49),O49/4.3,N49/20)</f>
      </c>
      <c r="Q49" s="209">
        <v>3000</v>
      </c>
      <c r="R49" s="3"/>
      <c r="S49" s="212" t="s">
        <v>82</v>
      </c>
      <c r="T49" s="213">
        <f>IF(ISBLANK(R49),0,X49)</f>
      </c>
      <c r="U49" s="213">
        <f>IF(ISBLANK(S49),0,X49)</f>
      </c>
      <c r="V49" s="214">
        <f>IFERROR(Q49/K49,0)</f>
      </c>
      <c r="W49" s="58">
        <f>IFERROR(L49*V49,0)</f>
      </c>
      <c r="X49" s="213">
        <f>IFERROR(Q49+W49,0)</f>
      </c>
      <c r="Y49" s="213">
        <f>IFERROR(M49*V49,0)</f>
      </c>
      <c r="Z49" s="213">
        <f>Y49-(Y49*$B$1)</f>
      </c>
      <c r="AA49" s="67">
        <f>IFERROR(Z49/X49,0)</f>
      </c>
      <c r="AB49" s="215">
        <f>IFERROR(IF(ISBLANK(N49),Y49/O49,Y49/N49),0)</f>
      </c>
      <c r="AC49" s="215">
        <f>IFERROR(-1*(AB49*B$1),0)</f>
      </c>
      <c r="AD49" s="215">
        <f>IFERROR(SUM(AB49:AC49),0)</f>
      </c>
      <c r="AE49" s="215">
        <f>IF(ISBLANK(N49),AD49,AD49*5)</f>
      </c>
      <c r="AF49" s="216">
        <f>SUM(AG49:BB49)</f>
      </c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07"/>
      <c r="BA49" s="207"/>
      <c r="BB49" s="207">
        <v>240.07</v>
      </c>
      <c r="BC49" s="215">
        <f>Z49-AF49</f>
      </c>
      <c r="BD49" s="214">
        <f>IFERROR(AF49/Z49,0)</f>
      </c>
      <c r="BE49" s="214">
        <f>IFERROR(AF49/X49,0)</f>
      </c>
      <c r="BF49" s="214">
        <f>IFERROR(X49/SUM(X$40:X$50),)</f>
      </c>
      <c r="BG49" s="214">
        <f>BC49/SUM(BC$3:BC246)</f>
      </c>
      <c r="BH49" s="217">
        <f>BC49/'R&amp;H Portfolio'!Q$10</f>
      </c>
      <c r="BI49" s="215">
        <f>BF49*P49</f>
      </c>
      <c r="BJ49" s="3"/>
      <c r="BK49" s="3"/>
      <c r="BL49" s="17"/>
      <c r="BM49" s="4"/>
    </row>
    <row x14ac:dyDescent="0.25" r="50" customHeight="1" ht="15">
      <c r="A50" s="223">
        <v>25568.79196759259</v>
      </c>
      <c r="B50" s="224" t="s">
        <v>524</v>
      </c>
      <c r="C50" s="226"/>
      <c r="D50" s="226" t="s">
        <v>525</v>
      </c>
      <c r="E50" s="226" t="s">
        <v>423</v>
      </c>
      <c r="F50" s="226" t="s">
        <v>160</v>
      </c>
      <c r="G50" s="245">
        <v>750</v>
      </c>
      <c r="H50" s="228">
        <v>1.32</v>
      </c>
      <c r="I50" s="229">
        <v>0.12</v>
      </c>
      <c r="J50" s="230">
        <f>H50+I50</f>
      </c>
      <c r="K50" s="231">
        <v>125000</v>
      </c>
      <c r="L50" s="232">
        <f>K50*I50</f>
      </c>
      <c r="M50" s="232">
        <f>K50*J50</f>
      </c>
      <c r="N50" s="233"/>
      <c r="O50" s="233">
        <v>30</v>
      </c>
      <c r="P50" s="234">
        <f>IF(ISBLANK(N50),O50/4.3,N50/20)</f>
      </c>
      <c r="Q50" s="231">
        <v>4000</v>
      </c>
      <c r="R50" s="246"/>
      <c r="S50" s="246" t="s">
        <v>82</v>
      </c>
      <c r="T50" s="239">
        <f>IF(ISBLANK(R50),0,X50)</f>
      </c>
      <c r="U50" s="239">
        <f>IF(ISBLANK(S50),0,X50)</f>
      </c>
      <c r="V50" s="238">
        <f>IFERROR(Q50/K50,0)</f>
      </c>
      <c r="W50" s="232">
        <f>IFERROR(L50*V50,0)</f>
      </c>
      <c r="X50" s="239">
        <f>IFERROR(Q50+W50,0)</f>
      </c>
      <c r="Y50" s="239">
        <f>IFERROR(M50*V50,0)</f>
      </c>
      <c r="Z50" s="239">
        <f>Y50-(Y50*$B$1)</f>
      </c>
      <c r="AA50" s="240">
        <f>IFERROR(Z50/X50,0)</f>
      </c>
      <c r="AB50" s="241">
        <f>IFERROR(IF(ISBLANK(N50),Y50/O50,Y50/N50),0)</f>
      </c>
      <c r="AC50" s="241">
        <f>IFERROR(-1*(AB50*B$1),0)</f>
      </c>
      <c r="AD50" s="241">
        <f>IFERROR(SUM(AB50:AC50),0)</f>
      </c>
      <c r="AE50" s="241">
        <f>IF(ISBLANK(N50),AD50,AD50*5)</f>
      </c>
      <c r="AF50" s="242">
        <f>SUM(AG50:BB50)</f>
      </c>
      <c r="AG50" s="229"/>
      <c r="AH50" s="229"/>
      <c r="AI50" s="229"/>
      <c r="AJ50" s="229"/>
      <c r="AK50" s="229"/>
      <c r="AL50" s="229"/>
      <c r="AM50" s="229"/>
      <c r="AN50" s="229"/>
      <c r="AO50" s="229"/>
      <c r="AP50" s="229"/>
      <c r="AQ50" s="229"/>
      <c r="AR50" s="229"/>
      <c r="AS50" s="229"/>
      <c r="AT50" s="229"/>
      <c r="AU50" s="229"/>
      <c r="AV50" s="229"/>
      <c r="AW50" s="229"/>
      <c r="AX50" s="229"/>
      <c r="AY50" s="229"/>
      <c r="AZ50" s="229"/>
      <c r="BA50" s="229"/>
      <c r="BB50" s="229">
        <v>186.24</v>
      </c>
      <c r="BC50" s="241">
        <f>Z50-AF50</f>
      </c>
      <c r="BD50" s="238">
        <f>IFERROR(AF50/Z50,0)</f>
      </c>
      <c r="BE50" s="238">
        <f>IFERROR(AF50/X50,0)</f>
      </c>
      <c r="BF50" s="214">
        <f>IFERROR(X50/SUM(X$40:X$50),)</f>
      </c>
      <c r="BG50" s="238">
        <f>BC50/SUM(BC$3:BC247)</f>
      </c>
      <c r="BH50" s="217">
        <f>BC50/'R&amp;H Portfolio'!Q$10</f>
      </c>
      <c r="BI50" s="241">
        <f>BF50*P50</f>
      </c>
      <c r="BJ50" s="3"/>
      <c r="BK50" s="3"/>
      <c r="BL50" s="17"/>
      <c r="BM50" s="4"/>
    </row>
    <row x14ac:dyDescent="0.25" r="51" customHeight="1" ht="15">
      <c r="A51" s="202">
        <v>25568.79196759259</v>
      </c>
      <c r="B51" s="203" t="s">
        <v>526</v>
      </c>
      <c r="C51" s="3"/>
      <c r="D51" s="70" t="s">
        <v>527</v>
      </c>
      <c r="E51" s="70" t="s">
        <v>201</v>
      </c>
      <c r="F51" s="70" t="s">
        <v>218</v>
      </c>
      <c r="G51" s="205">
        <v>813</v>
      </c>
      <c r="H51" s="206">
        <v>1.28</v>
      </c>
      <c r="I51" s="207">
        <v>0.11</v>
      </c>
      <c r="J51" s="208">
        <f>H51+I51</f>
      </c>
      <c r="K51" s="209">
        <v>150000</v>
      </c>
      <c r="L51" s="58">
        <f>K51*I51</f>
      </c>
      <c r="M51" s="58">
        <f>K51*J51</f>
      </c>
      <c r="N51" s="16"/>
      <c r="O51" s="210">
        <v>30</v>
      </c>
      <c r="P51" s="211">
        <f>IF(ISBLANK(N51),O51/4.3,N51/20)</f>
      </c>
      <c r="Q51" s="209">
        <v>6000</v>
      </c>
      <c r="R51" s="3"/>
      <c r="S51" s="212" t="s">
        <v>82</v>
      </c>
      <c r="T51" s="213">
        <f>IF(ISBLANK(R51),0,X51)</f>
      </c>
      <c r="U51" s="213">
        <f>IF(ISBLANK(S51),0,X51)</f>
      </c>
      <c r="V51" s="214">
        <f>IFERROR(Q51/K51,0)</f>
      </c>
      <c r="W51" s="58">
        <f>IFERROR(L51*V51,0)</f>
      </c>
      <c r="X51" s="213">
        <f>IFERROR(Q51+W51,0)</f>
      </c>
      <c r="Y51" s="213">
        <f>IFERROR(M51*V51,0)</f>
      </c>
      <c r="Z51" s="213">
        <f>Y51-(Y51*$B$1)</f>
      </c>
      <c r="AA51" s="67">
        <f>IFERROR(Z51/X51,0)</f>
      </c>
      <c r="AB51" s="215">
        <f>IFERROR(IF(ISBLANK(N51),Y51/O51,Y51/N51),0)</f>
      </c>
      <c r="AC51" s="215">
        <f>IFERROR(-1*(AB51*B$1),0)</f>
      </c>
      <c r="AD51" s="215">
        <f>IFERROR(SUM(AB51:AC51),0)</f>
      </c>
      <c r="AE51" s="215">
        <f>IF(ISBLANK(N51),AD51,AD51*5)</f>
      </c>
      <c r="AF51" s="216">
        <f>SUM(AG51:BB51)</f>
      </c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15">
        <f>Z51-AF51</f>
      </c>
      <c r="BD51" s="214">
        <f>IFERROR(AF51/Z51,0)</f>
      </c>
      <c r="BE51" s="214">
        <f>IFERROR(AF51/X51,0)</f>
      </c>
      <c r="BF51" s="214">
        <f>IFERROR(X51/SUM(X$51:X$65),)</f>
      </c>
      <c r="BG51" s="214">
        <f>BC51/SUM(BC$3:BC248)</f>
      </c>
      <c r="BH51" s="217">
        <f>BC51/'R&amp;H Portfolio'!Q$10</f>
      </c>
      <c r="BI51" s="215">
        <f>BF51*P51</f>
      </c>
      <c r="BJ51" s="3"/>
      <c r="BK51" s="3"/>
      <c r="BL51" s="17"/>
      <c r="BM51" s="4"/>
    </row>
    <row x14ac:dyDescent="0.25" r="52" customHeight="1" ht="15">
      <c r="A52" s="202">
        <v>25568.79196759259</v>
      </c>
      <c r="B52" s="203" t="s">
        <v>528</v>
      </c>
      <c r="C52" s="3"/>
      <c r="D52" s="70" t="s">
        <v>529</v>
      </c>
      <c r="E52" s="70" t="s">
        <v>394</v>
      </c>
      <c r="F52" s="70" t="s">
        <v>218</v>
      </c>
      <c r="G52" s="205">
        <v>813</v>
      </c>
      <c r="H52" s="206">
        <v>1.28</v>
      </c>
      <c r="I52" s="207">
        <v>0.11</v>
      </c>
      <c r="J52" s="208">
        <f>H52+I52</f>
      </c>
      <c r="K52" s="209">
        <v>100000</v>
      </c>
      <c r="L52" s="58">
        <f>K52*I52</f>
      </c>
      <c r="M52" s="58">
        <f>K52*J52</f>
      </c>
      <c r="N52" s="16"/>
      <c r="O52" s="210">
        <v>30</v>
      </c>
      <c r="P52" s="211">
        <f>IF(ISBLANK(N52),O52/4.3,N52/20)</f>
      </c>
      <c r="Q52" s="209">
        <v>6000</v>
      </c>
      <c r="R52" s="212" t="s">
        <v>133</v>
      </c>
      <c r="S52" s="3"/>
      <c r="T52" s="213">
        <f>IF(ISBLANK(R52),0,X52)</f>
      </c>
      <c r="U52" s="213">
        <f>IF(ISBLANK(S52),0,X52)</f>
      </c>
      <c r="V52" s="214">
        <f>IFERROR(Q52/K52,0)</f>
      </c>
      <c r="W52" s="58">
        <f>IFERROR(L52*V52,0)</f>
      </c>
      <c r="X52" s="213">
        <f>IFERROR(Q52+W52,0)</f>
      </c>
      <c r="Y52" s="213">
        <f>IFERROR(M52*V52,0)</f>
      </c>
      <c r="Z52" s="213">
        <f>Y52-(Y52*$B$1)</f>
      </c>
      <c r="AA52" s="67">
        <f>IFERROR(Z52/X52,0)</f>
      </c>
      <c r="AB52" s="215">
        <f>IFERROR(IF(ISBLANK(N52),Y52/O52,Y52/N52),0)</f>
      </c>
      <c r="AC52" s="215">
        <f>IFERROR(-1*(AB52*B$1),0)</f>
      </c>
      <c r="AD52" s="215">
        <f>IFERROR(SUM(AB52:AC52),0)</f>
      </c>
      <c r="AE52" s="215">
        <f>IF(ISBLANK(N52),AD52,AD52*5)</f>
      </c>
      <c r="AF52" s="216">
        <f>SUM(AG52:BB52)</f>
      </c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215">
        <f>Z52-AF52</f>
      </c>
      <c r="BD52" s="214">
        <f>IFERROR(AF52/Z52,0)</f>
      </c>
      <c r="BE52" s="214">
        <f>IFERROR(AF52/X52,0)</f>
      </c>
      <c r="BF52" s="214">
        <f>IFERROR(X52/SUM(X$51:X$65),)</f>
      </c>
      <c r="BG52" s="214">
        <f>BC52/SUM(BC$3:BC249)</f>
      </c>
      <c r="BH52" s="217">
        <f>BC52/'R&amp;H Portfolio'!Q$10</f>
      </c>
      <c r="BI52" s="215">
        <f>BF52*P52</f>
      </c>
      <c r="BJ52" s="3"/>
      <c r="BK52" s="3"/>
      <c r="BL52" s="17"/>
      <c r="BM52" s="4"/>
    </row>
    <row x14ac:dyDescent="0.25" r="53" customHeight="1" ht="15">
      <c r="A53" s="202">
        <v>25568.79196759259</v>
      </c>
      <c r="B53" s="203" t="s">
        <v>530</v>
      </c>
      <c r="C53" s="3"/>
      <c r="D53" s="70" t="s">
        <v>531</v>
      </c>
      <c r="E53" s="70" t="s">
        <v>201</v>
      </c>
      <c r="F53" s="70" t="s">
        <v>183</v>
      </c>
      <c r="G53" s="205">
        <v>615</v>
      </c>
      <c r="H53" s="206">
        <v>1.28</v>
      </c>
      <c r="I53" s="207">
        <v>0.05</v>
      </c>
      <c r="J53" s="208">
        <f>H53+I53</f>
      </c>
      <c r="K53" s="209">
        <v>150000</v>
      </c>
      <c r="L53" s="58">
        <f>K53*I53</f>
      </c>
      <c r="M53" s="58">
        <f>K53*J53</f>
      </c>
      <c r="N53" s="16"/>
      <c r="O53" s="210">
        <v>32</v>
      </c>
      <c r="P53" s="211">
        <f>IF(ISBLANK(N53),O53/4.3,N53/20)</f>
      </c>
      <c r="Q53" s="209">
        <v>8000</v>
      </c>
      <c r="R53" s="212" t="s">
        <v>133</v>
      </c>
      <c r="S53" s="3"/>
      <c r="T53" s="213">
        <f>IF(ISBLANK(R53),0,X53)</f>
      </c>
      <c r="U53" s="213">
        <f>IF(ISBLANK(S53),0,X53)</f>
      </c>
      <c r="V53" s="214">
        <f>IFERROR(Q53/K53,0)</f>
      </c>
      <c r="W53" s="58">
        <f>IFERROR(L53*V53,0)</f>
      </c>
      <c r="X53" s="213">
        <f>IFERROR(Q53+W53,0)</f>
      </c>
      <c r="Y53" s="213">
        <f>IFERROR(M53*V53,0)</f>
      </c>
      <c r="Z53" s="213">
        <f>Y53-(Y53*$B$1)</f>
      </c>
      <c r="AA53" s="67">
        <f>IFERROR(Z53/X53,0)</f>
      </c>
      <c r="AB53" s="215">
        <f>IFERROR(IF(ISBLANK(N53),Y53/O53,Y53/N53),0)</f>
      </c>
      <c r="AC53" s="215">
        <f>IFERROR(-1*(AB53*B$1),0)</f>
      </c>
      <c r="AD53" s="215">
        <f>IFERROR(SUM(AB53:AC53),0)</f>
      </c>
      <c r="AE53" s="215">
        <f>IF(ISBLANK(N53),AD53,AD53*5)</f>
      </c>
      <c r="AF53" s="216">
        <f>SUM(AG53:BB53)</f>
      </c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215">
        <f>Z53-AF53</f>
      </c>
      <c r="BD53" s="214">
        <f>IFERROR(AF53/Z53,0)</f>
      </c>
      <c r="BE53" s="214">
        <f>IFERROR(AF53/X53,0)</f>
      </c>
      <c r="BF53" s="214">
        <f>IFERROR(X53/SUM(X$51:X$65),)</f>
      </c>
      <c r="BG53" s="214">
        <f>BC53/SUM(BC$3:BC250)</f>
      </c>
      <c r="BH53" s="217">
        <f>BC53/'R&amp;H Portfolio'!Q$10</f>
      </c>
      <c r="BI53" s="215">
        <f>BF53*P53</f>
      </c>
      <c r="BJ53" s="3"/>
      <c r="BK53" s="3"/>
      <c r="BL53" s="17"/>
      <c r="BM53" s="4"/>
    </row>
    <row x14ac:dyDescent="0.25" r="54" customHeight="1" ht="15">
      <c r="A54" s="202">
        <v>25568.79196759259</v>
      </c>
      <c r="B54" s="203" t="s">
        <v>532</v>
      </c>
      <c r="C54" s="3"/>
      <c r="D54" s="70" t="s">
        <v>533</v>
      </c>
      <c r="E54" s="70" t="s">
        <v>468</v>
      </c>
      <c r="F54" s="70" t="s">
        <v>160</v>
      </c>
      <c r="G54" s="205">
        <v>531</v>
      </c>
      <c r="H54" s="206">
        <v>1.32</v>
      </c>
      <c r="I54" s="207">
        <v>0.08</v>
      </c>
      <c r="J54" s="208">
        <f>H54+I54</f>
      </c>
      <c r="K54" s="209">
        <v>150000</v>
      </c>
      <c r="L54" s="58">
        <f>K54*I54</f>
      </c>
      <c r="M54" s="58">
        <f>K54*J54</f>
      </c>
      <c r="N54" s="16"/>
      <c r="O54" s="210">
        <v>32</v>
      </c>
      <c r="P54" s="211">
        <f>IF(ISBLANK(N54),O54/4.3,N54/20)</f>
      </c>
      <c r="Q54" s="209">
        <v>9000</v>
      </c>
      <c r="R54" s="212" t="s">
        <v>301</v>
      </c>
      <c r="S54" s="3"/>
      <c r="T54" s="213">
        <f>IF(ISBLANK(R54),0,X54)</f>
      </c>
      <c r="U54" s="213">
        <f>IF(ISBLANK(S54),0,X54)</f>
      </c>
      <c r="V54" s="214">
        <f>IFERROR(Q54/K54,0)</f>
      </c>
      <c r="W54" s="58">
        <f>IFERROR(L54*V54,0)</f>
      </c>
      <c r="X54" s="213">
        <f>IFERROR(Q54+W54,0)</f>
      </c>
      <c r="Y54" s="213">
        <f>IFERROR(M54*V54,0)</f>
      </c>
      <c r="Z54" s="213">
        <f>Y54-(Y54*$B$1)</f>
      </c>
      <c r="AA54" s="67">
        <f>IFERROR(Z54/X54,0)</f>
      </c>
      <c r="AB54" s="215">
        <f>IFERROR(IF(ISBLANK(N54),Y54/O54,Y54/N54),0)</f>
      </c>
      <c r="AC54" s="215">
        <f>IFERROR(-1*(AB54*B$1),0)</f>
      </c>
      <c r="AD54" s="215">
        <f>IFERROR(SUM(AB54:AC54),0)</f>
      </c>
      <c r="AE54" s="215">
        <f>IF(ISBLANK(N54),AD54,AD54*5)</f>
      </c>
      <c r="AF54" s="216">
        <f>SUM(AG54:BB54)</f>
      </c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215">
        <f>Z54-AF54</f>
      </c>
      <c r="BD54" s="214">
        <f>IFERROR(AF54/Z54,0)</f>
      </c>
      <c r="BE54" s="214">
        <f>IFERROR(AF54/X54,0)</f>
      </c>
      <c r="BF54" s="214">
        <f>IFERROR(X54/SUM(X$51:X$65),)</f>
      </c>
      <c r="BG54" s="214">
        <f>BC54/SUM(BC$3:BC251)</f>
      </c>
      <c r="BH54" s="217">
        <f>BC54/'R&amp;H Portfolio'!Q$10</f>
      </c>
      <c r="BI54" s="215">
        <f>BF54*P54</f>
      </c>
      <c r="BJ54" s="3"/>
      <c r="BK54" s="3"/>
      <c r="BL54" s="17"/>
      <c r="BM54" s="4"/>
    </row>
    <row x14ac:dyDescent="0.25" r="55" customHeight="1" ht="15">
      <c r="A55" s="17"/>
      <c r="B55" s="14"/>
      <c r="C55" s="3"/>
      <c r="D55" s="3"/>
      <c r="E55" s="3"/>
      <c r="F55" s="3"/>
      <c r="G55" s="205"/>
      <c r="H55" s="18"/>
      <c r="I55" s="18"/>
      <c r="J55" s="208">
        <f>H55+I55</f>
      </c>
      <c r="K55" s="209"/>
      <c r="L55" s="58">
        <f>K55*I55</f>
      </c>
      <c r="M55" s="58">
        <f>K55*J55</f>
      </c>
      <c r="N55" s="16"/>
      <c r="O55" s="16"/>
      <c r="P55" s="211">
        <f>IF(ISBLANK(N55),O55/4.3,N55/20)</f>
      </c>
      <c r="Q55" s="209"/>
      <c r="R55" s="3"/>
      <c r="S55" s="3"/>
      <c r="T55" s="213">
        <f>IF(ISBLANK(R55),0,X55)</f>
      </c>
      <c r="U55" s="213">
        <f>IF(ISBLANK(S55),0,X55)</f>
      </c>
      <c r="V55" s="214">
        <f>IFERROR(Q55/K55,0)</f>
      </c>
      <c r="W55" s="58">
        <f>IFERROR(L55*V55,0)</f>
      </c>
      <c r="X55" s="213">
        <f>IFERROR(Q55+W55,0)</f>
      </c>
      <c r="Y55" s="213">
        <f>IFERROR(M55*V55,0)</f>
      </c>
      <c r="Z55" s="213">
        <f>Y55-(Y55*$B$1)</f>
      </c>
      <c r="AA55" s="67">
        <f>IFERROR(Z55/X55,0)</f>
      </c>
      <c r="AB55" s="215">
        <f>IFERROR(IF(ISBLANK(N55),Y55/O55,Y55/N55),0)</f>
      </c>
      <c r="AC55" s="215">
        <f>IFERROR(-1*(AB55*B$1),0)</f>
      </c>
      <c r="AD55" s="215">
        <f>IFERROR(SUM(AB55:AC55),0)</f>
      </c>
      <c r="AE55" s="215">
        <f>IF(ISBLANK(N55),AD55,AD55*5)</f>
      </c>
      <c r="AF55" s="216">
        <f>SUM(AG55:BB55)</f>
      </c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215">
        <f>Z55-AF55</f>
      </c>
      <c r="BD55" s="214">
        <f>IFERROR(AF55/Z55,0)</f>
      </c>
      <c r="BE55" s="214">
        <f>IFERROR(AF55/X55,0)</f>
      </c>
      <c r="BF55" s="214">
        <f>IFERROR(X55/SUM(X$51:X$65),)</f>
      </c>
      <c r="BG55" s="214">
        <f>BC55/SUM(BC$3:BC252)</f>
      </c>
      <c r="BH55" s="217">
        <f>BC55/'R&amp;H Portfolio'!Q$10</f>
      </c>
      <c r="BI55" s="215">
        <f>BF55*P55</f>
      </c>
      <c r="BJ55" s="3"/>
      <c r="BK55" s="3"/>
      <c r="BL55" s="17"/>
      <c r="BM55" s="4"/>
    </row>
    <row x14ac:dyDescent="0.25" r="56" customHeight="1" ht="15">
      <c r="A56" s="17"/>
      <c r="B56" s="14"/>
      <c r="C56" s="3"/>
      <c r="D56" s="3"/>
      <c r="E56" s="3"/>
      <c r="F56" s="3"/>
      <c r="G56" s="16"/>
      <c r="H56" s="18"/>
      <c r="I56" s="18"/>
      <c r="J56" s="208">
        <f>H56+I56</f>
      </c>
      <c r="K56" s="209"/>
      <c r="L56" s="58">
        <f>K56*I56</f>
      </c>
      <c r="M56" s="58">
        <f>K56*J56</f>
      </c>
      <c r="N56" s="16"/>
      <c r="O56" s="16"/>
      <c r="P56" s="211">
        <f>IF(ISBLANK(N56),O56/4.3,N56/20)</f>
      </c>
      <c r="Q56" s="209"/>
      <c r="R56" s="3"/>
      <c r="S56" s="3"/>
      <c r="T56" s="213">
        <f>IF(ISBLANK(R56),0,X56)</f>
      </c>
      <c r="U56" s="213">
        <f>IF(ISBLANK(S56),0,X56)</f>
      </c>
      <c r="V56" s="214">
        <f>IFERROR(Q56/K56,0)</f>
      </c>
      <c r="W56" s="58">
        <f>IFERROR(L56*V56,0)</f>
      </c>
      <c r="X56" s="213">
        <f>IFERROR(Q56+W56,0)</f>
      </c>
      <c r="Y56" s="213">
        <f>IFERROR(M56*V56,0)</f>
      </c>
      <c r="Z56" s="213">
        <f>Y56-(Y56*$B$1)</f>
      </c>
      <c r="AA56" s="67">
        <f>IFERROR(Z56/X56,0)</f>
      </c>
      <c r="AB56" s="215">
        <f>IFERROR(IF(ISBLANK(N56),Y56/O56,Y56/N56),0)</f>
      </c>
      <c r="AC56" s="215">
        <f>IFERROR(-1*(AB56*B$1),0)</f>
      </c>
      <c r="AD56" s="215">
        <f>IFERROR(SUM(AB56:AC56),0)</f>
      </c>
      <c r="AE56" s="215">
        <f>IF(ISBLANK(N56),AD56,AD56*5)</f>
      </c>
      <c r="AF56" s="216">
        <f>SUM(AG56:BB56)</f>
      </c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215">
        <f>Z56-AF56</f>
      </c>
      <c r="BD56" s="214">
        <f>IFERROR(AF56/Z56,0)</f>
      </c>
      <c r="BE56" s="214">
        <f>IFERROR(AF56/X56,0)</f>
      </c>
      <c r="BF56" s="214">
        <f>IFERROR(X56/SUM(X$51:X$65),)</f>
      </c>
      <c r="BG56" s="214">
        <f>BC56/SUM(BC$3:BC253)</f>
      </c>
      <c r="BH56" s="217">
        <f>BC56/'R&amp;H Portfolio'!Q$10</f>
      </c>
      <c r="BI56" s="215">
        <f>BF56*P56</f>
      </c>
      <c r="BJ56" s="3"/>
      <c r="BK56" s="3"/>
      <c r="BL56" s="17"/>
      <c r="BM56" s="4"/>
    </row>
    <row x14ac:dyDescent="0.25" r="57" customHeight="1" ht="15">
      <c r="A57" s="17"/>
      <c r="B57" s="14"/>
      <c r="C57" s="3"/>
      <c r="D57" s="3"/>
      <c r="E57" s="3"/>
      <c r="F57" s="3"/>
      <c r="G57" s="16"/>
      <c r="H57" s="18"/>
      <c r="I57" s="18"/>
      <c r="J57" s="208">
        <f>H57+I57</f>
      </c>
      <c r="K57" s="209"/>
      <c r="L57" s="58">
        <f>K57*I57</f>
      </c>
      <c r="M57" s="58">
        <f>K57*J57</f>
      </c>
      <c r="N57" s="16"/>
      <c r="O57" s="16"/>
      <c r="P57" s="211">
        <f>IF(ISBLANK(N57),O57/4.3,N57/20)</f>
      </c>
      <c r="Q57" s="209"/>
      <c r="R57" s="3"/>
      <c r="S57" s="3"/>
      <c r="T57" s="213">
        <f>IF(ISBLANK(R57),0,X57)</f>
      </c>
      <c r="U57" s="213">
        <f>IF(ISBLANK(S57),0,X57)</f>
      </c>
      <c r="V57" s="214">
        <f>IFERROR(Q57/K57,0)</f>
      </c>
      <c r="W57" s="58">
        <f>IFERROR(L57*V57,0)</f>
      </c>
      <c r="X57" s="213">
        <f>IFERROR(Q57+W57,0)</f>
      </c>
      <c r="Y57" s="213">
        <f>IFERROR(M57*V57,0)</f>
      </c>
      <c r="Z57" s="213">
        <f>Y57-(Y57*$B$1)</f>
      </c>
      <c r="AA57" s="67">
        <f>IFERROR(Z57/X57,0)</f>
      </c>
      <c r="AB57" s="215">
        <f>IFERROR(IF(ISBLANK(N57),Y57/O57,Y57/N57),0)</f>
      </c>
      <c r="AC57" s="215">
        <f>IFERROR(-1*(AB57*B$1),0)</f>
      </c>
      <c r="AD57" s="215">
        <f>IFERROR(SUM(AB57:AC57),0)</f>
      </c>
      <c r="AE57" s="215">
        <f>IF(ISBLANK(N57),AD57,AD57*5)</f>
      </c>
      <c r="AF57" s="216">
        <f>SUM(AG57:BB57)</f>
      </c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215">
        <f>Z57-AF57</f>
      </c>
      <c r="BD57" s="214">
        <f>IFERROR(AF57/Z57,0)</f>
      </c>
      <c r="BE57" s="214">
        <f>IFERROR(AF57/X57,0)</f>
      </c>
      <c r="BF57" s="214">
        <f>IFERROR(X57/SUM(X$51:X$65),)</f>
      </c>
      <c r="BG57" s="214">
        <f>BC57/SUM(BC$3:BC254)</f>
      </c>
      <c r="BH57" s="217">
        <f>BC57/'R&amp;H Portfolio'!Q$10</f>
      </c>
      <c r="BI57" s="215">
        <f>BF57*P57</f>
      </c>
      <c r="BJ57" s="3"/>
      <c r="BK57" s="3"/>
      <c r="BL57" s="17"/>
      <c r="BM57" s="4"/>
    </row>
    <row x14ac:dyDescent="0.25" r="58" customHeight="1" ht="15">
      <c r="A58" s="17"/>
      <c r="B58" s="14"/>
      <c r="C58" s="3"/>
      <c r="D58" s="3"/>
      <c r="E58" s="3"/>
      <c r="F58" s="3"/>
      <c r="G58" s="16"/>
      <c r="H58" s="18"/>
      <c r="I58" s="18"/>
      <c r="J58" s="208">
        <f>H58+I58</f>
      </c>
      <c r="K58" s="209"/>
      <c r="L58" s="58">
        <f>K58*I58</f>
      </c>
      <c r="M58" s="58">
        <f>K58*J58</f>
      </c>
      <c r="N58" s="16"/>
      <c r="O58" s="16"/>
      <c r="P58" s="211">
        <f>IF(ISBLANK(N58),O58/4.3,N58/20)</f>
      </c>
      <c r="Q58" s="209"/>
      <c r="R58" s="3"/>
      <c r="S58" s="3"/>
      <c r="T58" s="213">
        <f>IF(ISBLANK(R58),0,X58)</f>
      </c>
      <c r="U58" s="213">
        <f>IF(ISBLANK(S58),0,X58)</f>
      </c>
      <c r="V58" s="214">
        <f>IFERROR(Q58/K58,0)</f>
      </c>
      <c r="W58" s="58">
        <f>IFERROR(L58*V58,0)</f>
      </c>
      <c r="X58" s="213">
        <f>IFERROR(Q58+W58,0)</f>
      </c>
      <c r="Y58" s="213">
        <f>IFERROR(M58*V58,0)</f>
      </c>
      <c r="Z58" s="213">
        <f>Y58-(Y58*$B$1)</f>
      </c>
      <c r="AA58" s="67">
        <f>IFERROR(Z58/X58,0)</f>
      </c>
      <c r="AB58" s="215">
        <f>IFERROR(IF(ISBLANK(N58),Y58/O58,Y58/N58),0)</f>
      </c>
      <c r="AC58" s="215">
        <f>IFERROR(-1*(AB58*B$1),0)</f>
      </c>
      <c r="AD58" s="215">
        <f>IFERROR(SUM(AB58:AC58),0)</f>
      </c>
      <c r="AE58" s="215">
        <f>IF(ISBLANK(N58),AD58,AD58*5)</f>
      </c>
      <c r="AF58" s="216">
        <f>SUM(AG58:BB58)</f>
      </c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215">
        <f>Z58-AF58</f>
      </c>
      <c r="BD58" s="214">
        <f>IFERROR(AF58/Z58,0)</f>
      </c>
      <c r="BE58" s="214">
        <f>IFERROR(AF58/X58,0)</f>
      </c>
      <c r="BF58" s="214">
        <f>IFERROR(X58/SUM(X$51:X$65),)</f>
      </c>
      <c r="BG58" s="214">
        <f>BC58/SUM(BC$3:BC255)</f>
      </c>
      <c r="BH58" s="217">
        <f>BC58/'R&amp;H Portfolio'!Q$10</f>
      </c>
      <c r="BI58" s="215">
        <f>BF58*P58</f>
      </c>
      <c r="BJ58" s="3"/>
      <c r="BK58" s="3"/>
      <c r="BL58" s="17"/>
      <c r="BM58" s="4"/>
    </row>
    <row x14ac:dyDescent="0.25" r="59" customHeight="1" ht="15">
      <c r="A59" s="17"/>
      <c r="B59" s="14"/>
      <c r="C59" s="3"/>
      <c r="D59" s="3"/>
      <c r="E59" s="3"/>
      <c r="F59" s="3"/>
      <c r="G59" s="16"/>
      <c r="H59" s="18"/>
      <c r="I59" s="18"/>
      <c r="J59" s="208">
        <f>H59+I59</f>
      </c>
      <c r="K59" s="209"/>
      <c r="L59" s="58">
        <f>K59*I59</f>
      </c>
      <c r="M59" s="58">
        <f>K59*J59</f>
      </c>
      <c r="N59" s="16"/>
      <c r="O59" s="16"/>
      <c r="P59" s="211">
        <f>IF(ISBLANK(N59),O59/4.3,N59/20)</f>
      </c>
      <c r="Q59" s="209"/>
      <c r="R59" s="3"/>
      <c r="S59" s="3"/>
      <c r="T59" s="213">
        <f>IF(ISBLANK(R59),0,X59)</f>
      </c>
      <c r="U59" s="213">
        <f>IF(ISBLANK(S59),0,X59)</f>
      </c>
      <c r="V59" s="214">
        <f>IFERROR(Q59/K59,0)</f>
      </c>
      <c r="W59" s="58">
        <f>IFERROR(L59*V59,0)</f>
      </c>
      <c r="X59" s="213">
        <f>IFERROR(Q59+W59,0)</f>
      </c>
      <c r="Y59" s="213">
        <f>IFERROR(M59*V59,0)</f>
      </c>
      <c r="Z59" s="213">
        <f>Y59-(Y59*$B$1)</f>
      </c>
      <c r="AA59" s="67">
        <f>IFERROR(Z59/X59,0)</f>
      </c>
      <c r="AB59" s="215">
        <f>IFERROR(IF(ISBLANK(N59),Y59/O59,Y59/N59),0)</f>
      </c>
      <c r="AC59" s="215">
        <f>IFERROR(-1*(AB59*B$1),0)</f>
      </c>
      <c r="AD59" s="215">
        <f>IFERROR(SUM(AB59:AC59),0)</f>
      </c>
      <c r="AE59" s="215">
        <f>IF(ISBLANK(N59),AD59,AD59*5)</f>
      </c>
      <c r="AF59" s="216">
        <f>SUM(AG59:BB59)</f>
      </c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215">
        <f>Z59-AF59</f>
      </c>
      <c r="BD59" s="214">
        <f>IFERROR(AF59/Z59,0)</f>
      </c>
      <c r="BE59" s="214">
        <f>IFERROR(AF59/X59,0)</f>
      </c>
      <c r="BF59" s="214">
        <f>IFERROR(X59/SUM(X$51:X$65),)</f>
      </c>
      <c r="BG59" s="214">
        <f>BC59/SUM(BC$3:BC256)</f>
      </c>
      <c r="BH59" s="217">
        <f>BC59/'R&amp;H Portfolio'!Q$10</f>
      </c>
      <c r="BI59" s="215">
        <f>BF59*P59</f>
      </c>
      <c r="BJ59" s="3"/>
      <c r="BK59" s="3"/>
      <c r="BL59" s="17"/>
      <c r="BM59" s="4"/>
    </row>
    <row x14ac:dyDescent="0.25" r="60" customHeight="1" ht="15">
      <c r="A60" s="17"/>
      <c r="B60" s="14"/>
      <c r="C60" s="3"/>
      <c r="D60" s="3"/>
      <c r="E60" s="3"/>
      <c r="F60" s="3"/>
      <c r="G60" s="16"/>
      <c r="H60" s="18"/>
      <c r="I60" s="18"/>
      <c r="J60" s="208">
        <f>H60+I60</f>
      </c>
      <c r="K60" s="209"/>
      <c r="L60" s="58">
        <f>K60*I60</f>
      </c>
      <c r="M60" s="58">
        <f>K60*J60</f>
      </c>
      <c r="N60" s="16"/>
      <c r="O60" s="16"/>
      <c r="P60" s="211">
        <f>IF(ISBLANK(N60),O60/4.3,N60/20)</f>
      </c>
      <c r="Q60" s="209"/>
      <c r="R60" s="3"/>
      <c r="S60" s="3"/>
      <c r="T60" s="213">
        <f>IF(ISBLANK(R60),0,X60)</f>
      </c>
      <c r="U60" s="213">
        <f>IF(ISBLANK(S60),0,X60)</f>
      </c>
      <c r="V60" s="214">
        <f>IFERROR(Q60/K60,0)</f>
      </c>
      <c r="W60" s="58">
        <f>IFERROR(L60*V60,0)</f>
      </c>
      <c r="X60" s="213">
        <f>IFERROR(Q60+W60,0)</f>
      </c>
      <c r="Y60" s="213">
        <f>IFERROR(M60*V60,0)</f>
      </c>
      <c r="Z60" s="213">
        <f>Y60-(Y60*$B$1)</f>
      </c>
      <c r="AA60" s="67">
        <f>IFERROR(Z60/X60,0)</f>
      </c>
      <c r="AB60" s="215">
        <f>IFERROR(IF(ISBLANK(N60),Y60/O60,Y60/N60),0)</f>
      </c>
      <c r="AC60" s="215">
        <f>IFERROR(-1*(AB60*B$1),0)</f>
      </c>
      <c r="AD60" s="215">
        <f>IFERROR(SUM(AB60:AC60),0)</f>
      </c>
      <c r="AE60" s="215">
        <f>IF(ISBLANK(N60),AD60,AD60*5)</f>
      </c>
      <c r="AF60" s="216">
        <f>SUM(AG60:BB60)</f>
      </c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215">
        <f>Z60-AF60</f>
      </c>
      <c r="BD60" s="214">
        <f>IFERROR(AF60/Z60,0)</f>
      </c>
      <c r="BE60" s="214">
        <f>IFERROR(AF60/X60,0)</f>
      </c>
      <c r="BF60" s="214">
        <f>IFERROR(X60/SUM(X$51:X$65),)</f>
      </c>
      <c r="BG60" s="214">
        <f>BC60/SUM(BC$3:BC257)</f>
      </c>
      <c r="BH60" s="217">
        <f>BC60/'R&amp;H Portfolio'!Q$10</f>
      </c>
      <c r="BI60" s="215">
        <f>BF60*P60</f>
      </c>
      <c r="BJ60" s="3"/>
      <c r="BK60" s="3"/>
      <c r="BL60" s="17"/>
      <c r="BM60" s="4"/>
    </row>
    <row x14ac:dyDescent="0.25" r="61" customHeight="1" ht="15">
      <c r="A61" s="17"/>
      <c r="B61" s="14"/>
      <c r="C61" s="3"/>
      <c r="D61" s="3"/>
      <c r="E61" s="3"/>
      <c r="F61" s="3"/>
      <c r="G61" s="16"/>
      <c r="H61" s="18"/>
      <c r="I61" s="18"/>
      <c r="J61" s="208">
        <f>H61+I61</f>
      </c>
      <c r="K61" s="209"/>
      <c r="L61" s="58">
        <f>K61*I61</f>
      </c>
      <c r="M61" s="58">
        <f>K61*J61</f>
      </c>
      <c r="N61" s="16"/>
      <c r="O61" s="16"/>
      <c r="P61" s="211">
        <f>IF(ISBLANK(N61),O61/4.3,N61/20)</f>
      </c>
      <c r="Q61" s="209"/>
      <c r="R61" s="3"/>
      <c r="S61" s="3"/>
      <c r="T61" s="213">
        <f>IF(ISBLANK(R61),0,X61)</f>
      </c>
      <c r="U61" s="213">
        <f>IF(ISBLANK(S61),0,X61)</f>
      </c>
      <c r="V61" s="214">
        <f>IFERROR(Q61/K61,0)</f>
      </c>
      <c r="W61" s="58">
        <f>IFERROR(L61*V61,0)</f>
      </c>
      <c r="X61" s="213">
        <f>IFERROR(Q61+W61,0)</f>
      </c>
      <c r="Y61" s="213">
        <f>IFERROR(M61*V61,0)</f>
      </c>
      <c r="Z61" s="213">
        <f>Y61-(Y61*$B$1)</f>
      </c>
      <c r="AA61" s="67">
        <f>IFERROR(Z61/X61,0)</f>
      </c>
      <c r="AB61" s="215">
        <f>IFERROR(IF(ISBLANK(N61),Y61/O61,Y61/N61),0)</f>
      </c>
      <c r="AC61" s="215">
        <f>IFERROR(-1*(AB61*B$1),0)</f>
      </c>
      <c r="AD61" s="215">
        <f>IFERROR(SUM(AB61:AC61),0)</f>
      </c>
      <c r="AE61" s="215">
        <f>IF(ISBLANK(N61),AD61,AD61*5)</f>
      </c>
      <c r="AF61" s="216">
        <f>SUM(AG61:BB61)</f>
      </c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215">
        <f>Z61-AF61</f>
      </c>
      <c r="BD61" s="214">
        <f>IFERROR(AF61/Z61,0)</f>
      </c>
      <c r="BE61" s="214">
        <f>IFERROR(AF61/X61,0)</f>
      </c>
      <c r="BF61" s="214">
        <f>IFERROR(X61/SUM(X$51:X$65),)</f>
      </c>
      <c r="BG61" s="214">
        <f>BC61/SUM(BC$3:BC258)</f>
      </c>
      <c r="BH61" s="217">
        <f>BC61/'R&amp;H Portfolio'!Q$10</f>
      </c>
      <c r="BI61" s="215">
        <f>BF61*P61</f>
      </c>
      <c r="BJ61" s="3"/>
      <c r="BK61" s="3"/>
      <c r="BL61" s="17"/>
      <c r="BM61" s="4"/>
    </row>
    <row x14ac:dyDescent="0.25" r="62" customHeight="1" ht="15">
      <c r="A62" s="17"/>
      <c r="B62" s="14"/>
      <c r="C62" s="3"/>
      <c r="D62" s="3"/>
      <c r="E62" s="3"/>
      <c r="F62" s="3"/>
      <c r="G62" s="16"/>
      <c r="H62" s="18"/>
      <c r="I62" s="18"/>
      <c r="J62" s="208">
        <f>H62+I62</f>
      </c>
      <c r="K62" s="209"/>
      <c r="L62" s="58">
        <f>K62*I62</f>
      </c>
      <c r="M62" s="58">
        <f>K62*J62</f>
      </c>
      <c r="N62" s="16"/>
      <c r="O62" s="16"/>
      <c r="P62" s="211">
        <f>IF(ISBLANK(N62),O62/4.3,N62/20)</f>
      </c>
      <c r="Q62" s="209"/>
      <c r="R62" s="3"/>
      <c r="S62" s="3"/>
      <c r="T62" s="213">
        <f>IF(ISBLANK(R62),0,X62)</f>
      </c>
      <c r="U62" s="213">
        <f>IF(ISBLANK(S62),0,X62)</f>
      </c>
      <c r="V62" s="214">
        <f>IFERROR(Q62/K62,0)</f>
      </c>
      <c r="W62" s="58">
        <f>IFERROR(L62*V62,0)</f>
      </c>
      <c r="X62" s="213">
        <f>IFERROR(Q62+W62,0)</f>
      </c>
      <c r="Y62" s="213">
        <f>IFERROR(M62*V62,0)</f>
      </c>
      <c r="Z62" s="213">
        <f>Y62-(Y62*$B$1)</f>
      </c>
      <c r="AA62" s="67">
        <f>IFERROR(Z62/X62,0)</f>
      </c>
      <c r="AB62" s="215">
        <f>IFERROR(IF(ISBLANK(N62),Y62/O62,Y62/N62),0)</f>
      </c>
      <c r="AC62" s="215">
        <f>IFERROR(-1*(AB62*B$1),0)</f>
      </c>
      <c r="AD62" s="215">
        <f>IFERROR(SUM(AB62:AC62),0)</f>
      </c>
      <c r="AE62" s="215">
        <f>IF(ISBLANK(N62),AD62,AD62*5)</f>
      </c>
      <c r="AF62" s="216">
        <f>SUM(AG62:BB62)</f>
      </c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215">
        <f>Z62-AF62</f>
      </c>
      <c r="BD62" s="214">
        <f>IFERROR(AF62/Z62,0)</f>
      </c>
      <c r="BE62" s="214">
        <f>IFERROR(AF62/X62,0)</f>
      </c>
      <c r="BF62" s="214">
        <f>IFERROR(X62/SUM(X$51:X$65),)</f>
      </c>
      <c r="BG62" s="214">
        <f>BC62/SUM(BC$3:BC259)</f>
      </c>
      <c r="BH62" s="217">
        <f>BC62/'R&amp;H Portfolio'!Q$10</f>
      </c>
      <c r="BI62" s="215">
        <f>BF62*P62</f>
      </c>
      <c r="BJ62" s="3"/>
      <c r="BK62" s="3"/>
      <c r="BL62" s="17"/>
      <c r="BM62" s="4"/>
    </row>
    <row x14ac:dyDescent="0.25" r="63" customHeight="1" ht="15">
      <c r="A63" s="17"/>
      <c r="B63" s="14"/>
      <c r="C63" s="3"/>
      <c r="D63" s="3"/>
      <c r="E63" s="3"/>
      <c r="F63" s="3"/>
      <c r="G63" s="16"/>
      <c r="H63" s="18"/>
      <c r="I63" s="18"/>
      <c r="J63" s="208">
        <f>H63+I63</f>
      </c>
      <c r="K63" s="209"/>
      <c r="L63" s="58">
        <f>K63*I63</f>
      </c>
      <c r="M63" s="58">
        <f>K63*J63</f>
      </c>
      <c r="N63" s="16"/>
      <c r="O63" s="16"/>
      <c r="P63" s="211">
        <f>IF(ISBLANK(N63),O63/4.3,N63/20)</f>
      </c>
      <c r="Q63" s="209"/>
      <c r="R63" s="3"/>
      <c r="S63" s="3"/>
      <c r="T63" s="213">
        <f>IF(ISBLANK(R63),0,X63)</f>
      </c>
      <c r="U63" s="213">
        <f>IF(ISBLANK(S63),0,X63)</f>
      </c>
      <c r="V63" s="214">
        <f>IFERROR(Q63/K63,0)</f>
      </c>
      <c r="W63" s="58">
        <f>IFERROR(L63*V63,0)</f>
      </c>
      <c r="X63" s="213">
        <f>IFERROR(Q63+W63,0)</f>
      </c>
      <c r="Y63" s="213">
        <f>IFERROR(M63*V63,0)</f>
      </c>
      <c r="Z63" s="213">
        <f>Y63-(Y63*$B$1)</f>
      </c>
      <c r="AA63" s="67">
        <f>IFERROR(Z63/X63,0)</f>
      </c>
      <c r="AB63" s="215">
        <f>IFERROR(IF(ISBLANK(N63),Y63/O63,Y63/N63),0)</f>
      </c>
      <c r="AC63" s="215">
        <f>IFERROR(-1*(AB63*B$1),0)</f>
      </c>
      <c r="AD63" s="215">
        <f>IFERROR(SUM(AB63:AC63),0)</f>
      </c>
      <c r="AE63" s="215">
        <f>IF(ISBLANK(N63),AD63,AD63*5)</f>
      </c>
      <c r="AF63" s="216">
        <f>SUM(AG63:BB63)</f>
      </c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215">
        <f>Z63-AF63</f>
      </c>
      <c r="BD63" s="214">
        <f>IFERROR(AF63/Z63,0)</f>
      </c>
      <c r="BE63" s="214">
        <f>IFERROR(AF63/X63,0)</f>
      </c>
      <c r="BF63" s="214">
        <f>IFERROR(X63/SUM(X$51:X$65),)</f>
      </c>
      <c r="BG63" s="214">
        <f>BC63/SUM(BC$3:BC260)</f>
      </c>
      <c r="BH63" s="217">
        <f>BC63/'R&amp;H Portfolio'!Q$10</f>
      </c>
      <c r="BI63" s="215">
        <f>BF63*P63</f>
      </c>
      <c r="BJ63" s="3"/>
      <c r="BK63" s="3"/>
      <c r="BL63" s="17"/>
      <c r="BM63" s="4"/>
    </row>
    <row x14ac:dyDescent="0.25" r="64" customHeight="1" ht="15">
      <c r="A64" s="17"/>
      <c r="B64" s="14"/>
      <c r="C64" s="3"/>
      <c r="D64" s="3"/>
      <c r="E64" s="3"/>
      <c r="F64" s="3"/>
      <c r="G64" s="16"/>
      <c r="H64" s="18"/>
      <c r="I64" s="18"/>
      <c r="J64" s="208">
        <f>H64+I64</f>
      </c>
      <c r="K64" s="209"/>
      <c r="L64" s="58">
        <f>K64*I64</f>
      </c>
      <c r="M64" s="58">
        <f>K64*J64</f>
      </c>
      <c r="N64" s="16"/>
      <c r="O64" s="16"/>
      <c r="P64" s="211">
        <f>IF(ISBLANK(N64),O64/4.3,N64/20)</f>
      </c>
      <c r="Q64" s="209"/>
      <c r="R64" s="3"/>
      <c r="S64" s="3"/>
      <c r="T64" s="213">
        <f>IF(ISBLANK(R64),0,X64)</f>
      </c>
      <c r="U64" s="213">
        <f>IF(ISBLANK(S64),0,X64)</f>
      </c>
      <c r="V64" s="214">
        <f>IFERROR(Q64/K64,0)</f>
      </c>
      <c r="W64" s="58">
        <f>IFERROR(L64*V64,0)</f>
      </c>
      <c r="X64" s="213">
        <f>IFERROR(Q64+W64,0)</f>
      </c>
      <c r="Y64" s="213">
        <f>IFERROR(M64*V64,0)</f>
      </c>
      <c r="Z64" s="213">
        <f>Y64-(Y64*$B$1)</f>
      </c>
      <c r="AA64" s="67">
        <f>IFERROR(Z64/X64,0)</f>
      </c>
      <c r="AB64" s="215">
        <f>IFERROR(IF(ISBLANK(N64),Y64/O64,Y64/N64),0)</f>
      </c>
      <c r="AC64" s="215">
        <f>IFERROR(-1*(AB64*B$1),0)</f>
      </c>
      <c r="AD64" s="215">
        <f>IFERROR(SUM(AB64:AC64),0)</f>
      </c>
      <c r="AE64" s="215">
        <f>IF(ISBLANK(N64),AD64,AD64*5)</f>
      </c>
      <c r="AF64" s="216">
        <f>SUM(AG64:BB64)</f>
      </c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215">
        <f>Z64-AF64</f>
      </c>
      <c r="BD64" s="214">
        <f>IFERROR(AF64/Z64,0)</f>
      </c>
      <c r="BE64" s="214">
        <f>IFERROR(AF64/X64,0)</f>
      </c>
      <c r="BF64" s="214">
        <f>IFERROR(X64/SUM(X$51:X$65),)</f>
      </c>
      <c r="BG64" s="214">
        <f>BC64/SUM(BC$3:BC261)</f>
      </c>
      <c r="BH64" s="217">
        <f>BC64/'R&amp;H Portfolio'!Q$10</f>
      </c>
      <c r="BI64" s="215">
        <f>BF64*P64</f>
      </c>
      <c r="BJ64" s="3"/>
      <c r="BK64" s="3"/>
      <c r="BL64" s="17"/>
      <c r="BM64" s="4"/>
    </row>
    <row x14ac:dyDescent="0.25" r="65" customHeight="1" ht="15">
      <c r="A65" s="17"/>
      <c r="B65" s="14"/>
      <c r="C65" s="3"/>
      <c r="D65" s="3"/>
      <c r="E65" s="3"/>
      <c r="F65" s="3"/>
      <c r="G65" s="16"/>
      <c r="H65" s="18"/>
      <c r="I65" s="18"/>
      <c r="J65" s="208">
        <f>H65+I65</f>
      </c>
      <c r="K65" s="209"/>
      <c r="L65" s="58">
        <f>K65*I65</f>
      </c>
      <c r="M65" s="58">
        <f>K65*J65</f>
      </c>
      <c r="N65" s="16"/>
      <c r="O65" s="16"/>
      <c r="P65" s="211">
        <f>IF(ISBLANK(N65),O65/4.3,N65/20)</f>
      </c>
      <c r="Q65" s="209"/>
      <c r="R65" s="3"/>
      <c r="S65" s="3"/>
      <c r="T65" s="213">
        <f>IF(ISBLANK(R65),0,X65)</f>
      </c>
      <c r="U65" s="213">
        <f>IF(ISBLANK(S65),0,X65)</f>
      </c>
      <c r="V65" s="214">
        <f>IFERROR(Q65/K65,0)</f>
      </c>
      <c r="W65" s="58">
        <f>IFERROR(L65*V65,0)</f>
      </c>
      <c r="X65" s="213">
        <f>IFERROR(Q65+W65,0)</f>
      </c>
      <c r="Y65" s="213">
        <f>IFERROR(M65*V65,0)</f>
      </c>
      <c r="Z65" s="213">
        <f>Y65-(Y65*$B$1)</f>
      </c>
      <c r="AA65" s="67">
        <f>IFERROR(Z65/X65,0)</f>
      </c>
      <c r="AB65" s="215">
        <f>IFERROR(IF(ISBLANK(N65),Y65/O65,Y65/N65),0)</f>
      </c>
      <c r="AC65" s="215">
        <f>IFERROR(-1*(AB65*B$1),0)</f>
      </c>
      <c r="AD65" s="215">
        <f>IFERROR(SUM(AB65:AC65),0)</f>
      </c>
      <c r="AE65" s="215">
        <f>IF(ISBLANK(N65),AD65,AD65*5)</f>
      </c>
      <c r="AF65" s="216">
        <f>SUM(AG65:BB65)</f>
      </c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215">
        <f>Z65-AF65</f>
      </c>
      <c r="BD65" s="214">
        <f>IFERROR(AF65/Z65,0)</f>
      </c>
      <c r="BE65" s="214">
        <f>IFERROR(AF65/X65,0)</f>
      </c>
      <c r="BF65" s="214">
        <f>IFERROR(X65/SUM(X$51:X$65),)</f>
      </c>
      <c r="BG65" s="214">
        <f>BC65/SUM(BC$3:BC262)</f>
      </c>
      <c r="BH65" s="217">
        <f>BC65/'R&amp;H Portfolio'!Q$10</f>
      </c>
      <c r="BI65" s="215">
        <f>BF65*P65</f>
      </c>
      <c r="BJ65" s="3"/>
      <c r="BK65" s="3"/>
      <c r="BL65" s="17"/>
      <c r="BM65" s="4"/>
    </row>
    <row x14ac:dyDescent="0.25" r="66" customHeight="1" ht="15">
      <c r="A66" s="17"/>
      <c r="B66" s="14"/>
      <c r="C66" s="3"/>
      <c r="D66" s="3"/>
      <c r="E66" s="3"/>
      <c r="F66" s="3"/>
      <c r="G66" s="16"/>
      <c r="H66" s="18"/>
      <c r="I66" s="18"/>
      <c r="J66" s="208">
        <f>H66+I66</f>
      </c>
      <c r="K66" s="209"/>
      <c r="L66" s="58">
        <f>K66*I66</f>
      </c>
      <c r="M66" s="58">
        <f>K66*J66</f>
      </c>
      <c r="N66" s="16"/>
      <c r="O66" s="16"/>
      <c r="P66" s="211">
        <f>IF(ISBLANK(N66),O66/4.3,N66/20)</f>
      </c>
      <c r="Q66" s="209"/>
      <c r="R66" s="3"/>
      <c r="S66" s="3"/>
      <c r="T66" s="213">
        <f>IF(ISBLANK(R66),0,X66)</f>
      </c>
      <c r="U66" s="213">
        <f>IF(ISBLANK(S66),0,X66)</f>
      </c>
      <c r="V66" s="214">
        <f>IFERROR(Q66/K66,0)</f>
      </c>
      <c r="W66" s="58">
        <f>IFERROR(L66*V66,0)</f>
      </c>
      <c r="X66" s="213">
        <f>IFERROR(Q66+W66,0)</f>
      </c>
      <c r="Y66" s="213">
        <f>IFERROR(M66*V66,0)</f>
      </c>
      <c r="Z66" s="213">
        <f>Y66-(Y66*$B$1)</f>
      </c>
      <c r="AA66" s="67">
        <f>IFERROR(Z66/X66,0)</f>
      </c>
      <c r="AB66" s="215">
        <f>IFERROR(IF(ISBLANK(N66),Y66/O66,Y66/N66),0)</f>
      </c>
      <c r="AC66" s="215">
        <f>IFERROR(-1*(AB66*B$1),0)</f>
      </c>
      <c r="AD66" s="215">
        <f>IFERROR(SUM(AB66:AC66),0)</f>
      </c>
      <c r="AE66" s="215">
        <f>IF(ISBLANK(N66),AD66,AD66*5)</f>
      </c>
      <c r="AF66" s="216">
        <f>SUM(AG66:BB66)</f>
      </c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215">
        <f>Z66-AF66</f>
      </c>
      <c r="BD66" s="214">
        <f>IFERROR(AF66/Z66,0)</f>
      </c>
      <c r="BE66" s="214">
        <f>IFERROR(AF66/X66,0)</f>
      </c>
      <c r="BF66" s="214">
        <f>IFERROR(X66/SUM(X$40:X$55),)</f>
      </c>
      <c r="BG66" s="214">
        <f>BC66/SUM(BC$3:BC263)</f>
      </c>
      <c r="BH66" s="217">
        <f>BC66/'R&amp;H Portfolio'!Q$10</f>
      </c>
      <c r="BI66" s="215">
        <f>BF66*P66</f>
      </c>
      <c r="BJ66" s="3"/>
      <c r="BK66" s="3"/>
      <c r="BL66" s="17"/>
      <c r="BM66" s="4"/>
    </row>
    <row x14ac:dyDescent="0.25" r="67" customHeight="1" ht="15">
      <c r="A67" s="17"/>
      <c r="B67" s="14"/>
      <c r="C67" s="3"/>
      <c r="D67" s="3"/>
      <c r="E67" s="3"/>
      <c r="F67" s="3"/>
      <c r="G67" s="16"/>
      <c r="H67" s="18"/>
      <c r="I67" s="18"/>
      <c r="J67" s="208">
        <f>H67+I67</f>
      </c>
      <c r="K67" s="209"/>
      <c r="L67" s="58">
        <f>K67*I67</f>
      </c>
      <c r="M67" s="58">
        <f>K67*J67</f>
      </c>
      <c r="N67" s="16"/>
      <c r="O67" s="16"/>
      <c r="P67" s="211">
        <f>IF(ISBLANK(N67),O67/4.3,N67/20)</f>
      </c>
      <c r="Q67" s="209"/>
      <c r="R67" s="3"/>
      <c r="S67" s="3"/>
      <c r="T67" s="213">
        <f>IF(ISBLANK(R67),0,X67)</f>
      </c>
      <c r="U67" s="213">
        <f>IF(ISBLANK(S67),0,X67)</f>
      </c>
      <c r="V67" s="214">
        <f>IFERROR(Q67/K67,0)</f>
      </c>
      <c r="W67" s="58">
        <f>IFERROR(L67*V67,0)</f>
      </c>
      <c r="X67" s="213">
        <f>IFERROR(Q67+W67,0)</f>
      </c>
      <c r="Y67" s="213">
        <f>IFERROR(M67*V67,0)</f>
      </c>
      <c r="Z67" s="213">
        <f>Y67-(Y67*$B$1)</f>
      </c>
      <c r="AA67" s="67">
        <f>IFERROR(Z67/X67,0)</f>
      </c>
      <c r="AB67" s="215">
        <f>IFERROR(IF(ISBLANK(N67),Y67/O67,Y67/N67),0)</f>
      </c>
      <c r="AC67" s="215">
        <f>IFERROR(-1*(AB67*B$1),0)</f>
      </c>
      <c r="AD67" s="215">
        <f>IFERROR(SUM(AB67:AC67),0)</f>
      </c>
      <c r="AE67" s="215">
        <f>IF(ISBLANK(N67),AD67,AD67*5)</f>
      </c>
      <c r="AF67" s="216">
        <f>SUM(AG67:BB67)</f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215">
        <f>Z67-AF67</f>
      </c>
      <c r="BD67" s="214">
        <f>IFERROR(AF67/Z67,0)</f>
      </c>
      <c r="BE67" s="214">
        <f>IFERROR(AF67/X67,0)</f>
      </c>
      <c r="BF67" s="214">
        <f>IFERROR(X67/SUM(X$40:X$55),)</f>
      </c>
      <c r="BG67" s="214">
        <f>BC67/SUM(BC$3:BC264)</f>
      </c>
      <c r="BH67" s="217">
        <f>BC67/'R&amp;H Portfolio'!Q$10</f>
      </c>
      <c r="BI67" s="215">
        <f>BF67*P67</f>
      </c>
      <c r="BJ67" s="3"/>
      <c r="BK67" s="3"/>
      <c r="BL67" s="17"/>
      <c r="BM67" s="4"/>
    </row>
    <row x14ac:dyDescent="0.25" r="68" customHeight="1" ht="15">
      <c r="A68" s="17"/>
      <c r="B68" s="14"/>
      <c r="C68" s="3"/>
      <c r="D68" s="3"/>
      <c r="E68" s="3"/>
      <c r="F68" s="3"/>
      <c r="G68" s="16"/>
      <c r="H68" s="18"/>
      <c r="I68" s="18"/>
      <c r="J68" s="208">
        <f>H68+I68</f>
      </c>
      <c r="K68" s="209"/>
      <c r="L68" s="58">
        <f>K68*I68</f>
      </c>
      <c r="M68" s="58">
        <f>K68*J68</f>
      </c>
      <c r="N68" s="16"/>
      <c r="O68" s="16"/>
      <c r="P68" s="211">
        <f>IF(ISBLANK(N68),O68/4.3,N68/20)</f>
      </c>
      <c r="Q68" s="209"/>
      <c r="R68" s="3"/>
      <c r="S68" s="3"/>
      <c r="T68" s="213">
        <f>IF(ISBLANK(R68),0,X68)</f>
      </c>
      <c r="U68" s="213">
        <f>IF(ISBLANK(S68),0,X68)</f>
      </c>
      <c r="V68" s="214">
        <f>IFERROR(Q68/K68,0)</f>
      </c>
      <c r="W68" s="58">
        <f>IFERROR(L68*V68,0)</f>
      </c>
      <c r="X68" s="213">
        <f>IFERROR(Q68+W68,0)</f>
      </c>
      <c r="Y68" s="213">
        <f>IFERROR(M68*V68,0)</f>
      </c>
      <c r="Z68" s="213">
        <f>Y68-(Y68*$B$1)</f>
      </c>
      <c r="AA68" s="67">
        <f>IFERROR(Z68/X68,0)</f>
      </c>
      <c r="AB68" s="215">
        <f>IFERROR(IF(ISBLANK(N68),Y68/O68,Y68/N68),0)</f>
      </c>
      <c r="AC68" s="215">
        <f>IFERROR(-1*(AB68*B$1),0)</f>
      </c>
      <c r="AD68" s="215">
        <f>IFERROR(SUM(AB68:AC68),0)</f>
      </c>
      <c r="AE68" s="215">
        <f>IF(ISBLANK(N68),AD68,AD68*5)</f>
      </c>
      <c r="AF68" s="216">
        <f>SUM(AG68:BB68)</f>
      </c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215">
        <f>Z68-AF68</f>
      </c>
      <c r="BD68" s="214">
        <f>IFERROR(AF68/Z68,0)</f>
      </c>
      <c r="BE68" s="214">
        <f>IFERROR(AF68/X68,0)</f>
      </c>
      <c r="BF68" s="214">
        <f>IFERROR(X68/SUM(X$40:X$55),)</f>
      </c>
      <c r="BG68" s="214">
        <f>BC68/SUM(BC$3:BC265)</f>
      </c>
      <c r="BH68" s="217">
        <f>BC68/'R&amp;H Portfolio'!Q$10</f>
      </c>
      <c r="BI68" s="215">
        <f>BF68*P68</f>
      </c>
      <c r="BJ68" s="3"/>
      <c r="BK68" s="3"/>
      <c r="BL68" s="17"/>
      <c r="BM68" s="4"/>
    </row>
    <row x14ac:dyDescent="0.25" r="69" customHeight="1" ht="15">
      <c r="A69" s="17"/>
      <c r="B69" s="14"/>
      <c r="C69" s="3"/>
      <c r="D69" s="3"/>
      <c r="E69" s="3"/>
      <c r="F69" s="3"/>
      <c r="G69" s="16"/>
      <c r="H69" s="18"/>
      <c r="I69" s="18"/>
      <c r="J69" s="208">
        <f>H69+I69</f>
      </c>
      <c r="K69" s="209"/>
      <c r="L69" s="58">
        <f>K69*I69</f>
      </c>
      <c r="M69" s="58">
        <f>K69*J69</f>
      </c>
      <c r="N69" s="16"/>
      <c r="O69" s="16"/>
      <c r="P69" s="211">
        <f>IF(ISBLANK(N69),O69/4.3,N69/20)</f>
      </c>
      <c r="Q69" s="209"/>
      <c r="R69" s="3"/>
      <c r="S69" s="3"/>
      <c r="T69" s="213">
        <f>IF(ISBLANK(R69),0,X69)</f>
      </c>
      <c r="U69" s="213">
        <f>IF(ISBLANK(S69),0,X69)</f>
      </c>
      <c r="V69" s="214">
        <f>IFERROR(Q69/K69,0)</f>
      </c>
      <c r="W69" s="58">
        <f>IFERROR(L69*V69,0)</f>
      </c>
      <c r="X69" s="213">
        <f>IFERROR(Q69+W69,0)</f>
      </c>
      <c r="Y69" s="213">
        <f>IFERROR(M69*V69,0)</f>
      </c>
      <c r="Z69" s="213">
        <f>Y69-(Y69*$B$1)</f>
      </c>
      <c r="AA69" s="67">
        <f>IFERROR(Z69/X69,0)</f>
      </c>
      <c r="AB69" s="215">
        <f>IFERROR(IF(ISBLANK(N69),Y69/O69,Y69/N69),0)</f>
      </c>
      <c r="AC69" s="215">
        <f>IFERROR(-1*(AB69*B$1),0)</f>
      </c>
      <c r="AD69" s="215">
        <f>IFERROR(SUM(AB69:AC69),0)</f>
      </c>
      <c r="AE69" s="215">
        <f>IF(ISBLANK(N69),AD69,AD69*5)</f>
      </c>
      <c r="AF69" s="216">
        <f>SUM(AG69:BB69)</f>
      </c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215">
        <f>Z69-AF69</f>
      </c>
      <c r="BD69" s="214">
        <f>IFERROR(AF69/Z69,0)</f>
      </c>
      <c r="BE69" s="214">
        <f>IFERROR(AF69/X69,0)</f>
      </c>
      <c r="BF69" s="214">
        <f>IFERROR(X69/SUM(X$40:X$55),)</f>
      </c>
      <c r="BG69" s="214">
        <f>BC69/SUM(BC$3:BC266)</f>
      </c>
      <c r="BH69" s="217">
        <f>BC69/'R&amp;H Portfolio'!Q$10</f>
      </c>
      <c r="BI69" s="215">
        <f>BF69*P69</f>
      </c>
      <c r="BJ69" s="3"/>
      <c r="BK69" s="3"/>
      <c r="BL69" s="17"/>
      <c r="BM69" s="4"/>
    </row>
    <row x14ac:dyDescent="0.25" r="70" customHeight="1" ht="15">
      <c r="A70" s="17"/>
      <c r="B70" s="14"/>
      <c r="C70" s="3"/>
      <c r="D70" s="3"/>
      <c r="E70" s="3"/>
      <c r="F70" s="3"/>
      <c r="G70" s="16"/>
      <c r="H70" s="18"/>
      <c r="I70" s="18"/>
      <c r="J70" s="208">
        <f>H70+I70</f>
      </c>
      <c r="K70" s="209"/>
      <c r="L70" s="58">
        <f>K70*I70</f>
      </c>
      <c r="M70" s="58">
        <f>K70*J70</f>
      </c>
      <c r="N70" s="16"/>
      <c r="O70" s="16"/>
      <c r="P70" s="211">
        <f>IF(ISBLANK(N70),O70/4.3,N70/20)</f>
      </c>
      <c r="Q70" s="209"/>
      <c r="R70" s="3"/>
      <c r="S70" s="3"/>
      <c r="T70" s="213">
        <f>IF(ISBLANK(R70),0,X70)</f>
      </c>
      <c r="U70" s="213">
        <f>IF(ISBLANK(S70),0,X70)</f>
      </c>
      <c r="V70" s="214">
        <f>IFERROR(Q70/K70,0)</f>
      </c>
      <c r="W70" s="58">
        <f>IFERROR(L70*V70,0)</f>
      </c>
      <c r="X70" s="213">
        <f>IFERROR(Q70+W70,0)</f>
      </c>
      <c r="Y70" s="213">
        <f>IFERROR(M70*V70,0)</f>
      </c>
      <c r="Z70" s="213">
        <f>Y70-(Y70*$B$1)</f>
      </c>
      <c r="AA70" s="67">
        <f>IFERROR(Z70/X70,0)</f>
      </c>
      <c r="AB70" s="215">
        <f>IFERROR(IF(ISBLANK(N70),Y70/O70,Y70/N70),0)</f>
      </c>
      <c r="AC70" s="215">
        <f>IFERROR(-1*(AB70*B$1),0)</f>
      </c>
      <c r="AD70" s="215">
        <f>IFERROR(SUM(AB70:AC70),0)</f>
      </c>
      <c r="AE70" s="215">
        <f>IF(ISBLANK(N70),AD70,AD70*5)</f>
      </c>
      <c r="AF70" s="216">
        <f>SUM(AG70:BB70)</f>
      </c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215">
        <f>Z70-AF70</f>
      </c>
      <c r="BD70" s="214">
        <f>IFERROR(AF70/Z70,0)</f>
      </c>
      <c r="BE70" s="214">
        <f>IFERROR(AF70/X70,0)</f>
      </c>
      <c r="BF70" s="214">
        <f>IFERROR(X70/SUM(X$40:X$55),)</f>
      </c>
      <c r="BG70" s="214">
        <f>BC70/SUM(BC$3:BC267)</f>
      </c>
      <c r="BH70" s="217">
        <f>BC70/'R&amp;H Portfolio'!Q$10</f>
      </c>
      <c r="BI70" s="215">
        <f>BF70*P70</f>
      </c>
      <c r="BJ70" s="3"/>
      <c r="BK70" s="3"/>
      <c r="BL70" s="17"/>
      <c r="BM70" s="4"/>
    </row>
    <row x14ac:dyDescent="0.25" r="71" customHeight="1" ht="15">
      <c r="A71" s="17"/>
      <c r="B71" s="14"/>
      <c r="C71" s="3"/>
      <c r="D71" s="3"/>
      <c r="E71" s="3"/>
      <c r="F71" s="3"/>
      <c r="G71" s="16"/>
      <c r="H71" s="18"/>
      <c r="I71" s="18"/>
      <c r="J71" s="208">
        <f>H71+I71</f>
      </c>
      <c r="K71" s="209"/>
      <c r="L71" s="58">
        <f>K71*I71</f>
      </c>
      <c r="M71" s="58">
        <f>K71*J71</f>
      </c>
      <c r="N71" s="16"/>
      <c r="O71" s="16"/>
      <c r="P71" s="211">
        <f>IF(ISBLANK(N71),O71/4.3,N71/20)</f>
      </c>
      <c r="Q71" s="209"/>
      <c r="R71" s="3"/>
      <c r="S71" s="3"/>
      <c r="T71" s="213">
        <f>IF(ISBLANK(R71),0,X71)</f>
      </c>
      <c r="U71" s="213">
        <f>IF(ISBLANK(S71),0,X71)</f>
      </c>
      <c r="V71" s="214">
        <f>IFERROR(Q71/K71,0)</f>
      </c>
      <c r="W71" s="58">
        <f>IFERROR(L71*V71,0)</f>
      </c>
      <c r="X71" s="213">
        <f>IFERROR(Q71+W71,0)</f>
      </c>
      <c r="Y71" s="213">
        <f>IFERROR(M71*V71,0)</f>
      </c>
      <c r="Z71" s="213">
        <f>Y71-(Y71*$B$1)</f>
      </c>
      <c r="AA71" s="67">
        <f>IFERROR(Z71/X71,0)</f>
      </c>
      <c r="AB71" s="215">
        <f>IFERROR(IF(ISBLANK(N71),Y71/O71,Y71/N71),0)</f>
      </c>
      <c r="AC71" s="215">
        <f>IFERROR(-1*(AB71*B$1),0)</f>
      </c>
      <c r="AD71" s="215">
        <f>IFERROR(SUM(AB71:AC71),0)</f>
      </c>
      <c r="AE71" s="215">
        <f>IF(ISBLANK(N71),AD71,AD71*5)</f>
      </c>
      <c r="AF71" s="216">
        <f>SUM(AG71:BB71)</f>
      </c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215">
        <f>Z71-AF71</f>
      </c>
      <c r="BD71" s="214">
        <f>IFERROR(AF71/Z71,0)</f>
      </c>
      <c r="BE71" s="214">
        <f>IFERROR(AF71/X71,0)</f>
      </c>
      <c r="BF71" s="214">
        <f>IFERROR(X71/SUM(X$40:X$55),)</f>
      </c>
      <c r="BG71" s="214">
        <f>BC71/SUM(BC$3:BC268)</f>
      </c>
      <c r="BH71" s="217">
        <f>BC71/'R&amp;H Portfolio'!Q$10</f>
      </c>
      <c r="BI71" s="215">
        <f>BF71*P71</f>
      </c>
      <c r="BJ71" s="3"/>
      <c r="BK71" s="3"/>
      <c r="BL71" s="17"/>
      <c r="BM71" s="4"/>
    </row>
    <row x14ac:dyDescent="0.25" r="72" customHeight="1" ht="15">
      <c r="A72" s="17"/>
      <c r="B72" s="14"/>
      <c r="C72" s="3"/>
      <c r="D72" s="3"/>
      <c r="E72" s="3"/>
      <c r="F72" s="3"/>
      <c r="G72" s="16"/>
      <c r="H72" s="18"/>
      <c r="I72" s="18"/>
      <c r="J72" s="208">
        <f>H72+I72</f>
      </c>
      <c r="K72" s="209"/>
      <c r="L72" s="58">
        <f>K72*I72</f>
      </c>
      <c r="M72" s="58">
        <f>K72*J72</f>
      </c>
      <c r="N72" s="16"/>
      <c r="O72" s="16"/>
      <c r="P72" s="211">
        <f>IF(ISBLANK(N72),O72/4.3,N72/20)</f>
      </c>
      <c r="Q72" s="209"/>
      <c r="R72" s="3"/>
      <c r="S72" s="3"/>
      <c r="T72" s="213">
        <f>IF(ISBLANK(R72),0,X72)</f>
      </c>
      <c r="U72" s="213">
        <f>IF(ISBLANK(S72),0,X72)</f>
      </c>
      <c r="V72" s="214">
        <f>IFERROR(Q72/K72,0)</f>
      </c>
      <c r="W72" s="58">
        <f>IFERROR(L72*V72,0)</f>
      </c>
      <c r="X72" s="213">
        <f>IFERROR(Q72+W72,0)</f>
      </c>
      <c r="Y72" s="213">
        <f>IFERROR(M72*V72,0)</f>
      </c>
      <c r="Z72" s="213">
        <f>Y72-(Y72*$B$1)</f>
      </c>
      <c r="AA72" s="67">
        <f>IFERROR(Z72/X72,0)</f>
      </c>
      <c r="AB72" s="215">
        <f>IFERROR(IF(ISBLANK(N72),Y72/O72,Y72/N72),0)</f>
      </c>
      <c r="AC72" s="215">
        <f>IFERROR(-1*(AB72*B$1),0)</f>
      </c>
      <c r="AD72" s="215">
        <f>IFERROR(SUM(AB72:AC72),0)</f>
      </c>
      <c r="AE72" s="215">
        <f>IF(ISBLANK(N72),AD72,AD72*5)</f>
      </c>
      <c r="AF72" s="216">
        <f>SUM(AG72:BB72)</f>
      </c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215">
        <f>Z72-AF72</f>
      </c>
      <c r="BD72" s="214">
        <f>IFERROR(AF72/Z72,0)</f>
      </c>
      <c r="BE72" s="214">
        <f>IFERROR(AF72/X72,0)</f>
      </c>
      <c r="BF72" s="214">
        <f>IFERROR(X72/SUM(X$40:X$55),)</f>
      </c>
      <c r="BG72" s="214">
        <f>BC72/SUM(BC$3:BC269)</f>
      </c>
      <c r="BH72" s="217">
        <f>BC72/'R&amp;H Portfolio'!Q$10</f>
      </c>
      <c r="BI72" s="215">
        <f>BF72*P72</f>
      </c>
      <c r="BJ72" s="3"/>
      <c r="BK72" s="3"/>
      <c r="BL72" s="17"/>
      <c r="BM72" s="4"/>
    </row>
    <row x14ac:dyDescent="0.25" r="73" customHeight="1" ht="15">
      <c r="A73" s="17"/>
      <c r="B73" s="14"/>
      <c r="C73" s="3"/>
      <c r="D73" s="3"/>
      <c r="E73" s="3"/>
      <c r="F73" s="3"/>
      <c r="G73" s="16"/>
      <c r="H73" s="18"/>
      <c r="I73" s="18"/>
      <c r="J73" s="208">
        <f>H73+I73</f>
      </c>
      <c r="K73" s="209"/>
      <c r="L73" s="58">
        <f>K73*I73</f>
      </c>
      <c r="M73" s="58">
        <f>K73*J73</f>
      </c>
      <c r="N73" s="16"/>
      <c r="O73" s="16"/>
      <c r="P73" s="211">
        <f>IF(ISBLANK(N73),O73/4.3,N73/20)</f>
      </c>
      <c r="Q73" s="209"/>
      <c r="R73" s="3"/>
      <c r="S73" s="3"/>
      <c r="T73" s="213">
        <f>IF(ISBLANK(R73),0,X73)</f>
      </c>
      <c r="U73" s="213">
        <f>IF(ISBLANK(S73),0,X73)</f>
      </c>
      <c r="V73" s="214">
        <f>IFERROR(Q73/K73,0)</f>
      </c>
      <c r="W73" s="58">
        <f>IFERROR(L73*V73,0)</f>
      </c>
      <c r="X73" s="213">
        <f>IFERROR(Q73+W73,0)</f>
      </c>
      <c r="Y73" s="213">
        <f>IFERROR(M73*V73,0)</f>
      </c>
      <c r="Z73" s="213">
        <f>Y73-(Y73*$B$1)</f>
      </c>
      <c r="AA73" s="67">
        <f>IFERROR(Z73/X73,0)</f>
      </c>
      <c r="AB73" s="215">
        <f>IFERROR(IF(ISBLANK(N73),Y73/O73,Y73/N73),0)</f>
      </c>
      <c r="AC73" s="215">
        <f>IFERROR(-1*(AB73*B$1),0)</f>
      </c>
      <c r="AD73" s="215">
        <f>IFERROR(SUM(AB73:AC73),0)</f>
      </c>
      <c r="AE73" s="215">
        <f>IF(ISBLANK(N73),AD73,AD73*5)</f>
      </c>
      <c r="AF73" s="216">
        <f>SUM(AG73:BB73)</f>
      </c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215">
        <f>Z73-AF73</f>
      </c>
      <c r="BD73" s="214">
        <f>IFERROR(AF73/Z73,0)</f>
      </c>
      <c r="BE73" s="214">
        <f>IFERROR(AF73/X73,0)</f>
      </c>
      <c r="BF73" s="214">
        <f>IFERROR(X73/SUM(X$40:X$55),)</f>
      </c>
      <c r="BG73" s="214">
        <f>BC73/SUM(BC$3:BC270)</f>
      </c>
      <c r="BH73" s="217">
        <f>BC73/'R&amp;H Portfolio'!Q$10</f>
      </c>
      <c r="BI73" s="215">
        <f>BF73*P73</f>
      </c>
      <c r="BJ73" s="3"/>
      <c r="BK73" s="3"/>
      <c r="BL73" s="17"/>
      <c r="BM73" s="4"/>
    </row>
    <row x14ac:dyDescent="0.25" r="74" customHeight="1" ht="15">
      <c r="A74" s="17"/>
      <c r="B74" s="14"/>
      <c r="C74" s="3"/>
      <c r="D74" s="3"/>
      <c r="E74" s="3"/>
      <c r="F74" s="3"/>
      <c r="G74" s="16"/>
      <c r="H74" s="18"/>
      <c r="I74" s="18"/>
      <c r="J74" s="208">
        <f>H74+I74</f>
      </c>
      <c r="K74" s="1"/>
      <c r="L74" s="58">
        <f>K74*I74</f>
      </c>
      <c r="M74" s="58">
        <f>K74*J74</f>
      </c>
      <c r="N74" s="16"/>
      <c r="O74" s="16"/>
      <c r="P74" s="211">
        <f>IF(ISBLANK(N74),O74/4.3,N74/20)</f>
      </c>
      <c r="Q74" s="209"/>
      <c r="R74" s="3"/>
      <c r="S74" s="3"/>
      <c r="T74" s="213">
        <f>IF(ISBLANK(R74),0,X74)</f>
      </c>
      <c r="U74" s="213">
        <f>IF(ISBLANK(S74),0,X74)</f>
      </c>
      <c r="V74" s="214">
        <f>IFERROR(Q74/K74,0)</f>
      </c>
      <c r="W74" s="58">
        <f>IFERROR(L74*V74,0)</f>
      </c>
      <c r="X74" s="213">
        <f>IFERROR(Q74+W74,0)</f>
      </c>
      <c r="Y74" s="213">
        <f>IFERROR(M74*V74,0)</f>
      </c>
      <c r="Z74" s="213">
        <f>Y74-(Y74*$B$1)</f>
      </c>
      <c r="AA74" s="67">
        <f>IFERROR(Z74/X74,0)</f>
      </c>
      <c r="AB74" s="215">
        <f>IFERROR(IF(ISBLANK(N74),Y74/O74,Y74/N74),0)</f>
      </c>
      <c r="AC74" s="215">
        <f>IFERROR(-1*(AB74*B$1),0)</f>
      </c>
      <c r="AD74" s="215">
        <f>IFERROR(SUM(AB74:AC74),0)</f>
      </c>
      <c r="AE74" s="215">
        <f>IF(ISBLANK(N74),AD74,AD74*5)</f>
      </c>
      <c r="AF74" s="216">
        <f>SUM(AG74:BB74)</f>
      </c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215">
        <f>Z74-AF74</f>
      </c>
      <c r="BD74" s="214">
        <f>IFERROR(AF74/Z74,0)</f>
      </c>
      <c r="BE74" s="214">
        <f>IFERROR(AF74/X74,0)</f>
      </c>
      <c r="BF74" s="214">
        <f>IFERROR(X74/SUM(X$40:X$55),)</f>
      </c>
      <c r="BG74" s="214">
        <f>BC74/SUM(BC$3:BC271)</f>
      </c>
      <c r="BH74" s="217">
        <f>BC74/'R&amp;H Portfolio'!Q$10</f>
      </c>
      <c r="BI74" s="215">
        <f>BF74*P74</f>
      </c>
      <c r="BJ74" s="3"/>
      <c r="BK74" s="3"/>
      <c r="BL74" s="17"/>
      <c r="BM74" s="4"/>
    </row>
    <row x14ac:dyDescent="0.25" r="75" customHeight="1" ht="15">
      <c r="A75" s="17"/>
      <c r="B75" s="14"/>
      <c r="C75" s="3"/>
      <c r="D75" s="3"/>
      <c r="E75" s="3"/>
      <c r="F75" s="3"/>
      <c r="G75" s="16"/>
      <c r="H75" s="18"/>
      <c r="I75" s="18"/>
      <c r="J75" s="208">
        <f>H75+I75</f>
      </c>
      <c r="K75" s="1"/>
      <c r="L75" s="58">
        <f>K75*I75</f>
      </c>
      <c r="M75" s="58">
        <f>K75*J75</f>
      </c>
      <c r="N75" s="16"/>
      <c r="O75" s="16"/>
      <c r="P75" s="211">
        <f>IF(ISBLANK(N75),O75/4.3,N75/20)</f>
      </c>
      <c r="Q75" s="1"/>
      <c r="R75" s="3"/>
      <c r="S75" s="3"/>
      <c r="T75" s="213">
        <f>IF(ISBLANK(R75),0,X75)</f>
      </c>
      <c r="U75" s="213">
        <f>IF(ISBLANK(S75),0,X75)</f>
      </c>
      <c r="V75" s="214">
        <f>IFERROR(Q75/K75,0)</f>
      </c>
      <c r="W75" s="58">
        <f>IFERROR(L75*V75,0)</f>
      </c>
      <c r="X75" s="213">
        <f>IFERROR(Q75+W75,0)</f>
      </c>
      <c r="Y75" s="213">
        <f>IFERROR(M75*V75,0)</f>
      </c>
      <c r="Z75" s="213">
        <f>Y75-(Y75*$B$1)</f>
      </c>
      <c r="AA75" s="67">
        <f>IFERROR(Z75/X75,0)</f>
      </c>
      <c r="AB75" s="215">
        <f>IFERROR(IF(ISBLANK(N75),Y75/O75,Y75/N75),0)</f>
      </c>
      <c r="AC75" s="215">
        <f>IFERROR(-1*(AB75*B$1),0)</f>
      </c>
      <c r="AD75" s="215">
        <f>IFERROR(SUM(AB75:AC75),0)</f>
      </c>
      <c r="AE75" s="215">
        <f>IF(ISBLANK(N75),AD75,AD75*5)</f>
      </c>
      <c r="AF75" s="216">
        <f>SUM(AG75:BB75)</f>
      </c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215">
        <f>Z75-AF75</f>
      </c>
      <c r="BD75" s="214">
        <f>IFERROR(AF75/Z75,0)</f>
      </c>
      <c r="BE75" s="214">
        <f>IFERROR(AF75/X75,0)</f>
      </c>
      <c r="BF75" s="214">
        <f>IFERROR(X75/SUM(X$40:X$55),)</f>
      </c>
      <c r="BG75" s="214">
        <f>BC75/SUM(BC$3:BC272)</f>
      </c>
      <c r="BH75" s="217">
        <f>BC75/'R&amp;H Portfolio'!Q$10</f>
      </c>
      <c r="BI75" s="215">
        <f>BF75*P75</f>
      </c>
      <c r="BJ75" s="3"/>
      <c r="BK75" s="3"/>
      <c r="BL75" s="17"/>
      <c r="BM75" s="4"/>
    </row>
    <row x14ac:dyDescent="0.25" r="76" customHeight="1" ht="15">
      <c r="A76" s="17"/>
      <c r="B76" s="14"/>
      <c r="C76" s="3"/>
      <c r="D76" s="3"/>
      <c r="E76" s="3"/>
      <c r="F76" s="3"/>
      <c r="G76" s="16"/>
      <c r="H76" s="18"/>
      <c r="I76" s="18"/>
      <c r="J76" s="3"/>
      <c r="K76" s="1"/>
      <c r="L76" s="3"/>
      <c r="M76" s="3"/>
      <c r="N76" s="16"/>
      <c r="O76" s="16"/>
      <c r="P76" s="3"/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16">
        <f>SUM(AG76:BB76)</f>
      </c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3"/>
      <c r="BD76" s="3"/>
      <c r="BE76" s="3"/>
      <c r="BF76" s="3"/>
      <c r="BG76" s="3"/>
      <c r="BH76" s="3"/>
      <c r="BI76" s="3"/>
      <c r="BJ76" s="3"/>
      <c r="BK76" s="3"/>
      <c r="BL76" s="17"/>
      <c r="BM76" s="4"/>
    </row>
    <row x14ac:dyDescent="0.25" r="77" customHeight="1" ht="15">
      <c r="A77" s="17"/>
      <c r="B77" s="14"/>
      <c r="C77" s="3"/>
      <c r="D77" s="3"/>
      <c r="E77" s="3"/>
      <c r="F77" s="3"/>
      <c r="G77" s="16"/>
      <c r="H77" s="18"/>
      <c r="I77" s="18"/>
      <c r="J77" s="3"/>
      <c r="K77" s="1"/>
      <c r="L77" s="3"/>
      <c r="M77" s="3"/>
      <c r="N77" s="16"/>
      <c r="O77" s="16"/>
      <c r="P77" s="3"/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216">
        <f>SUM(AG77:BB77)</f>
      </c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3"/>
      <c r="BD77" s="3"/>
      <c r="BE77" s="3"/>
      <c r="BF77" s="3"/>
      <c r="BG77" s="3"/>
      <c r="BH77" s="3"/>
      <c r="BI77" s="3"/>
      <c r="BJ77" s="3"/>
      <c r="BK77" s="3"/>
      <c r="BL77" s="17"/>
      <c r="BM77" s="4"/>
    </row>
    <row x14ac:dyDescent="0.25" r="78" customHeight="1" ht="15">
      <c r="A78" s="17"/>
      <c r="B78" s="14"/>
      <c r="C78" s="3"/>
      <c r="D78" s="3"/>
      <c r="E78" s="3"/>
      <c r="F78" s="3"/>
      <c r="G78" s="16"/>
      <c r="H78" s="18"/>
      <c r="I78" s="18"/>
      <c r="J78" s="3"/>
      <c r="K78" s="1"/>
      <c r="L78" s="3"/>
      <c r="M78" s="3"/>
      <c r="N78" s="16"/>
      <c r="O78" s="16"/>
      <c r="P78" s="3"/>
      <c r="Q78" s="1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216">
        <f>SUM(AG78:BB78)</f>
      </c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3"/>
      <c r="BD78" s="3"/>
      <c r="BE78" s="3"/>
      <c r="BF78" s="3"/>
      <c r="BG78" s="3"/>
      <c r="BH78" s="3"/>
      <c r="BI78" s="3"/>
      <c r="BJ78" s="3"/>
      <c r="BK78" s="3"/>
      <c r="BL78" s="17"/>
      <c r="BM78" s="4"/>
    </row>
    <row x14ac:dyDescent="0.25" r="79" customHeight="1" ht="15">
      <c r="A79" s="17"/>
      <c r="B79" s="14"/>
      <c r="C79" s="3"/>
      <c r="D79" s="3"/>
      <c r="E79" s="3"/>
      <c r="F79" s="3"/>
      <c r="G79" s="16"/>
      <c r="H79" s="18"/>
      <c r="I79" s="18"/>
      <c r="J79" s="3"/>
      <c r="K79" s="1"/>
      <c r="L79" s="3"/>
      <c r="M79" s="3"/>
      <c r="N79" s="16"/>
      <c r="O79" s="16"/>
      <c r="P79" s="3"/>
      <c r="Q79" s="1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216">
        <f>SUM(AG79:BB79)</f>
      </c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3"/>
      <c r="BD79" s="3"/>
      <c r="BE79" s="3"/>
      <c r="BF79" s="3"/>
      <c r="BG79" s="3"/>
      <c r="BH79" s="3"/>
      <c r="BI79" s="3"/>
      <c r="BJ79" s="3"/>
      <c r="BK79" s="3"/>
      <c r="BL79" s="17"/>
      <c r="BM79" s="4"/>
    </row>
    <row x14ac:dyDescent="0.25" r="80" customHeight="1" ht="15">
      <c r="A80" s="17"/>
      <c r="B80" s="14"/>
      <c r="C80" s="3"/>
      <c r="D80" s="3"/>
      <c r="E80" s="3"/>
      <c r="F80" s="3"/>
      <c r="G80" s="16"/>
      <c r="H80" s="18"/>
      <c r="I80" s="18"/>
      <c r="J80" s="3"/>
      <c r="K80" s="1"/>
      <c r="L80" s="3"/>
      <c r="M80" s="3"/>
      <c r="N80" s="16"/>
      <c r="O80" s="16"/>
      <c r="P80" s="3"/>
      <c r="Q80" s="1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216">
        <f>SUM(AG80:BB80)</f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3"/>
      <c r="BD80" s="3"/>
      <c r="BE80" s="3"/>
      <c r="BF80" s="3"/>
      <c r="BG80" s="3"/>
      <c r="BH80" s="3"/>
      <c r="BI80" s="3"/>
      <c r="BJ80" s="3"/>
      <c r="BK80" s="3"/>
      <c r="BL80" s="17"/>
      <c r="BM80" s="4"/>
    </row>
    <row x14ac:dyDescent="0.25" r="81" customHeight="1" ht="15">
      <c r="A81" s="17"/>
      <c r="B81" s="14"/>
      <c r="C81" s="3"/>
      <c r="D81" s="3"/>
      <c r="E81" s="3"/>
      <c r="F81" s="3"/>
      <c r="G81" s="16"/>
      <c r="H81" s="18"/>
      <c r="I81" s="18"/>
      <c r="J81" s="3"/>
      <c r="K81" s="1"/>
      <c r="L81" s="3"/>
      <c r="M81" s="3"/>
      <c r="N81" s="16"/>
      <c r="O81" s="16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216">
        <f>SUM(AG81:BB81)</f>
      </c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3"/>
      <c r="BD81" s="3"/>
      <c r="BE81" s="3"/>
      <c r="BF81" s="3"/>
      <c r="BG81" s="3"/>
      <c r="BH81" s="3"/>
      <c r="BI81" s="3"/>
      <c r="BJ81" s="3"/>
      <c r="BK81" s="3"/>
      <c r="BL81" s="17"/>
      <c r="BM81" s="4"/>
    </row>
    <row x14ac:dyDescent="0.25" r="82" customHeight="1" ht="15">
      <c r="A82" s="17"/>
      <c r="B82" s="14"/>
      <c r="C82" s="3"/>
      <c r="D82" s="3"/>
      <c r="E82" s="3"/>
      <c r="F82" s="3"/>
      <c r="G82" s="16"/>
      <c r="H82" s="18"/>
      <c r="I82" s="18"/>
      <c r="J82" s="3"/>
      <c r="K82" s="1"/>
      <c r="L82" s="3"/>
      <c r="M82" s="3"/>
      <c r="N82" s="16"/>
      <c r="O82" s="16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16">
        <f>SUM(AG82:BB82)</f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3"/>
      <c r="BD82" s="3"/>
      <c r="BE82" s="3"/>
      <c r="BF82" s="3"/>
      <c r="BG82" s="3"/>
      <c r="BH82" s="3"/>
      <c r="BI82" s="3"/>
      <c r="BJ82" s="3"/>
      <c r="BK82" s="3"/>
      <c r="BL82" s="17"/>
      <c r="BM82" s="4"/>
    </row>
    <row x14ac:dyDescent="0.25" r="83" customHeight="1" ht="15">
      <c r="A83" s="17"/>
      <c r="B83" s="14"/>
      <c r="C83" s="3"/>
      <c r="D83" s="3"/>
      <c r="E83" s="3"/>
      <c r="F83" s="3"/>
      <c r="G83" s="16"/>
      <c r="H83" s="18"/>
      <c r="I83" s="18"/>
      <c r="J83" s="3"/>
      <c r="K83" s="1"/>
      <c r="L83" s="3"/>
      <c r="M83" s="3"/>
      <c r="N83" s="16"/>
      <c r="O83" s="16"/>
      <c r="P83" s="3"/>
      <c r="Q83" s="1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16">
        <f>SUM(AG83:BB83)</f>
      </c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3"/>
      <c r="BD83" s="3"/>
      <c r="BE83" s="3"/>
      <c r="BF83" s="3"/>
      <c r="BG83" s="3"/>
      <c r="BH83" s="3"/>
      <c r="BI83" s="3"/>
      <c r="BJ83" s="3"/>
      <c r="BK83" s="3"/>
      <c r="BL83" s="17"/>
      <c r="BM83" s="4"/>
    </row>
    <row x14ac:dyDescent="0.25" r="84" customHeight="1" ht="15">
      <c r="A84" s="17"/>
      <c r="B84" s="14"/>
      <c r="C84" s="3"/>
      <c r="D84" s="3"/>
      <c r="E84" s="3"/>
      <c r="F84" s="3"/>
      <c r="G84" s="16"/>
      <c r="H84" s="18"/>
      <c r="I84" s="18"/>
      <c r="J84" s="3"/>
      <c r="K84" s="1"/>
      <c r="L84" s="3"/>
      <c r="M84" s="3"/>
      <c r="N84" s="16"/>
      <c r="O84" s="16"/>
      <c r="P84" s="3"/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216">
        <f>SUM(AG84:BB84)</f>
      </c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3"/>
      <c r="BD84" s="3"/>
      <c r="BE84" s="3"/>
      <c r="BF84" s="3"/>
      <c r="BG84" s="3"/>
      <c r="BH84" s="3"/>
      <c r="BI84" s="3"/>
      <c r="BJ84" s="3"/>
      <c r="BK84" s="3"/>
      <c r="BL84" s="17"/>
      <c r="BM84" s="4"/>
    </row>
    <row x14ac:dyDescent="0.25" r="85" customHeight="1" ht="15">
      <c r="A85" s="17"/>
      <c r="B85" s="14"/>
      <c r="C85" s="3"/>
      <c r="D85" s="3"/>
      <c r="E85" s="3"/>
      <c r="F85" s="3"/>
      <c r="G85" s="16"/>
      <c r="H85" s="18"/>
      <c r="I85" s="18"/>
      <c r="J85" s="3"/>
      <c r="K85" s="1"/>
      <c r="L85" s="3"/>
      <c r="M85" s="3"/>
      <c r="N85" s="16"/>
      <c r="O85" s="16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216">
        <f>SUM(AG85:BB85)</f>
      </c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3"/>
      <c r="BD85" s="3"/>
      <c r="BE85" s="3"/>
      <c r="BF85" s="3"/>
      <c r="BG85" s="3"/>
      <c r="BH85" s="3"/>
      <c r="BI85" s="3"/>
      <c r="BJ85" s="3"/>
      <c r="BK85" s="3"/>
      <c r="BL85" s="17"/>
      <c r="BM85" s="4"/>
    </row>
    <row x14ac:dyDescent="0.25" r="86" customHeight="1" ht="15">
      <c r="A86" s="17"/>
      <c r="B86" s="14"/>
      <c r="C86" s="3"/>
      <c r="D86" s="3"/>
      <c r="E86" s="3"/>
      <c r="F86" s="3"/>
      <c r="G86" s="16"/>
      <c r="H86" s="18"/>
      <c r="I86" s="18"/>
      <c r="J86" s="3"/>
      <c r="K86" s="1"/>
      <c r="L86" s="3"/>
      <c r="M86" s="3"/>
      <c r="N86" s="16"/>
      <c r="O86" s="16"/>
      <c r="P86" s="3"/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216">
        <f>SUM(AG86:BB86)</f>
      </c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3"/>
      <c r="BD86" s="3"/>
      <c r="BE86" s="3"/>
      <c r="BF86" s="3"/>
      <c r="BG86" s="3"/>
      <c r="BH86" s="3"/>
      <c r="BI86" s="3"/>
      <c r="BJ86" s="3"/>
      <c r="BK86" s="3"/>
      <c r="BL86" s="17"/>
      <c r="BM86" s="4"/>
    </row>
    <row x14ac:dyDescent="0.25" r="87" customHeight="1" ht="15">
      <c r="A87" s="17"/>
      <c r="B87" s="14"/>
      <c r="C87" s="3"/>
      <c r="D87" s="3"/>
      <c r="E87" s="3"/>
      <c r="F87" s="3"/>
      <c r="G87" s="16"/>
      <c r="H87" s="18"/>
      <c r="I87" s="18"/>
      <c r="J87" s="3"/>
      <c r="K87" s="1"/>
      <c r="L87" s="3"/>
      <c r="M87" s="3"/>
      <c r="N87" s="16"/>
      <c r="O87" s="16"/>
      <c r="P87" s="3"/>
      <c r="Q87" s="1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216">
        <f>SUM(AG87:BB87)</f>
      </c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3"/>
      <c r="BD87" s="3"/>
      <c r="BE87" s="3"/>
      <c r="BF87" s="3"/>
      <c r="BG87" s="3"/>
      <c r="BH87" s="3"/>
      <c r="BI87" s="3"/>
      <c r="BJ87" s="3"/>
      <c r="BK87" s="3"/>
      <c r="BL87" s="17"/>
      <c r="BM87" s="4"/>
    </row>
    <row x14ac:dyDescent="0.25" r="88" customHeight="1" ht="15">
      <c r="A88" s="17"/>
      <c r="B88" s="14"/>
      <c r="C88" s="3"/>
      <c r="D88" s="3"/>
      <c r="E88" s="3"/>
      <c r="F88" s="3"/>
      <c r="G88" s="16"/>
      <c r="H88" s="18"/>
      <c r="I88" s="18"/>
      <c r="J88" s="3"/>
      <c r="K88" s="1"/>
      <c r="L88" s="3"/>
      <c r="M88" s="3"/>
      <c r="N88" s="16"/>
      <c r="O88" s="16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216">
        <f>SUM(AG88:BB88)</f>
      </c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3"/>
      <c r="BD88" s="3"/>
      <c r="BE88" s="3"/>
      <c r="BF88" s="3"/>
      <c r="BG88" s="3"/>
      <c r="BH88" s="3"/>
      <c r="BI88" s="3"/>
      <c r="BJ88" s="3"/>
      <c r="BK88" s="3"/>
      <c r="BL88" s="17"/>
      <c r="BM8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DISCLAIMER</vt:lpstr>
      <vt:lpstr>R&amp;amp;amp;amp;amp;amp;amp;H-P</vt:lpstr>
      <vt:lpstr>R&amp;amp;amp;amp;amp;amp;amp;H Portfolio</vt:lpstr>
      <vt:lpstr>RTR</vt:lpstr>
      <vt:lpstr>Cash</vt:lpstr>
      <vt:lpstr>ACS</vt:lpstr>
      <vt:lpstr>BHB</vt:lpstr>
      <vt:lpstr>Boom</vt:lpstr>
      <vt:lpstr>CV</vt:lpstr>
      <vt:lpstr>HHC</vt:lpstr>
      <vt:lpstr>Kings</vt:lpstr>
      <vt:lpstr>ACS-P</vt:lpstr>
      <vt:lpstr>BHB-P</vt:lpstr>
      <vt:lpstr>Boom-P</vt:lpstr>
      <vt:lpstr>HHC-P</vt:lpstr>
      <vt:lpstr>CV-P</vt:lpstr>
      <vt:lpstr>Kings-P</vt:lpstr>
      <vt:lpstr>XIRR WORKING</vt:lpstr>
      <vt:lpstr>XIRR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2024-04-03T01:55:10.425Z</dcterms:created>
  <dcterms:modified xsi:type="dcterms:W3CDTF">2024-04-03T01:55:10.425Z</dcterms:modified>
</cp:coreProperties>
</file>