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vindelima/ds/bank-term-loan-prediction-github/docs/"/>
    </mc:Choice>
  </mc:AlternateContent>
  <xr:revisionPtr revIDLastSave="0" documentId="13_ncr:1_{7D0AD787-F85D-814D-B1F8-0C7EB9CE64AE}" xr6:coauthVersionLast="40" xr6:coauthVersionMax="40" xr10:uidLastSave="{00000000-0000-0000-0000-000000000000}"/>
  <bookViews>
    <workbookView xWindow="280" yWindow="680" windowWidth="28040" windowHeight="17040" xr2:uid="{054F7AF6-F6F7-CA43-8419-9B526FF8FE98}"/>
  </bookViews>
  <sheets>
    <sheet name="Dynamics" sheetId="4" r:id="rId1"/>
    <sheet name="Costs" sheetId="1" r:id="rId2"/>
    <sheet name="Benefits" sheetId="2" r:id="rId3"/>
    <sheet name="Outcomes" sheetId="3" r:id="rId4"/>
    <sheet name="Impact" sheetId="5" r:id="rId5"/>
  </sheets>
  <definedNames>
    <definedName name="BankInterestRate">Benefits!$B$8</definedName>
    <definedName name="CallCost_Avg">Costs!$B$9</definedName>
    <definedName name="CallCost_Max">Costs!$B$8</definedName>
    <definedName name="CallCost_Min">Costs!$B$7</definedName>
    <definedName name="CallDuration_Max">Costs!$B$5</definedName>
    <definedName name="CallDuration_Min">Costs!$B$4</definedName>
    <definedName name="ConstrainedCost">Outcomes!$B$5</definedName>
    <definedName name="ConstrainedCustomers">Outcomes!$B$6</definedName>
    <definedName name="ConstrainedRevenue">Outcomes!$B$8</definedName>
    <definedName name="ConversionRate">Dynamics!$B$2</definedName>
    <definedName name="DepositMean_Low">Benefits!$B$4</definedName>
    <definedName name="DepositMean_Med">Benefits!$B$5</definedName>
    <definedName name="DespositMean_High">Benefits!$B$6</definedName>
    <definedName name="FTEHour">Costs!$B$1</definedName>
    <definedName name="FTEHourRate">Costs!$B$2</definedName>
    <definedName name="LenderInterestRate">Benefits!$B$9</definedName>
    <definedName name="Lift">Impact!$B$1</definedName>
    <definedName name="MaxCallCost">Costs!$B$8</definedName>
    <definedName name="MaxCallDuration">Costs!$B$5</definedName>
    <definedName name="MinCallCost">Costs!$B$7</definedName>
    <definedName name="MinCallDuraiton">Costs!$B$4</definedName>
    <definedName name="MinCallDuration">Costs!$B$4</definedName>
    <definedName name="NetBankInterest">Benefits!$B$10</definedName>
    <definedName name="Population_Size">#REF!</definedName>
    <definedName name="PopulationSize">#REF!</definedName>
    <definedName name="Revenue_Avg">Benefits!$B$16</definedName>
    <definedName name="Revenue_High">Benefits!$B$14</definedName>
    <definedName name="Revenue_Low">Benefits!$B$12</definedName>
    <definedName name="Revenue_Med">Benefits!$B$13</definedName>
    <definedName name="TotalCost_Avg">Costs!$B$13</definedName>
    <definedName name="TotalCost_Max">Costs!$B$12</definedName>
    <definedName name="TotalCost_Min">Costs!$B$11</definedName>
    <definedName name="TotalLeads">Dynamics!$B$1</definedName>
    <definedName name="TrueNegatives">Dynamics!$B$4</definedName>
    <definedName name="TruePositives">Dynamics!$B$3</definedName>
    <definedName name="Z">Benefits!$B$5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3" i="2" l="1"/>
  <c r="B2" i="5" l="1"/>
  <c r="B3" i="5" s="1"/>
  <c r="B10" i="2" l="1"/>
  <c r="B14" i="2" s="1"/>
  <c r="B7" i="1"/>
  <c r="B11" i="1" s="1"/>
  <c r="B12" i="2" l="1"/>
  <c r="A7" i="5"/>
  <c r="B9" i="1"/>
  <c r="B8" i="1"/>
  <c r="B12" i="1" s="1"/>
  <c r="B3" i="4"/>
  <c r="B4" i="4" s="1"/>
  <c r="B6" i="5" l="1"/>
  <c r="B6" i="3"/>
  <c r="B7" i="5"/>
  <c r="B16" i="2"/>
  <c r="B1" i="3" s="1"/>
  <c r="A8" i="5"/>
  <c r="B13" i="1"/>
  <c r="B2" i="3" s="1"/>
  <c r="C6" i="5" l="1"/>
  <c r="B7" i="3"/>
  <c r="B8" i="3"/>
  <c r="B3" i="3"/>
  <c r="B8" i="5"/>
  <c r="C8" i="5" s="1"/>
  <c r="A9" i="5"/>
  <c r="B9" i="3"/>
  <c r="C7" i="5"/>
  <c r="E6" i="5" l="1"/>
  <c r="F6" i="5" s="1"/>
  <c r="D6" i="5"/>
  <c r="D7" i="5"/>
  <c r="E7" i="5"/>
  <c r="F7" i="5" s="1"/>
  <c r="B9" i="5"/>
  <c r="C9" i="5" s="1"/>
  <c r="A10" i="5"/>
  <c r="D8" i="5"/>
  <c r="E8" i="5"/>
  <c r="F8" i="5" s="1"/>
  <c r="G7" i="5" l="1"/>
  <c r="G6" i="5"/>
  <c r="A11" i="5"/>
  <c r="B10" i="5"/>
  <c r="C10" i="5" s="1"/>
  <c r="G8" i="5"/>
  <c r="E9" i="5"/>
  <c r="F9" i="5" s="1"/>
  <c r="D9" i="5"/>
  <c r="G9" i="5" l="1"/>
  <c r="E10" i="5"/>
  <c r="F10" i="5" s="1"/>
  <c r="D10" i="5"/>
  <c r="A12" i="5"/>
  <c r="B11" i="5"/>
  <c r="C11" i="5" s="1"/>
  <c r="G10" i="5" l="1"/>
  <c r="D11" i="5"/>
  <c r="E11" i="5"/>
  <c r="F11" i="5" s="1"/>
  <c r="A13" i="5"/>
  <c r="B12" i="5"/>
  <c r="C12" i="5" s="1"/>
  <c r="G11" i="5" l="1"/>
  <c r="E12" i="5"/>
  <c r="F12" i="5" s="1"/>
  <c r="D12" i="5"/>
  <c r="A14" i="5"/>
  <c r="B13" i="5"/>
  <c r="C13" i="5" s="1"/>
  <c r="D13" i="5" l="1"/>
  <c r="E13" i="5"/>
  <c r="F13" i="5" s="1"/>
  <c r="A15" i="5"/>
  <c r="B15" i="5" s="1"/>
  <c r="C15" i="5" s="1"/>
  <c r="B14" i="5"/>
  <c r="C14" i="5" s="1"/>
  <c r="G12" i="5"/>
  <c r="D15" i="5" l="1"/>
  <c r="E15" i="5"/>
  <c r="F15" i="5" s="1"/>
  <c r="D14" i="5"/>
  <c r="E14" i="5"/>
  <c r="F14" i="5" s="1"/>
  <c r="G13" i="5"/>
  <c r="G14" i="5" l="1"/>
  <c r="G15" i="5"/>
</calcChain>
</file>

<file path=xl/sharedStrings.xml><?xml version="1.0" encoding="utf-8"?>
<sst xmlns="http://schemas.openxmlformats.org/spreadsheetml/2006/main" count="44" uniqueCount="42">
  <si>
    <t>Total Leads</t>
  </si>
  <si>
    <t>Total Cost Min</t>
  </si>
  <si>
    <t>Total Cost Max</t>
  </si>
  <si>
    <t>FTE Per Hour</t>
  </si>
  <si>
    <t>Min Call Cost</t>
  </si>
  <si>
    <t>Max Call Cost</t>
  </si>
  <si>
    <t>* Each subpopulation is normally distributed</t>
  </si>
  <si>
    <t>Profit</t>
  </si>
  <si>
    <t>Bank Interest Rate</t>
  </si>
  <si>
    <t>Low Deposit Mean</t>
  </si>
  <si>
    <t>Medium Deposit Mean</t>
  </si>
  <si>
    <t>High Deposit Mean</t>
  </si>
  <si>
    <t>Revenue</t>
  </si>
  <si>
    <t>Cost</t>
  </si>
  <si>
    <t>Conversion Revenue</t>
  </si>
  <si>
    <t>FTE Hour (Minutes)</t>
  </si>
  <si>
    <t>Min Call Duration (Minutes)</t>
  </si>
  <si>
    <t>Max Call Duration (Minutes)</t>
  </si>
  <si>
    <t>Conversion Rate</t>
  </si>
  <si>
    <t>True Positives</t>
  </si>
  <si>
    <t>True Negatives</t>
  </si>
  <si>
    <t>Avg Call Cost</t>
  </si>
  <si>
    <t>Total Cost Avg</t>
  </si>
  <si>
    <t>Lender Interest Rate</t>
  </si>
  <si>
    <t>Net Bank Interest</t>
  </si>
  <si>
    <t>Average Revenue</t>
  </si>
  <si>
    <t>Low Revenue</t>
  </si>
  <si>
    <t>Medium Revenue</t>
  </si>
  <si>
    <t>High Revenue</t>
  </si>
  <si>
    <t>Constrained Cost</t>
  </si>
  <si>
    <t>Constrained Profit</t>
  </si>
  <si>
    <t>Constrained Revenue</t>
  </si>
  <si>
    <t>Percent of Population</t>
  </si>
  <si>
    <t>Constrained Customers</t>
  </si>
  <si>
    <t>Targeted</t>
  </si>
  <si>
    <t>Lift</t>
  </si>
  <si>
    <t>Targeted Revenue</t>
  </si>
  <si>
    <t>Targeted Profit</t>
  </si>
  <si>
    <t>Difference</t>
  </si>
  <si>
    <t>New Conversion Rate</t>
  </si>
  <si>
    <t>Conversion Rate Increase</t>
  </si>
  <si>
    <t>* Deposit size is a multimodel distribution with means at $5,000, $10,000, and $50,000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</si>
</sst>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0.0%"/>
    <numFmt numFmtId="167" formatCode="&quot;$&quot;#,##0.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4" fillId="0" borderId="0" xfId="0" applyFont="1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6" fontId="0" fillId="0" borderId="0" xfId="0" applyNumberFormat="1" applyAlignment="1"/>
    <xf numFmtId="0" fontId="0" fillId="0" borderId="0" xfId="0" applyAlignment="1"/>
    <xf numFmtId="164" fontId="0" fillId="0" borderId="0" xfId="1" applyNumberFormat="1" applyFont="1" applyAlignment="1"/>
    <xf numFmtId="164" fontId="5" fillId="0" borderId="0" xfId="1" applyNumberFormat="1" applyFont="1" applyAlignment="1">
      <alignment horizontal="right"/>
    </xf>
    <xf numFmtId="0" fontId="5" fillId="0" borderId="0" xfId="0" applyFont="1" applyAlignment="1">
      <alignment horizontal="right"/>
    </xf>
    <xf numFmtId="6" fontId="5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8" fontId="5" fillId="0" borderId="0" xfId="0" applyNumberFormat="1" applyFont="1" applyAlignment="1">
      <alignment horizontal="right"/>
    </xf>
    <xf numFmtId="6" fontId="5" fillId="0" borderId="0" xfId="0" applyNumberFormat="1" applyFont="1"/>
    <xf numFmtId="0" fontId="5" fillId="0" borderId="0" xfId="0" applyFont="1"/>
    <xf numFmtId="9" fontId="5" fillId="0" borderId="0" xfId="3" applyFont="1"/>
    <xf numFmtId="9" fontId="0" fillId="0" borderId="0" xfId="3" applyFont="1"/>
    <xf numFmtId="9" fontId="5" fillId="0" borderId="0" xfId="3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2" fillId="0" borderId="0" xfId="0" applyFont="1"/>
    <xf numFmtId="165" fontId="0" fillId="0" borderId="0" xfId="0" applyNumberFormat="1" applyAlignment="1"/>
    <xf numFmtId="166" fontId="0" fillId="0" borderId="0" xfId="3" applyNumberFormat="1" applyFont="1" applyAlignment="1">
      <alignment horizontal="right"/>
    </xf>
    <xf numFmtId="3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2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/>
    <xf numFmtId="167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164" fontId="0" fillId="2" borderId="0" xfId="1" applyNumberFormat="1" applyFont="1" applyFill="1" applyAlignment="1">
      <alignment horizontal="center"/>
    </xf>
    <xf numFmtId="165" fontId="0" fillId="2" borderId="0" xfId="2" applyNumberFormat="1" applyFont="1" applyFill="1" applyAlignment="1">
      <alignment horizontal="center"/>
    </xf>
    <xf numFmtId="165" fontId="2" fillId="2" borderId="0" xfId="0" applyNumberFormat="1" applyFont="1" applyFill="1"/>
    <xf numFmtId="0" fontId="0" fillId="2" borderId="0" xfId="0" applyFill="1"/>
    <xf numFmtId="0" fontId="0" fillId="0" borderId="0" xfId="0" applyFill="1"/>
    <xf numFmtId="166" fontId="0" fillId="0" borderId="0" xfId="3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CF23C-7884-B04F-B8F6-D3640C2B7322}">
  <dimension ref="A1:B4"/>
  <sheetViews>
    <sheetView showGridLines="0" tabSelected="1" zoomScale="125" workbookViewId="0">
      <selection activeCell="D5" sqref="D5"/>
    </sheetView>
  </sheetViews>
  <sheetFormatPr baseColWidth="10" defaultRowHeight="21" x14ac:dyDescent="0.25"/>
  <cols>
    <col min="1" max="1" width="20.33203125" style="2" bestFit="1" customWidth="1"/>
    <col min="2" max="2" width="10.5" style="10" bestFit="1" customWidth="1"/>
  </cols>
  <sheetData>
    <row r="1" spans="1:2" x14ac:dyDescent="0.25">
      <c r="A1" s="2" t="s">
        <v>0</v>
      </c>
      <c r="B1" s="12">
        <v>100000</v>
      </c>
    </row>
    <row r="2" spans="1:2" x14ac:dyDescent="0.25">
      <c r="A2" s="2" t="s">
        <v>18</v>
      </c>
      <c r="B2" s="18">
        <v>0.11</v>
      </c>
    </row>
    <row r="3" spans="1:2" x14ac:dyDescent="0.25">
      <c r="A3" s="2" t="s">
        <v>19</v>
      </c>
      <c r="B3" s="9">
        <f>B2*B1</f>
        <v>11000</v>
      </c>
    </row>
    <row r="4" spans="1:2" x14ac:dyDescent="0.25">
      <c r="A4" s="2" t="s">
        <v>20</v>
      </c>
      <c r="B4" s="19">
        <f>B1-B3</f>
        <v>89000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15A00-FC3C-7045-A9E6-1266591F3F56}">
  <dimension ref="A1:B14"/>
  <sheetViews>
    <sheetView showGridLines="0" zoomScale="170" zoomScaleNormal="170" workbookViewId="0">
      <selection activeCell="B13" sqref="B13"/>
    </sheetView>
  </sheetViews>
  <sheetFormatPr baseColWidth="10" defaultRowHeight="19" x14ac:dyDescent="0.25"/>
  <cols>
    <col min="1" max="1" width="33.5" bestFit="1" customWidth="1"/>
    <col min="2" max="2" width="15.83203125" style="10" customWidth="1"/>
    <col min="3" max="3" width="7.83203125" bestFit="1" customWidth="1"/>
  </cols>
  <sheetData>
    <row r="1" spans="1:2" ht="21" x14ac:dyDescent="0.25">
      <c r="A1" s="2" t="s">
        <v>15</v>
      </c>
      <c r="B1" s="10">
        <v>60</v>
      </c>
    </row>
    <row r="2" spans="1:2" ht="21" x14ac:dyDescent="0.25">
      <c r="A2" s="2" t="s">
        <v>3</v>
      </c>
      <c r="B2" s="11">
        <v>15</v>
      </c>
    </row>
    <row r="3" spans="1:2" ht="21" x14ac:dyDescent="0.25">
      <c r="A3" s="2"/>
      <c r="B3" s="11"/>
    </row>
    <row r="4" spans="1:2" ht="21" x14ac:dyDescent="0.25">
      <c r="A4" s="2" t="s">
        <v>16</v>
      </c>
      <c r="B4" s="10">
        <v>1</v>
      </c>
    </row>
    <row r="5" spans="1:2" ht="21" x14ac:dyDescent="0.25">
      <c r="A5" s="2" t="s">
        <v>17</v>
      </c>
      <c r="B5" s="10">
        <v>60</v>
      </c>
    </row>
    <row r="6" spans="1:2" ht="21" x14ac:dyDescent="0.25">
      <c r="A6" s="2"/>
    </row>
    <row r="7" spans="1:2" ht="21" x14ac:dyDescent="0.25">
      <c r="A7" s="2" t="s">
        <v>4</v>
      </c>
      <c r="B7" s="13">
        <f>CallDuration_Min/FTEHour*FTEHourRate</f>
        <v>0.25</v>
      </c>
    </row>
    <row r="8" spans="1:2" ht="21" x14ac:dyDescent="0.25">
      <c r="A8" s="2" t="s">
        <v>5</v>
      </c>
      <c r="B8" s="11">
        <f>CallDuration_Max/FTEHour*FTEHourRate</f>
        <v>15</v>
      </c>
    </row>
    <row r="9" spans="1:2" ht="21" x14ac:dyDescent="0.25">
      <c r="A9" s="2" t="s">
        <v>21</v>
      </c>
      <c r="B9" s="11">
        <f>AVERAGE(B7:B8)</f>
        <v>7.625</v>
      </c>
    </row>
    <row r="10" spans="1:2" ht="21" x14ac:dyDescent="0.25">
      <c r="A10" s="2"/>
      <c r="B10" s="12"/>
    </row>
    <row r="11" spans="1:2" ht="21" x14ac:dyDescent="0.25">
      <c r="A11" s="2" t="s">
        <v>1</v>
      </c>
      <c r="B11" s="11">
        <f>TotalLeads*CallCost_Min</f>
        <v>25000</v>
      </c>
    </row>
    <row r="12" spans="1:2" ht="21" x14ac:dyDescent="0.25">
      <c r="A12" s="2" t="s">
        <v>2</v>
      </c>
      <c r="B12" s="11">
        <f>TotalLeads*CallCost_Max</f>
        <v>1500000</v>
      </c>
    </row>
    <row r="13" spans="1:2" ht="21" x14ac:dyDescent="0.25">
      <c r="A13" s="2" t="s">
        <v>22</v>
      </c>
      <c r="B13" s="20">
        <f>CallCost_Avg*TotalLeads</f>
        <v>762500</v>
      </c>
    </row>
    <row r="14" spans="1:2" ht="21" x14ac:dyDescent="0.25">
      <c r="A14" s="2"/>
      <c r="B14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F7BE6-75DB-164E-BB06-E738D07BBF9E}">
  <dimension ref="A1:B16"/>
  <sheetViews>
    <sheetView showGridLines="0" zoomScale="130" zoomScaleNormal="130" workbookViewId="0">
      <selection activeCell="B13" sqref="B13"/>
    </sheetView>
  </sheetViews>
  <sheetFormatPr baseColWidth="10" defaultRowHeight="21" x14ac:dyDescent="0.25"/>
  <cols>
    <col min="1" max="1" width="37.6640625" style="1" customWidth="1"/>
    <col min="2" max="2" width="13.83203125" style="15" bestFit="1" customWidth="1"/>
  </cols>
  <sheetData>
    <row r="1" spans="1:2" ht="16" x14ac:dyDescent="0.2">
      <c r="A1" t="s">
        <v>41</v>
      </c>
      <c r="B1"/>
    </row>
    <row r="2" spans="1:2" ht="16" x14ac:dyDescent="0.2">
      <c r="A2" t="s">
        <v>6</v>
      </c>
      <c r="B2"/>
    </row>
    <row r="3" spans="1:2" ht="19" x14ac:dyDescent="0.25">
      <c r="A3"/>
    </row>
    <row r="4" spans="1:2" x14ac:dyDescent="0.25">
      <c r="A4" s="2" t="s">
        <v>9</v>
      </c>
      <c r="B4" s="14">
        <v>5000</v>
      </c>
    </row>
    <row r="5" spans="1:2" x14ac:dyDescent="0.25">
      <c r="A5" s="2" t="s">
        <v>10</v>
      </c>
      <c r="B5" s="14">
        <v>10000</v>
      </c>
    </row>
    <row r="6" spans="1:2" x14ac:dyDescent="0.25">
      <c r="A6" s="2" t="s">
        <v>11</v>
      </c>
      <c r="B6" s="14">
        <v>50000</v>
      </c>
    </row>
    <row r="7" spans="1:2" x14ac:dyDescent="0.25">
      <c r="A7" s="2"/>
      <c r="B7" s="14"/>
    </row>
    <row r="8" spans="1:2" x14ac:dyDescent="0.25">
      <c r="A8" s="2" t="s">
        <v>8</v>
      </c>
      <c r="B8" s="16">
        <v>7.0000000000000007E-2</v>
      </c>
    </row>
    <row r="9" spans="1:2" x14ac:dyDescent="0.25">
      <c r="A9" s="2" t="s">
        <v>23</v>
      </c>
      <c r="B9" s="16">
        <v>0.02</v>
      </c>
    </row>
    <row r="10" spans="1:2" x14ac:dyDescent="0.25">
      <c r="A10" s="2" t="s">
        <v>24</v>
      </c>
      <c r="B10" s="16">
        <f>B8-B9</f>
        <v>0.05</v>
      </c>
    </row>
    <row r="11" spans="1:2" x14ac:dyDescent="0.25">
      <c r="A11" s="2"/>
      <c r="B11" s="16"/>
    </row>
    <row r="12" spans="1:2" x14ac:dyDescent="0.25">
      <c r="A12" s="2" t="s">
        <v>26</v>
      </c>
      <c r="B12" s="14">
        <f>DepositMean_Low*NetBankInterest</f>
        <v>250</v>
      </c>
    </row>
    <row r="13" spans="1:2" x14ac:dyDescent="0.25">
      <c r="A13" s="2" t="s">
        <v>27</v>
      </c>
      <c r="B13" s="14">
        <f>DepositMean_Med*NetBankInterest</f>
        <v>500</v>
      </c>
    </row>
    <row r="14" spans="1:2" x14ac:dyDescent="0.25">
      <c r="A14" s="2" t="s">
        <v>28</v>
      </c>
      <c r="B14" s="14">
        <f>DespositMean_High*NetBankInterest</f>
        <v>2500</v>
      </c>
    </row>
    <row r="16" spans="1:2" x14ac:dyDescent="0.25">
      <c r="A16" s="2" t="s">
        <v>25</v>
      </c>
      <c r="B16" s="14">
        <f>AVERAGE(B12:B14)</f>
        <v>1083.3333333333333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6EEC3-518D-C549-B4B9-CE7BC3505F18}">
  <dimension ref="A1:D9"/>
  <sheetViews>
    <sheetView showGridLines="0" zoomScale="165" workbookViewId="0">
      <selection activeCell="B8" sqref="B8"/>
    </sheetView>
  </sheetViews>
  <sheetFormatPr baseColWidth="10" defaultRowHeight="16" x14ac:dyDescent="0.2"/>
  <cols>
    <col min="1" max="1" width="20.83203125" style="21" bestFit="1" customWidth="1"/>
    <col min="2" max="2" width="17.5" style="7" bestFit="1" customWidth="1"/>
  </cols>
  <sheetData>
    <row r="1" spans="1:4" x14ac:dyDescent="0.2">
      <c r="A1" s="21" t="s">
        <v>14</v>
      </c>
      <c r="B1" s="6">
        <f>Revenue_Avg*TruePositives</f>
        <v>11916666.666666666</v>
      </c>
    </row>
    <row r="2" spans="1:4" x14ac:dyDescent="0.2">
      <c r="A2" s="21" t="s">
        <v>13</v>
      </c>
      <c r="B2" s="6">
        <f>TotalCost_Avg</f>
        <v>762500</v>
      </c>
    </row>
    <row r="3" spans="1:4" x14ac:dyDescent="0.2">
      <c r="A3" s="21" t="s">
        <v>7</v>
      </c>
      <c r="B3" s="6">
        <f>B1-B2</f>
        <v>11154166.666666666</v>
      </c>
    </row>
    <row r="5" spans="1:4" x14ac:dyDescent="0.2">
      <c r="A5" s="21" t="s">
        <v>29</v>
      </c>
      <c r="B5" s="6">
        <v>50000</v>
      </c>
    </row>
    <row r="6" spans="1:4" x14ac:dyDescent="0.2">
      <c r="A6" s="21" t="s">
        <v>33</v>
      </c>
      <c r="B6" s="8">
        <f>ConstrainedCost/CallCost_Avg</f>
        <v>6557.377049180328</v>
      </c>
    </row>
    <row r="7" spans="1:4" x14ac:dyDescent="0.2">
      <c r="A7" s="21" t="s">
        <v>32</v>
      </c>
      <c r="B7" s="23">
        <f>ConstrainedCustomers/TotalLeads</f>
        <v>6.5573770491803282E-2</v>
      </c>
      <c r="D7" s="7"/>
    </row>
    <row r="8" spans="1:4" x14ac:dyDescent="0.2">
      <c r="A8" s="21" t="s">
        <v>31</v>
      </c>
      <c r="B8" s="22">
        <f>ConstrainedCustomers*ConversionRate*Revenue_Avg</f>
        <v>781420.76502732246</v>
      </c>
      <c r="C8" s="17"/>
    </row>
    <row r="9" spans="1:4" x14ac:dyDescent="0.2">
      <c r="A9" s="21" t="s">
        <v>30</v>
      </c>
      <c r="B9" s="22">
        <f>ConstrainedRevenue-ConstrainedCost</f>
        <v>731420.76502732246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9F0F-C22C-CF45-A68E-A74CDEBBBAB6}">
  <dimension ref="A1:G27"/>
  <sheetViews>
    <sheetView showGridLines="0" zoomScale="150" zoomScaleNormal="220" workbookViewId="0">
      <selection activeCell="A24" sqref="A24"/>
    </sheetView>
  </sheetViews>
  <sheetFormatPr baseColWidth="10" defaultRowHeight="16" x14ac:dyDescent="0.2"/>
  <cols>
    <col min="1" max="1" width="22" bestFit="1" customWidth="1"/>
    <col min="2" max="2" width="18.6640625" bestFit="1" customWidth="1"/>
    <col min="3" max="4" width="10.1640625" style="4" bestFit="1" customWidth="1"/>
    <col min="5" max="5" width="16.33203125" bestFit="1" customWidth="1"/>
    <col min="6" max="6" width="13.5" bestFit="1" customWidth="1"/>
    <col min="7" max="7" width="11.1640625" customWidth="1"/>
  </cols>
  <sheetData>
    <row r="1" spans="1:7" x14ac:dyDescent="0.2">
      <c r="A1" t="s">
        <v>35</v>
      </c>
      <c r="B1" s="35">
        <v>2.1800000000000002</v>
      </c>
    </row>
    <row r="2" spans="1:7" x14ac:dyDescent="0.2">
      <c r="A2" t="s">
        <v>39</v>
      </c>
      <c r="B2" s="36">
        <f>Lift*ConversionRate</f>
        <v>0.23980000000000001</v>
      </c>
    </row>
    <row r="3" spans="1:7" x14ac:dyDescent="0.2">
      <c r="A3" t="s">
        <v>40</v>
      </c>
      <c r="B3" s="36">
        <f>B2-ConversionRate</f>
        <v>0.12980000000000003</v>
      </c>
    </row>
    <row r="5" spans="1:7" s="21" customFormat="1" x14ac:dyDescent="0.2">
      <c r="A5" s="21" t="s">
        <v>13</v>
      </c>
      <c r="B5" s="21" t="s">
        <v>34</v>
      </c>
      <c r="C5" s="27" t="s">
        <v>12</v>
      </c>
      <c r="D5" s="27" t="s">
        <v>7</v>
      </c>
      <c r="E5" s="21" t="s">
        <v>36</v>
      </c>
      <c r="F5" s="21" t="s">
        <v>37</v>
      </c>
      <c r="G5" s="21" t="s">
        <v>38</v>
      </c>
    </row>
    <row r="6" spans="1:7" x14ac:dyDescent="0.2">
      <c r="A6" s="25">
        <v>10000</v>
      </c>
      <c r="B6" s="5">
        <f>A6/CallCost_Avg</f>
        <v>1311.4754098360656</v>
      </c>
      <c r="C6" s="26">
        <f>B6*ConversionRate*Revenue_Avg</f>
        <v>156284.15300546447</v>
      </c>
      <c r="D6" s="25">
        <f>C6-A6</f>
        <v>146284.15300546447</v>
      </c>
      <c r="E6" s="29">
        <f>Lift*C6</f>
        <v>340699.45355191256</v>
      </c>
      <c r="F6" s="25">
        <f>E6-A6</f>
        <v>330699.45355191256</v>
      </c>
      <c r="G6" s="28">
        <f>F6-D6</f>
        <v>184415.3005464481</v>
      </c>
    </row>
    <row r="7" spans="1:7" x14ac:dyDescent="0.2">
      <c r="A7" s="25">
        <f>A6+10000</f>
        <v>20000</v>
      </c>
      <c r="B7" s="5">
        <f t="shared" ref="B7:B15" si="0">A7/CallCost_Avg</f>
        <v>2622.9508196721313</v>
      </c>
      <c r="C7" s="26">
        <f t="shared" ref="C7:C15" si="1">B7*Lift*ConversionRate*Revenue_Avg</f>
        <v>681398.90710382513</v>
      </c>
      <c r="D7" s="25">
        <f t="shared" ref="D7:D15" si="2">C7-A7</f>
        <v>661398.90710382513</v>
      </c>
      <c r="E7" s="25">
        <f t="shared" ref="E7:E15" si="3">Lift*C7</f>
        <v>1485449.6174863388</v>
      </c>
      <c r="F7" s="25">
        <f t="shared" ref="F7:F15" si="4">E7-A7</f>
        <v>1465449.6174863388</v>
      </c>
      <c r="G7" s="28">
        <f t="shared" ref="G7:G15" si="5">F7-D7</f>
        <v>804050.7103825137</v>
      </c>
    </row>
    <row r="8" spans="1:7" x14ac:dyDescent="0.2">
      <c r="A8" s="25">
        <f t="shared" ref="A8:A15" si="6">A7+10000</f>
        <v>30000</v>
      </c>
      <c r="B8" s="5">
        <f t="shared" si="0"/>
        <v>3934.4262295081967</v>
      </c>
      <c r="C8" s="26">
        <f t="shared" si="1"/>
        <v>1022098.3606557377</v>
      </c>
      <c r="D8" s="25">
        <f t="shared" si="2"/>
        <v>992098.36065573769</v>
      </c>
      <c r="E8" s="25">
        <f t="shared" si="3"/>
        <v>2228174.4262295081</v>
      </c>
      <c r="F8" s="25">
        <f t="shared" si="4"/>
        <v>2198174.4262295081</v>
      </c>
      <c r="G8" s="28">
        <f t="shared" si="5"/>
        <v>1206076.0655737706</v>
      </c>
    </row>
    <row r="9" spans="1:7" x14ac:dyDescent="0.2">
      <c r="A9" s="25">
        <f t="shared" si="6"/>
        <v>40000</v>
      </c>
      <c r="B9" s="5">
        <f t="shared" si="0"/>
        <v>5245.9016393442625</v>
      </c>
      <c r="C9" s="26">
        <f t="shared" si="1"/>
        <v>1362797.8142076503</v>
      </c>
      <c r="D9" s="25">
        <f t="shared" si="2"/>
        <v>1322797.8142076503</v>
      </c>
      <c r="E9" s="25">
        <f t="shared" si="3"/>
        <v>2970899.2349726777</v>
      </c>
      <c r="F9" s="25">
        <f t="shared" si="4"/>
        <v>2930899.2349726777</v>
      </c>
      <c r="G9" s="28">
        <f t="shared" si="5"/>
        <v>1608101.4207650274</v>
      </c>
    </row>
    <row r="10" spans="1:7" s="34" customFormat="1" x14ac:dyDescent="0.2">
      <c r="A10" s="30">
        <f t="shared" si="6"/>
        <v>50000</v>
      </c>
      <c r="B10" s="31">
        <f t="shared" si="0"/>
        <v>6557.377049180328</v>
      </c>
      <c r="C10" s="32">
        <f t="shared" si="1"/>
        <v>1703497.2677595629</v>
      </c>
      <c r="D10" s="30">
        <f t="shared" si="2"/>
        <v>1653497.2677595629</v>
      </c>
      <c r="E10" s="30">
        <f t="shared" si="3"/>
        <v>3713624.0437158477</v>
      </c>
      <c r="F10" s="30">
        <f t="shared" si="4"/>
        <v>3663624.0437158477</v>
      </c>
      <c r="G10" s="33">
        <f t="shared" si="5"/>
        <v>2010126.7759562847</v>
      </c>
    </row>
    <row r="11" spans="1:7" x14ac:dyDescent="0.2">
      <c r="A11" s="25">
        <f t="shared" si="6"/>
        <v>60000</v>
      </c>
      <c r="B11" s="5">
        <f t="shared" si="0"/>
        <v>7868.8524590163934</v>
      </c>
      <c r="C11" s="26">
        <f t="shared" si="1"/>
        <v>2044196.7213114754</v>
      </c>
      <c r="D11" s="25">
        <f t="shared" si="2"/>
        <v>1984196.7213114754</v>
      </c>
      <c r="E11" s="25">
        <f t="shared" si="3"/>
        <v>4456348.8524590163</v>
      </c>
      <c r="F11" s="25">
        <f t="shared" si="4"/>
        <v>4396348.8524590163</v>
      </c>
      <c r="G11" s="28">
        <f t="shared" si="5"/>
        <v>2412152.1311475411</v>
      </c>
    </row>
    <row r="12" spans="1:7" x14ac:dyDescent="0.2">
      <c r="A12" s="25">
        <f t="shared" si="6"/>
        <v>70000</v>
      </c>
      <c r="B12" s="5">
        <f t="shared" si="0"/>
        <v>9180.3278688524588</v>
      </c>
      <c r="C12" s="26">
        <f t="shared" si="1"/>
        <v>2384896.1748633878</v>
      </c>
      <c r="D12" s="25">
        <f t="shared" si="2"/>
        <v>2314896.1748633878</v>
      </c>
      <c r="E12" s="25">
        <f t="shared" si="3"/>
        <v>5199073.6612021858</v>
      </c>
      <c r="F12" s="25">
        <f t="shared" si="4"/>
        <v>5129073.6612021858</v>
      </c>
      <c r="G12" s="28">
        <f t="shared" si="5"/>
        <v>2814177.486338798</v>
      </c>
    </row>
    <row r="13" spans="1:7" x14ac:dyDescent="0.2">
      <c r="A13" s="25">
        <f t="shared" si="6"/>
        <v>80000</v>
      </c>
      <c r="B13" s="5">
        <f t="shared" si="0"/>
        <v>10491.803278688525</v>
      </c>
      <c r="C13" s="26">
        <f t="shared" si="1"/>
        <v>2725595.6284153005</v>
      </c>
      <c r="D13" s="25">
        <f t="shared" si="2"/>
        <v>2645595.6284153005</v>
      </c>
      <c r="E13" s="25">
        <f t="shared" si="3"/>
        <v>5941798.4699453553</v>
      </c>
      <c r="F13" s="25">
        <f t="shared" si="4"/>
        <v>5861798.4699453553</v>
      </c>
      <c r="G13" s="28">
        <f t="shared" si="5"/>
        <v>3216202.8415300548</v>
      </c>
    </row>
    <row r="14" spans="1:7" x14ac:dyDescent="0.2">
      <c r="A14" s="25">
        <f t="shared" si="6"/>
        <v>90000</v>
      </c>
      <c r="B14" s="5">
        <f t="shared" si="0"/>
        <v>11803.27868852459</v>
      </c>
      <c r="C14" s="26">
        <f t="shared" si="1"/>
        <v>3066295.0819672127</v>
      </c>
      <c r="D14" s="25">
        <f t="shared" si="2"/>
        <v>2976295.0819672127</v>
      </c>
      <c r="E14" s="25">
        <f t="shared" si="3"/>
        <v>6684523.2786885239</v>
      </c>
      <c r="F14" s="25">
        <f t="shared" si="4"/>
        <v>6594523.2786885239</v>
      </c>
      <c r="G14" s="28">
        <f t="shared" si="5"/>
        <v>3618228.1967213112</v>
      </c>
    </row>
    <row r="15" spans="1:7" x14ac:dyDescent="0.2">
      <c r="A15" s="25">
        <f t="shared" si="6"/>
        <v>100000</v>
      </c>
      <c r="B15" s="5">
        <f t="shared" si="0"/>
        <v>13114.754098360656</v>
      </c>
      <c r="C15" s="26">
        <f t="shared" si="1"/>
        <v>3406994.5355191259</v>
      </c>
      <c r="D15" s="25">
        <f t="shared" si="2"/>
        <v>3306994.5355191259</v>
      </c>
      <c r="E15" s="25">
        <f t="shared" si="3"/>
        <v>7427248.0874316953</v>
      </c>
      <c r="F15" s="25">
        <f t="shared" si="4"/>
        <v>7327248.0874316953</v>
      </c>
      <c r="G15" s="28">
        <f t="shared" si="5"/>
        <v>4020253.5519125694</v>
      </c>
    </row>
    <row r="16" spans="1:7" x14ac:dyDescent="0.2">
      <c r="A16" s="24"/>
      <c r="B16" s="3"/>
    </row>
    <row r="17" spans="1:4" x14ac:dyDescent="0.2">
      <c r="B17" s="24"/>
      <c r="D17" s="25"/>
    </row>
    <row r="18" spans="1:4" x14ac:dyDescent="0.2">
      <c r="A18" s="24"/>
      <c r="B18" s="3"/>
    </row>
    <row r="19" spans="1:4" x14ac:dyDescent="0.2">
      <c r="A19" s="24"/>
      <c r="B19" s="3"/>
    </row>
    <row r="20" spans="1:4" x14ac:dyDescent="0.2">
      <c r="A20" s="24"/>
      <c r="B20" s="3"/>
    </row>
    <row r="21" spans="1:4" x14ac:dyDescent="0.2">
      <c r="A21" s="24"/>
      <c r="B21" s="3"/>
    </row>
    <row r="22" spans="1:4" x14ac:dyDescent="0.2">
      <c r="B22" s="3"/>
    </row>
    <row r="23" spans="1:4" x14ac:dyDescent="0.2">
      <c r="B23" s="3"/>
    </row>
    <row r="24" spans="1:4" x14ac:dyDescent="0.2">
      <c r="B24" s="3"/>
    </row>
    <row r="25" spans="1:4" x14ac:dyDescent="0.2">
      <c r="B25" s="3"/>
    </row>
    <row r="26" spans="1:4" x14ac:dyDescent="0.2">
      <c r="B26" s="3"/>
    </row>
    <row r="27" spans="1:4" x14ac:dyDescent="0.2">
      <c r="B27" s="3"/>
    </row>
  </sheetData>
  <conditionalFormatting sqref="G6:G1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{5C184FB7-4256-8E47-85DC-73D01D548FD2}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184FB7-4256-8E47-85DC-73D01D548F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G6:G15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34</vt:i4>
      </vt:variant>
    </vt:vector>
  </HeadingPairs>
  <TitlesOfParts>
    <vt:vector size="39" baseType="lpstr">
      <vt:lpstr>Dynamics</vt:lpstr>
      <vt:lpstr>Costs</vt:lpstr>
      <vt:lpstr>Benefits</vt:lpstr>
      <vt:lpstr>Outcomes</vt:lpstr>
      <vt:lpstr>Impact</vt:lpstr>
      <vt:lpstr>BankInterestRate</vt:lpstr>
      <vt:lpstr>CallCost_Avg</vt:lpstr>
      <vt:lpstr>CallCost_Max</vt:lpstr>
      <vt:lpstr>CallCost_Min</vt:lpstr>
      <vt:lpstr>CallDuration_Max</vt:lpstr>
      <vt:lpstr>CallDuration_Min</vt:lpstr>
      <vt:lpstr>ConstrainedCost</vt:lpstr>
      <vt:lpstr>ConstrainedCustomers</vt:lpstr>
      <vt:lpstr>ConstrainedRevenue</vt:lpstr>
      <vt:lpstr>ConversionRate</vt:lpstr>
      <vt:lpstr>DepositMean_Low</vt:lpstr>
      <vt:lpstr>DepositMean_Med</vt:lpstr>
      <vt:lpstr>DespositMean_High</vt:lpstr>
      <vt:lpstr>FTEHour</vt:lpstr>
      <vt:lpstr>FTEHourRate</vt:lpstr>
      <vt:lpstr>LenderInterestRate</vt:lpstr>
      <vt:lpstr>Lift</vt:lpstr>
      <vt:lpstr>MaxCallCost</vt:lpstr>
      <vt:lpstr>MaxCallDuration</vt:lpstr>
      <vt:lpstr>MinCallCost</vt:lpstr>
      <vt:lpstr>MinCallDuraiton</vt:lpstr>
      <vt:lpstr>MinCallDuration</vt:lpstr>
      <vt:lpstr>NetBankInterest</vt:lpstr>
      <vt:lpstr>Revenue_Avg</vt:lpstr>
      <vt:lpstr>Revenue_High</vt:lpstr>
      <vt:lpstr>Revenue_Low</vt:lpstr>
      <vt:lpstr>Revenue_Med</vt:lpstr>
      <vt:lpstr>TotalCost_Avg</vt:lpstr>
      <vt:lpstr>TotalCost_Max</vt:lpstr>
      <vt:lpstr>TotalCost_Min</vt:lpstr>
      <vt:lpstr>TotalLeads</vt:lpstr>
      <vt:lpstr>TrueNegatives</vt:lpstr>
      <vt:lpstr>TruePositives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De Lima</dc:creator>
  <cp:lastModifiedBy>Calvin De Lima</cp:lastModifiedBy>
  <dcterms:created xsi:type="dcterms:W3CDTF">2018-12-08T15:58:23Z</dcterms:created>
  <dcterms:modified xsi:type="dcterms:W3CDTF">2019-01-12T17:44:00Z</dcterms:modified>
</cp:coreProperties>
</file>