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5000" windowHeight="7620" activeTab="2"/>
  </bookViews>
  <sheets>
    <sheet name="B357 FINANCIAL TEMPLATE" sheetId="6" r:id="rId1"/>
    <sheet name="Breakers" sheetId="7" r:id="rId2"/>
    <sheet name="E-Meter" sheetId="8" r:id="rId3"/>
    <sheet name="Base Station" sheetId="2" r:id="rId4"/>
    <sheet name="Sheet1" sheetId="4" r:id="rId5"/>
    <sheet name="EXAMPLE" sheetId="3" r:id="rId6"/>
    <sheet name="Sheet2" sheetId="5" r:id="rId7"/>
  </sheets>
  <calcPr calcId="125725"/>
</workbook>
</file>

<file path=xl/calcChain.xml><?xml version="1.0" encoding="utf-8"?>
<calcChain xmlns="http://schemas.openxmlformats.org/spreadsheetml/2006/main">
  <c r="G8" i="7"/>
  <c r="E8"/>
  <c r="C9" i="8"/>
  <c r="G14" i="2"/>
  <c r="G13"/>
  <c r="E14"/>
  <c r="E13"/>
  <c r="G10"/>
  <c r="E10"/>
  <c r="G9"/>
  <c r="E9"/>
  <c r="C9"/>
  <c r="G10" i="7"/>
  <c r="E10"/>
  <c r="C9"/>
  <c r="C45" s="1"/>
  <c r="G81" i="8"/>
  <c r="G82" s="1"/>
  <c r="G16" s="1"/>
  <c r="K53" s="1"/>
  <c r="E81"/>
  <c r="E82" s="1"/>
  <c r="E16" s="1"/>
  <c r="G53" s="1"/>
  <c r="C81"/>
  <c r="C82" s="1"/>
  <c r="C16" s="1"/>
  <c r="C53" s="1"/>
  <c r="I71"/>
  <c r="I70"/>
  <c r="G70"/>
  <c r="I69"/>
  <c r="G69"/>
  <c r="G72" s="1"/>
  <c r="E11" s="1"/>
  <c r="E69"/>
  <c r="E72" s="1"/>
  <c r="C11" s="1"/>
  <c r="K51"/>
  <c r="G51"/>
  <c r="C51"/>
  <c r="K50"/>
  <c r="G50"/>
  <c r="C50"/>
  <c r="K46"/>
  <c r="G46"/>
  <c r="C46"/>
  <c r="K45"/>
  <c r="G45"/>
  <c r="I47" s="1"/>
  <c r="C45"/>
  <c r="M43"/>
  <c r="I43"/>
  <c r="E43"/>
  <c r="C38"/>
  <c r="G32"/>
  <c r="E32"/>
  <c r="C32"/>
  <c r="C22"/>
  <c r="G81" i="7"/>
  <c r="G82" s="1"/>
  <c r="G16" s="1"/>
  <c r="K53" s="1"/>
  <c r="E81"/>
  <c r="E82" s="1"/>
  <c r="E16" s="1"/>
  <c r="G53" s="1"/>
  <c r="C81"/>
  <c r="C82" s="1"/>
  <c r="C16" s="1"/>
  <c r="C53" s="1"/>
  <c r="I71"/>
  <c r="I70"/>
  <c r="G70"/>
  <c r="I69"/>
  <c r="I72" s="1"/>
  <c r="G11" s="1"/>
  <c r="G69"/>
  <c r="G72" s="1"/>
  <c r="E11" s="1"/>
  <c r="E69"/>
  <c r="E72" s="1"/>
  <c r="C11" s="1"/>
  <c r="K51"/>
  <c r="G51"/>
  <c r="C51"/>
  <c r="K50"/>
  <c r="G50"/>
  <c r="C50"/>
  <c r="K46"/>
  <c r="G46"/>
  <c r="C46"/>
  <c r="K45"/>
  <c r="G45"/>
  <c r="I47" s="1"/>
  <c r="M43"/>
  <c r="I43"/>
  <c r="E43"/>
  <c r="C38"/>
  <c r="G32"/>
  <c r="E32"/>
  <c r="C32"/>
  <c r="C22"/>
  <c r="C82" i="6"/>
  <c r="G81"/>
  <c r="G82" s="1"/>
  <c r="G16" s="1"/>
  <c r="K53" s="1"/>
  <c r="E81"/>
  <c r="E82" s="1"/>
  <c r="E16" s="1"/>
  <c r="G53" s="1"/>
  <c r="C81"/>
  <c r="I71"/>
  <c r="I70"/>
  <c r="G70"/>
  <c r="I69"/>
  <c r="I72" s="1"/>
  <c r="G11" s="1"/>
  <c r="G69"/>
  <c r="G72" s="1"/>
  <c r="E11" s="1"/>
  <c r="E69"/>
  <c r="E72" s="1"/>
  <c r="C11" s="1"/>
  <c r="K51"/>
  <c r="G51"/>
  <c r="C51"/>
  <c r="K50"/>
  <c r="G50"/>
  <c r="C50"/>
  <c r="K46"/>
  <c r="G46"/>
  <c r="C46"/>
  <c r="K45"/>
  <c r="M47" s="1"/>
  <c r="G45"/>
  <c r="I47" s="1"/>
  <c r="C45"/>
  <c r="E47" s="1"/>
  <c r="M43"/>
  <c r="I43"/>
  <c r="I48" s="1"/>
  <c r="E43"/>
  <c r="C38"/>
  <c r="G32"/>
  <c r="E32"/>
  <c r="C32"/>
  <c r="C22"/>
  <c r="C16"/>
  <c r="C53" s="1"/>
  <c r="G15" i="4"/>
  <c r="G14"/>
  <c r="F15"/>
  <c r="F14"/>
  <c r="G10"/>
  <c r="F10"/>
  <c r="E10"/>
  <c r="G12"/>
  <c r="E12"/>
  <c r="F12"/>
  <c r="G11"/>
  <c r="G9"/>
  <c r="F11"/>
  <c r="F9"/>
  <c r="G8"/>
  <c r="F8"/>
  <c r="M47" i="8" l="1"/>
  <c r="I48"/>
  <c r="I72"/>
  <c r="G11" s="1"/>
  <c r="E47"/>
  <c r="M47" i="7"/>
  <c r="M48" s="1"/>
  <c r="G61" s="1"/>
  <c r="E47"/>
  <c r="E48"/>
  <c r="E61" i="8"/>
  <c r="K52"/>
  <c r="G29"/>
  <c r="G12"/>
  <c r="G15" s="1"/>
  <c r="G17" s="1"/>
  <c r="E29"/>
  <c r="E12"/>
  <c r="E15" s="1"/>
  <c r="E17" s="1"/>
  <c r="G52"/>
  <c r="I54" s="1"/>
  <c r="M54"/>
  <c r="G60" s="1"/>
  <c r="E48"/>
  <c r="M48"/>
  <c r="C52"/>
  <c r="E54" s="1"/>
  <c r="C60" s="1"/>
  <c r="C29"/>
  <c r="C12"/>
  <c r="C15" s="1"/>
  <c r="C17" s="1"/>
  <c r="C61" i="7"/>
  <c r="E29"/>
  <c r="E12"/>
  <c r="E15" s="1"/>
  <c r="E17" s="1"/>
  <c r="G52"/>
  <c r="I54" s="1"/>
  <c r="E60" s="1"/>
  <c r="C52"/>
  <c r="C29"/>
  <c r="C12"/>
  <c r="C15" s="1"/>
  <c r="C17" s="1"/>
  <c r="K52"/>
  <c r="G29"/>
  <c r="G12"/>
  <c r="G15" s="1"/>
  <c r="G17" s="1"/>
  <c r="I48"/>
  <c r="E54"/>
  <c r="C60" s="1"/>
  <c r="M54"/>
  <c r="G60" s="1"/>
  <c r="E61" i="6"/>
  <c r="I55"/>
  <c r="C52"/>
  <c r="C29"/>
  <c r="C12"/>
  <c r="C15" s="1"/>
  <c r="C17" s="1"/>
  <c r="K52"/>
  <c r="G29"/>
  <c r="G12"/>
  <c r="G15" s="1"/>
  <c r="G17" s="1"/>
  <c r="E29"/>
  <c r="E12"/>
  <c r="E15" s="1"/>
  <c r="E17" s="1"/>
  <c r="G52"/>
  <c r="M54"/>
  <c r="G60" s="1"/>
  <c r="E48"/>
  <c r="M48"/>
  <c r="I54"/>
  <c r="E60" s="1"/>
  <c r="E63" s="1"/>
  <c r="E54"/>
  <c r="C60" s="1"/>
  <c r="G81" i="3"/>
  <c r="G82" s="1"/>
  <c r="G16" s="1"/>
  <c r="K53" s="1"/>
  <c r="E81"/>
  <c r="E82" s="1"/>
  <c r="E16" s="1"/>
  <c r="G53" s="1"/>
  <c r="C81"/>
  <c r="C82" s="1"/>
  <c r="C16" s="1"/>
  <c r="C53" s="1"/>
  <c r="I71"/>
  <c r="I70"/>
  <c r="G70"/>
  <c r="I69"/>
  <c r="I72" s="1"/>
  <c r="G11" s="1"/>
  <c r="G69"/>
  <c r="G72" s="1"/>
  <c r="E11" s="1"/>
  <c r="E69"/>
  <c r="E72" s="1"/>
  <c r="C11" s="1"/>
  <c r="K51"/>
  <c r="G51"/>
  <c r="C51"/>
  <c r="K50"/>
  <c r="G50"/>
  <c r="C50"/>
  <c r="M43"/>
  <c r="I43"/>
  <c r="E43"/>
  <c r="C38"/>
  <c r="G32"/>
  <c r="E32"/>
  <c r="C32"/>
  <c r="C22"/>
  <c r="G13"/>
  <c r="K46" s="1"/>
  <c r="E13"/>
  <c r="G46" s="1"/>
  <c r="C13"/>
  <c r="C46" s="1"/>
  <c r="G9"/>
  <c r="K45" s="1"/>
  <c r="M47" s="1"/>
  <c r="E9"/>
  <c r="G45" s="1"/>
  <c r="C9"/>
  <c r="C45" s="1"/>
  <c r="E47" s="1"/>
  <c r="K51" i="2"/>
  <c r="G51"/>
  <c r="K50"/>
  <c r="G50"/>
  <c r="K45"/>
  <c r="G45"/>
  <c r="C32"/>
  <c r="G81"/>
  <c r="G82" s="1"/>
  <c r="G16" s="1"/>
  <c r="K53" s="1"/>
  <c r="E81"/>
  <c r="E82" s="1"/>
  <c r="E16" s="1"/>
  <c r="G53" s="1"/>
  <c r="C81"/>
  <c r="C82" s="1"/>
  <c r="C16" s="1"/>
  <c r="C53" s="1"/>
  <c r="I71"/>
  <c r="I70"/>
  <c r="G70"/>
  <c r="I69"/>
  <c r="G69"/>
  <c r="E69"/>
  <c r="E72" s="1"/>
  <c r="C11" s="1"/>
  <c r="C12" s="1"/>
  <c r="C15" s="1"/>
  <c r="C51"/>
  <c r="C50"/>
  <c r="M43"/>
  <c r="I43"/>
  <c r="E43"/>
  <c r="C38"/>
  <c r="G32"/>
  <c r="E32"/>
  <c r="C22"/>
  <c r="K46"/>
  <c r="G46"/>
  <c r="C46"/>
  <c r="G63" i="7" l="1"/>
  <c r="C63"/>
  <c r="M55"/>
  <c r="E60" i="8"/>
  <c r="E63" s="1"/>
  <c r="I55"/>
  <c r="C61"/>
  <c r="C63" s="1"/>
  <c r="E55"/>
  <c r="E18"/>
  <c r="E19" s="1"/>
  <c r="E28" s="1"/>
  <c r="G18"/>
  <c r="G19" s="1"/>
  <c r="G28" s="1"/>
  <c r="C18"/>
  <c r="C19" s="1"/>
  <c r="C28" s="1"/>
  <c r="C33" s="1"/>
  <c r="E27" s="1"/>
  <c r="G61"/>
  <c r="M55"/>
  <c r="G63"/>
  <c r="E61" i="7"/>
  <c r="E63" s="1"/>
  <c r="I55"/>
  <c r="G18"/>
  <c r="G19" s="1"/>
  <c r="G28" s="1"/>
  <c r="C18"/>
  <c r="C19" s="1"/>
  <c r="C28" s="1"/>
  <c r="C33" s="1"/>
  <c r="E27" s="1"/>
  <c r="E18"/>
  <c r="E19" s="1"/>
  <c r="E28" s="1"/>
  <c r="E55"/>
  <c r="G72" i="2"/>
  <c r="E11" s="1"/>
  <c r="E29" s="1"/>
  <c r="M47"/>
  <c r="M48" s="1"/>
  <c r="G61" s="1"/>
  <c r="G61" i="6"/>
  <c r="M55"/>
  <c r="E18"/>
  <c r="E19"/>
  <c r="E28" s="1"/>
  <c r="C61"/>
  <c r="E55"/>
  <c r="C18"/>
  <c r="C19" s="1"/>
  <c r="C28" s="1"/>
  <c r="C33" s="1"/>
  <c r="E27" s="1"/>
  <c r="E33" s="1"/>
  <c r="G27" s="1"/>
  <c r="G18"/>
  <c r="G19" s="1"/>
  <c r="G28" s="1"/>
  <c r="C63"/>
  <c r="G63"/>
  <c r="I72" i="2"/>
  <c r="G11" s="1"/>
  <c r="K52" s="1"/>
  <c r="M54" s="1"/>
  <c r="G60" s="1"/>
  <c r="C52" i="3"/>
  <c r="C29"/>
  <c r="K52"/>
  <c r="G29"/>
  <c r="E54"/>
  <c r="C60" s="1"/>
  <c r="M54"/>
  <c r="G60" s="1"/>
  <c r="E29"/>
  <c r="G52"/>
  <c r="I47"/>
  <c r="I48" s="1"/>
  <c r="E48"/>
  <c r="M48"/>
  <c r="I54"/>
  <c r="E60" s="1"/>
  <c r="E12"/>
  <c r="E15" s="1"/>
  <c r="E17" s="1"/>
  <c r="C12"/>
  <c r="C15" s="1"/>
  <c r="C17" s="1"/>
  <c r="G12"/>
  <c r="G15" s="1"/>
  <c r="G17" s="1"/>
  <c r="C17" i="2"/>
  <c r="C18" s="1"/>
  <c r="C19" s="1"/>
  <c r="C28" s="1"/>
  <c r="I47"/>
  <c r="I48" s="1"/>
  <c r="C29"/>
  <c r="C52"/>
  <c r="E54" s="1"/>
  <c r="C60" s="1"/>
  <c r="C45"/>
  <c r="E47" s="1"/>
  <c r="E48" s="1"/>
  <c r="G12" l="1"/>
  <c r="G15" s="1"/>
  <c r="G17" s="1"/>
  <c r="G29"/>
  <c r="G52"/>
  <c r="I54" s="1"/>
  <c r="E60" s="1"/>
  <c r="E12"/>
  <c r="E15" s="1"/>
  <c r="E17" s="1"/>
  <c r="E18" s="1"/>
  <c r="E19" s="1"/>
  <c r="E28" s="1"/>
  <c r="E33" i="8"/>
  <c r="G27" s="1"/>
  <c r="G33" s="1"/>
  <c r="E33" i="7"/>
  <c r="G27" s="1"/>
  <c r="G33" s="1"/>
  <c r="G33" i="6"/>
  <c r="G63" i="2"/>
  <c r="C33"/>
  <c r="E27" s="1"/>
  <c r="E61" i="3"/>
  <c r="E63" s="1"/>
  <c r="I55"/>
  <c r="C18"/>
  <c r="C19" s="1"/>
  <c r="C28" s="1"/>
  <c r="C33" s="1"/>
  <c r="E27" s="1"/>
  <c r="C61"/>
  <c r="E55"/>
  <c r="G18"/>
  <c r="G19" s="1"/>
  <c r="G28" s="1"/>
  <c r="E18"/>
  <c r="E19"/>
  <c r="E28" s="1"/>
  <c r="G61"/>
  <c r="G63" s="1"/>
  <c r="M55"/>
  <c r="C63"/>
  <c r="M55" i="2"/>
  <c r="C61"/>
  <c r="C63" s="1"/>
  <c r="E55"/>
  <c r="E61"/>
  <c r="I55"/>
  <c r="G18"/>
  <c r="G19" s="1"/>
  <c r="G28" s="1"/>
  <c r="E63" l="1"/>
  <c r="E33"/>
  <c r="G27" s="1"/>
  <c r="G33" s="1"/>
  <c r="E33" i="3"/>
  <c r="G27" s="1"/>
  <c r="G33" s="1"/>
</calcChain>
</file>

<file path=xl/sharedStrings.xml><?xml version="1.0" encoding="utf-8"?>
<sst xmlns="http://schemas.openxmlformats.org/spreadsheetml/2006/main" count="430" uniqueCount="80">
  <si>
    <t>Sales revenue</t>
  </si>
  <si>
    <t>Fixed Cost of Goods Sold</t>
  </si>
  <si>
    <t>Variable Cost of Goods Sold</t>
  </si>
  <si>
    <t>Gross Margin</t>
  </si>
  <si>
    <t>Variable Operating Costs</t>
  </si>
  <si>
    <t>Fixed Operating Costs</t>
  </si>
  <si>
    <t>Operating Income</t>
  </si>
  <si>
    <t>Interest Expense</t>
  </si>
  <si>
    <t>Income Before Tax</t>
  </si>
  <si>
    <t>Income tax (40%)</t>
  </si>
  <si>
    <t>Net Income After Tax</t>
  </si>
  <si>
    <t>Year 1</t>
  </si>
  <si>
    <t>Year 2</t>
  </si>
  <si>
    <t>Year 3</t>
  </si>
  <si>
    <t>Depreciation</t>
  </si>
  <si>
    <t xml:space="preserve">Pro-Forma Statement of Income </t>
  </si>
  <si>
    <t xml:space="preserve">Pro-Forma Statement of Cash Flows </t>
  </si>
  <si>
    <t>Depreciation expense</t>
  </si>
  <si>
    <t>Ending Cash Balance</t>
  </si>
  <si>
    <t>Beginning Cash Balance</t>
  </si>
  <si>
    <t>Break - Even Analysis</t>
  </si>
  <si>
    <t>Less: Variable Costs:</t>
  </si>
  <si>
    <t xml:space="preserve">     Variable Cost of Goods Sold</t>
  </si>
  <si>
    <t xml:space="preserve">     Variable Operating Costs</t>
  </si>
  <si>
    <t>Contribution Margin</t>
  </si>
  <si>
    <t>Less: Fixed Costs</t>
  </si>
  <si>
    <t xml:space="preserve">     Fixed Cost of Goods Sold</t>
  </si>
  <si>
    <t xml:space="preserve">     Fixed Operating Costs</t>
  </si>
  <si>
    <t xml:space="preserve">     Depreciation</t>
  </si>
  <si>
    <t xml:space="preserve">     Interest Expense</t>
  </si>
  <si>
    <t xml:space="preserve">          Total Variable Costs</t>
  </si>
  <si>
    <t xml:space="preserve">          Total Fixed Costs</t>
  </si>
  <si>
    <t>Total Fixed Costs</t>
  </si>
  <si>
    <t>Contribution Margin %</t>
  </si>
  <si>
    <t>Break Even Sales Volume</t>
  </si>
  <si>
    <t>Increase (decrease) in borrowed funds</t>
  </si>
  <si>
    <t xml:space="preserve">* Assume no change in Accounts Receivable, Inventory or other current assets other than cash; Accounts Payable or other current </t>
  </si>
  <si>
    <t>Liabilities other than Notes Payable; Fixed Assets other than equipment; or Equity Accounts other than Retained Earnings</t>
  </si>
  <si>
    <t>Equipment Purchases Year 1</t>
  </si>
  <si>
    <t>Equipment Purchases Year 2</t>
  </si>
  <si>
    <t>Equipment Purchases Year 3</t>
  </si>
  <si>
    <t>MACRS Rates (7-year recovery period)</t>
  </si>
  <si>
    <t>Equipment</t>
  </si>
  <si>
    <t>Purchases</t>
  </si>
  <si>
    <t>Invested Capital (Equity)</t>
  </si>
  <si>
    <t>Equipment Purchases</t>
  </si>
  <si>
    <r>
      <t xml:space="preserve">name of organization </t>
    </r>
    <r>
      <rPr>
        <sz val="11"/>
        <color rgb="FF00B050"/>
        <rFont val="Calibri"/>
        <family val="2"/>
      </rPr>
      <t>→</t>
    </r>
  </si>
  <si>
    <t>Insert data in boxes only</t>
  </si>
  <si>
    <t>EXAMPLE , INC.</t>
  </si>
  <si>
    <t>Interest Expense:</t>
  </si>
  <si>
    <t>Annual interest rate on debt</t>
  </si>
  <si>
    <t>Average debt balance</t>
  </si>
  <si>
    <t>Interest expense</t>
  </si>
  <si>
    <t>Includes Direct material, direct labor and variable manufacturing overhead</t>
  </si>
  <si>
    <t>Includes rent on manufacturing facilities, manufacturing management salaries &amp; benefits etc.</t>
  </si>
  <si>
    <t>Includes sales commissions, shipping costs, etc.</t>
  </si>
  <si>
    <t>Includes selling, general &amp; administrative salaries, facilities, advertidsing, etc.</t>
  </si>
  <si>
    <t>In general a variable cost varies proportionately with volume while a fixed cost does not vary with volume.</t>
  </si>
  <si>
    <t>PICA</t>
  </si>
  <si>
    <t>Line</t>
  </si>
  <si>
    <t>How calculated</t>
  </si>
  <si>
    <t>Sales</t>
  </si>
  <si>
    <t>Variable Goods</t>
  </si>
  <si>
    <t>Fixed Goods</t>
  </si>
  <si>
    <t>Variable Operating</t>
  </si>
  <si>
    <t>Fixed Operating</t>
  </si>
  <si>
    <t>annualize</t>
  </si>
  <si>
    <t>future from present</t>
  </si>
  <si>
    <t>Interest</t>
  </si>
  <si>
    <t>Year</t>
  </si>
  <si>
    <t xml:space="preserve"> </t>
  </si>
  <si>
    <t>http://www.frazaforklifts.com/used_equipment_list5.asp</t>
  </si>
  <si>
    <t>estimated based on website</t>
  </si>
  <si>
    <t>materials, labor</t>
  </si>
  <si>
    <t>management</t>
  </si>
  <si>
    <t>shipping</t>
  </si>
  <si>
    <t>facilities, advertising</t>
  </si>
  <si>
    <t>Breakers</t>
  </si>
  <si>
    <t>Base Station</t>
  </si>
  <si>
    <t>E Meter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</si>
</sst>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164" fontId="0" fillId="0" borderId="0" xfId="1" applyNumberFormat="1" applyFont="1"/>
    <xf numFmtId="0" fontId="0" fillId="0" borderId="0" xfId="0" applyAlignme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0" xfId="1" applyNumberFormat="1" applyFont="1" applyFill="1"/>
    <xf numFmtId="164" fontId="0" fillId="0" borderId="0" xfId="1" applyNumberFormat="1" applyFont="1" applyBorder="1"/>
    <xf numFmtId="164" fontId="0" fillId="0" borderId="3" xfId="1" applyNumberFormat="1" applyFont="1" applyBorder="1"/>
    <xf numFmtId="164" fontId="0" fillId="2" borderId="0" xfId="1" applyNumberFormat="1" applyFont="1" applyFill="1"/>
    <xf numFmtId="164" fontId="0" fillId="2" borderId="1" xfId="1" applyNumberFormat="1" applyFont="1" applyFill="1" applyBorder="1"/>
    <xf numFmtId="9" fontId="0" fillId="0" borderId="0" xfId="2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3" borderId="4" xfId="1" applyNumberFormat="1" applyFont="1" applyFill="1" applyBorder="1"/>
    <xf numFmtId="0" fontId="0" fillId="0" borderId="0" xfId="0" applyBorder="1"/>
    <xf numFmtId="164" fontId="0" fillId="0" borderId="0" xfId="0" applyNumberFormat="1"/>
    <xf numFmtId="9" fontId="0" fillId="3" borderId="4" xfId="2" applyFont="1" applyFill="1" applyBorder="1"/>
    <xf numFmtId="164" fontId="0" fillId="0" borderId="0" xfId="1" applyNumberFormat="1" applyFont="1" applyFill="1" applyBorder="1"/>
    <xf numFmtId="0" fontId="0" fillId="0" borderId="1" xfId="0" applyBorder="1" applyAlignment="1">
      <alignment horizontal="center"/>
    </xf>
    <xf numFmtId="164" fontId="0" fillId="3" borderId="8" xfId="1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5" fillId="0" borderId="0" xfId="0" applyFont="1"/>
    <xf numFmtId="0" fontId="6" fillId="0" borderId="0" xfId="3" applyAlignment="1" applyProtecti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43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CC"/>
      <color rgb="FFCCFFFF"/>
      <color rgb="FFFFFF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razaforklifts.com/used_equipment_list5.a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razaforklifts.com/used_equipment_list5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razaforklifts.com/used_equipment_list5.as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razaforklifts.com/used_equipment_list5.a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82"/>
  <sheetViews>
    <sheetView workbookViewId="0">
      <selection activeCell="C8" sqref="C8"/>
    </sheetView>
  </sheetViews>
  <sheetFormatPr defaultRowHeight="15"/>
  <cols>
    <col min="2" max="2" width="35.28515625" customWidth="1"/>
    <col min="3" max="3" width="12.28515625" customWidth="1"/>
    <col min="4" max="4" width="1" customWidth="1"/>
    <col min="5" max="5" width="14" customWidth="1"/>
    <col min="6" max="6" width="1" customWidth="1"/>
    <col min="7" max="7" width="14.42578125" customWidth="1"/>
    <col min="8" max="8" width="1.28515625" customWidth="1"/>
    <col min="9" max="9" width="13.28515625" customWidth="1"/>
    <col min="10" max="10" width="1.140625" customWidth="1"/>
    <col min="11" max="11" width="13.28515625" customWidth="1"/>
    <col min="12" max="12" width="1.42578125" customWidth="1"/>
    <col min="13" max="13" width="13.28515625" customWidth="1"/>
    <col min="14" max="14" width="26.7109375" customWidth="1"/>
  </cols>
  <sheetData>
    <row r="2" spans="2:24" ht="15.75" thickBot="1">
      <c r="B2" s="12" t="s">
        <v>47</v>
      </c>
    </row>
    <row r="3" spans="2:24" ht="15.75" thickBot="1">
      <c r="B3" s="11" t="s">
        <v>46</v>
      </c>
      <c r="C3" s="30" t="s">
        <v>58</v>
      </c>
      <c r="D3" s="31"/>
      <c r="E3" s="31"/>
      <c r="F3" s="31"/>
      <c r="G3" s="32"/>
      <c r="H3" s="2"/>
    </row>
    <row r="4" spans="2:24">
      <c r="C4" s="28" t="s">
        <v>15</v>
      </c>
      <c r="D4" s="28"/>
      <c r="E4" s="28"/>
      <c r="F4" s="28"/>
      <c r="G4" s="28"/>
      <c r="H4" s="2"/>
    </row>
    <row r="5" spans="2:24">
      <c r="C5" s="23"/>
      <c r="D5" s="23"/>
      <c r="E5" s="23"/>
      <c r="F5" s="23"/>
      <c r="G5" s="23"/>
      <c r="H5" s="23"/>
    </row>
    <row r="6" spans="2:24">
      <c r="C6" s="24" t="s">
        <v>11</v>
      </c>
      <c r="E6" s="24" t="s">
        <v>12</v>
      </c>
      <c r="G6" s="24" t="s">
        <v>13</v>
      </c>
    </row>
    <row r="7" spans="2:24" ht="15.75" thickBot="1">
      <c r="C7" s="22"/>
      <c r="E7" s="22"/>
      <c r="G7" s="22"/>
    </row>
    <row r="8" spans="2:24" ht="15.75" thickBot="1">
      <c r="B8" t="s">
        <v>0</v>
      </c>
      <c r="C8" s="15">
        <v>266456400</v>
      </c>
      <c r="D8" s="1"/>
      <c r="E8" s="15">
        <v>334242908.16000003</v>
      </c>
      <c r="F8" s="1"/>
      <c r="G8" s="15">
        <v>374352057.13920009</v>
      </c>
      <c r="N8" t="s">
        <v>2</v>
      </c>
      <c r="O8" s="27" t="s">
        <v>53</v>
      </c>
      <c r="P8" s="27"/>
      <c r="Q8" s="27"/>
      <c r="R8" s="27"/>
      <c r="S8" s="27"/>
      <c r="T8" s="27"/>
      <c r="U8" s="27"/>
      <c r="V8" s="27"/>
      <c r="W8" s="27"/>
      <c r="X8" s="27"/>
    </row>
    <row r="9" spans="2:24" ht="15.75" thickBot="1">
      <c r="B9" t="s">
        <v>2</v>
      </c>
      <c r="C9" s="15">
        <v>86310000</v>
      </c>
      <c r="D9" s="1"/>
      <c r="E9" s="15">
        <v>108267264.00000001</v>
      </c>
      <c r="F9" s="1"/>
      <c r="G9" s="15">
        <v>121259335.68000004</v>
      </c>
      <c r="N9" t="s">
        <v>1</v>
      </c>
      <c r="O9" s="27" t="s">
        <v>54</v>
      </c>
      <c r="P9" s="27"/>
      <c r="Q9" s="27"/>
      <c r="R9" s="27"/>
      <c r="S9" s="27"/>
      <c r="T9" s="27"/>
      <c r="U9" s="27"/>
      <c r="V9" s="27"/>
      <c r="W9" s="27"/>
      <c r="X9" s="27"/>
    </row>
    <row r="10" spans="2:24" ht="15.75" thickBot="1">
      <c r="B10" t="s">
        <v>1</v>
      </c>
      <c r="C10" s="15">
        <v>4833359.9999999963</v>
      </c>
      <c r="D10" s="1"/>
      <c r="E10" s="15">
        <v>2553473.2075471682</v>
      </c>
      <c r="F10" s="1"/>
      <c r="G10" s="15">
        <v>1796754.0256045507</v>
      </c>
    </row>
    <row r="11" spans="2:24">
      <c r="B11" t="s">
        <v>14</v>
      </c>
      <c r="C11" s="3">
        <f>E72</f>
        <v>2858</v>
      </c>
      <c r="D11" s="1"/>
      <c r="E11" s="3">
        <f>G72</f>
        <v>4898.1428999999998</v>
      </c>
      <c r="F11" s="1"/>
      <c r="G11" s="3">
        <f>I72</f>
        <v>3498.3878</v>
      </c>
    </row>
    <row r="12" spans="2:24" ht="15.75" thickBot="1">
      <c r="B12" t="s">
        <v>3</v>
      </c>
      <c r="C12" s="1">
        <f>C8-C9-C10-C11</f>
        <v>175310182</v>
      </c>
      <c r="D12" s="1"/>
      <c r="E12" s="1">
        <f>E8-E9-E10-E11</f>
        <v>223417272.80955288</v>
      </c>
      <c r="F12" s="1"/>
      <c r="G12" s="1">
        <f>G8-G9-G10-G11</f>
        <v>251292469.0457955</v>
      </c>
    </row>
    <row r="13" spans="2:24" ht="15.75" thickBot="1">
      <c r="B13" t="s">
        <v>4</v>
      </c>
      <c r="C13" s="15">
        <v>25368000</v>
      </c>
      <c r="D13" s="1"/>
      <c r="E13" s="15">
        <v>31821619.200000003</v>
      </c>
      <c r="F13" s="1"/>
      <c r="G13" s="15">
        <v>35640213.504000008</v>
      </c>
      <c r="N13" t="s">
        <v>4</v>
      </c>
      <c r="O13" s="27" t="s">
        <v>55</v>
      </c>
      <c r="P13" s="27"/>
      <c r="Q13" s="27"/>
      <c r="R13" s="27"/>
      <c r="S13" s="27"/>
      <c r="T13" s="27"/>
      <c r="U13" s="27"/>
      <c r="V13" s="27"/>
      <c r="W13" s="27"/>
      <c r="X13" s="27"/>
    </row>
    <row r="14" spans="2:24" ht="15.75" thickBot="1">
      <c r="B14" t="s">
        <v>5</v>
      </c>
      <c r="C14" s="21">
        <v>1254399.9999999991</v>
      </c>
      <c r="D14" s="1"/>
      <c r="E14" s="21">
        <v>662701.88679245242</v>
      </c>
      <c r="F14" s="1"/>
      <c r="G14" s="21">
        <v>466310.85822664737</v>
      </c>
      <c r="N14" t="s">
        <v>5</v>
      </c>
      <c r="O14" s="27" t="s">
        <v>56</v>
      </c>
      <c r="P14" s="27"/>
      <c r="Q14" s="27"/>
      <c r="R14" s="27"/>
      <c r="S14" s="27"/>
      <c r="T14" s="27"/>
      <c r="U14" s="27"/>
      <c r="V14" s="27"/>
      <c r="W14" s="27"/>
      <c r="X14" s="27"/>
    </row>
    <row r="15" spans="2:24">
      <c r="B15" t="s">
        <v>6</v>
      </c>
      <c r="C15" s="1">
        <f>C12-C13-C14</f>
        <v>148687782</v>
      </c>
      <c r="D15" s="1"/>
      <c r="E15" s="1">
        <f>E12-E13-E14</f>
        <v>190932951.72276041</v>
      </c>
      <c r="F15" s="1"/>
      <c r="G15" s="1">
        <f>G12-G13-G14</f>
        <v>215185944.68356884</v>
      </c>
    </row>
    <row r="16" spans="2:24">
      <c r="B16" t="s">
        <v>7</v>
      </c>
      <c r="C16" s="19">
        <f>C82</f>
        <v>1.4999999999999999E-2</v>
      </c>
      <c r="D16" s="1"/>
      <c r="E16" s="19">
        <f>E82</f>
        <v>4.4999999999999998E-2</v>
      </c>
      <c r="F16" s="1"/>
      <c r="G16" s="19">
        <f>G82</f>
        <v>7.4999999999999997E-2</v>
      </c>
      <c r="N16" t="s">
        <v>57</v>
      </c>
    </row>
    <row r="17" spans="2:8">
      <c r="B17" t="s">
        <v>8</v>
      </c>
      <c r="C17" s="1">
        <f>C15-C16</f>
        <v>148687781.98500001</v>
      </c>
      <c r="D17" s="1"/>
      <c r="E17" s="1">
        <f>E15-E16</f>
        <v>190932951.67776042</v>
      </c>
      <c r="F17" s="1"/>
      <c r="G17" s="1">
        <f>G15-G16</f>
        <v>215185944.60856885</v>
      </c>
    </row>
    <row r="18" spans="2:8">
      <c r="B18" t="s">
        <v>9</v>
      </c>
      <c r="C18" s="3">
        <f>0.4*C17</f>
        <v>59475112.794000007</v>
      </c>
      <c r="D18" s="1"/>
      <c r="E18" s="3">
        <f>0.4*E17</f>
        <v>76373180.671104178</v>
      </c>
      <c r="F18" s="1"/>
      <c r="G18" s="3">
        <f>0.4*G17</f>
        <v>86074377.843427539</v>
      </c>
    </row>
    <row r="19" spans="2:8" ht="15.75" thickBot="1">
      <c r="B19" t="s">
        <v>10</v>
      </c>
      <c r="C19" s="4">
        <f>C17-C18</f>
        <v>89212669.191000015</v>
      </c>
      <c r="D19" s="1"/>
      <c r="E19" s="4">
        <f>E17-E18</f>
        <v>114559771.00665624</v>
      </c>
      <c r="F19" s="1"/>
      <c r="G19" s="4">
        <f>G17-G18</f>
        <v>129111566.76514131</v>
      </c>
    </row>
    <row r="20" spans="2:8" ht="15.75" thickTop="1"/>
    <row r="22" spans="2:8">
      <c r="C22" s="28" t="str">
        <f>C3</f>
        <v>PICA</v>
      </c>
      <c r="D22" s="28"/>
      <c r="E22" s="28"/>
      <c r="F22" s="28"/>
      <c r="G22" s="28"/>
      <c r="H22" s="2"/>
    </row>
    <row r="23" spans="2:8">
      <c r="C23" s="28" t="s">
        <v>16</v>
      </c>
      <c r="D23" s="28"/>
      <c r="E23" s="28"/>
      <c r="F23" s="28"/>
      <c r="G23" s="28"/>
      <c r="H23" s="2"/>
    </row>
    <row r="25" spans="2:8">
      <c r="C25" s="24" t="s">
        <v>11</v>
      </c>
      <c r="E25" s="24" t="s">
        <v>12</v>
      </c>
      <c r="G25" s="24" t="s">
        <v>13</v>
      </c>
    </row>
    <row r="27" spans="2:8">
      <c r="B27" t="s">
        <v>19</v>
      </c>
      <c r="C27" s="1">
        <v>0</v>
      </c>
      <c r="D27" s="1"/>
      <c r="E27" s="1">
        <f>C33</f>
        <v>89195529.191000015</v>
      </c>
      <c r="F27" s="1"/>
      <c r="G27" s="1">
        <f>E33</f>
        <v>203760199.34055626</v>
      </c>
    </row>
    <row r="28" spans="2:8">
      <c r="B28" t="s">
        <v>10</v>
      </c>
      <c r="C28" s="1">
        <f>C19</f>
        <v>89212669.191000015</v>
      </c>
      <c r="D28" s="1"/>
      <c r="E28" s="1">
        <f>E19</f>
        <v>114559771.00665624</v>
      </c>
      <c r="F28" s="1"/>
      <c r="G28" s="1">
        <f>G19</f>
        <v>129111566.76514131</v>
      </c>
    </row>
    <row r="29" spans="2:8" ht="15.75" thickBot="1">
      <c r="B29" t="s">
        <v>17</v>
      </c>
      <c r="C29" s="1">
        <f>C11</f>
        <v>2858</v>
      </c>
      <c r="D29" s="1"/>
      <c r="E29" s="1">
        <f>E11</f>
        <v>4898.1428999999998</v>
      </c>
      <c r="F29" s="1"/>
      <c r="G29" s="1">
        <f>G11</f>
        <v>3498.3878</v>
      </c>
    </row>
    <row r="30" spans="2:8" ht="15.75" thickBot="1">
      <c r="B30" t="s">
        <v>44</v>
      </c>
      <c r="C30" s="15">
        <v>1</v>
      </c>
      <c r="D30" s="1"/>
      <c r="E30" s="15">
        <v>1</v>
      </c>
      <c r="F30" s="1"/>
      <c r="G30" s="15">
        <v>1</v>
      </c>
    </row>
    <row r="31" spans="2:8" ht="15.75" thickBot="1">
      <c r="B31" t="s">
        <v>35</v>
      </c>
      <c r="C31" s="15">
        <v>1</v>
      </c>
      <c r="D31" s="1"/>
      <c r="E31" s="15">
        <v>1</v>
      </c>
      <c r="F31" s="1"/>
      <c r="G31" s="15">
        <v>1</v>
      </c>
    </row>
    <row r="32" spans="2:8">
      <c r="B32" t="s">
        <v>45</v>
      </c>
      <c r="C32" s="3">
        <f>-C69</f>
        <v>-20000</v>
      </c>
      <c r="D32" s="1"/>
      <c r="E32" s="3">
        <f>-C70</f>
        <v>-1</v>
      </c>
      <c r="F32" s="1"/>
      <c r="G32" s="3">
        <f>-C71</f>
        <v>-1</v>
      </c>
    </row>
    <row r="33" spans="2:13" ht="15.75" thickBot="1">
      <c r="B33" t="s">
        <v>18</v>
      </c>
      <c r="C33" s="4">
        <f>SUM(C27:C32)</f>
        <v>89195529.191000015</v>
      </c>
      <c r="D33" s="1"/>
      <c r="E33" s="4">
        <f>SUM(E27:E32)</f>
        <v>203760199.34055626</v>
      </c>
      <c r="F33" s="1"/>
      <c r="G33" s="4">
        <f>SUM(G27:G32)</f>
        <v>332875265.49349755</v>
      </c>
    </row>
    <row r="34" spans="2:13" ht="15.75" thickTop="1"/>
    <row r="35" spans="2:13">
      <c r="B35" s="27" t="s">
        <v>36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2:13">
      <c r="B36" s="27" t="s">
        <v>37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2:13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2:13">
      <c r="C38" s="28" t="str">
        <f>C3</f>
        <v>PICA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</row>
    <row r="39" spans="2:13">
      <c r="C39" s="28" t="s">
        <v>20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1" spans="2:13">
      <c r="C41" s="29" t="s">
        <v>11</v>
      </c>
      <c r="D41" s="29"/>
      <c r="E41" s="29"/>
      <c r="G41" s="29" t="s">
        <v>12</v>
      </c>
      <c r="H41" s="29"/>
      <c r="I41" s="29"/>
      <c r="K41" s="29" t="s">
        <v>13</v>
      </c>
      <c r="L41" s="29"/>
      <c r="M41" s="29"/>
    </row>
    <row r="42" spans="2:13" ht="5.25" customHeight="1"/>
    <row r="43" spans="2:13">
      <c r="B43" t="s">
        <v>0</v>
      </c>
      <c r="C43" s="5"/>
      <c r="D43" s="1"/>
      <c r="E43" s="1">
        <f>C8</f>
        <v>266456400</v>
      </c>
      <c r="F43" s="1"/>
      <c r="G43" s="5"/>
      <c r="H43" s="1"/>
      <c r="I43" s="1">
        <f>E8</f>
        <v>334242908.16000003</v>
      </c>
      <c r="J43" s="1"/>
      <c r="K43" s="5"/>
      <c r="L43" s="1"/>
      <c r="M43" s="1">
        <f>G8</f>
        <v>374352057.13920009</v>
      </c>
    </row>
    <row r="44" spans="2:13">
      <c r="B44" t="s">
        <v>21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>
      <c r="B45" t="s">
        <v>22</v>
      </c>
      <c r="C45" s="1">
        <f>C9</f>
        <v>86310000</v>
      </c>
      <c r="D45" s="1"/>
      <c r="E45" s="1"/>
      <c r="F45" s="1"/>
      <c r="G45" s="1">
        <f>E9</f>
        <v>108267264.00000001</v>
      </c>
      <c r="H45" s="1"/>
      <c r="I45" s="1"/>
      <c r="J45" s="1"/>
      <c r="K45" s="1">
        <f>G9</f>
        <v>121259335.68000004</v>
      </c>
      <c r="L45" s="1"/>
      <c r="M45" s="1"/>
    </row>
    <row r="46" spans="2:13">
      <c r="B46" t="s">
        <v>23</v>
      </c>
      <c r="C46" s="6">
        <f>C13</f>
        <v>25368000</v>
      </c>
      <c r="D46" s="1"/>
      <c r="E46" s="6"/>
      <c r="F46" s="1"/>
      <c r="G46" s="6">
        <f>E13</f>
        <v>31821619.200000003</v>
      </c>
      <c r="H46" s="1"/>
      <c r="I46" s="5"/>
      <c r="J46" s="1"/>
      <c r="K46" s="6">
        <f>G13</f>
        <v>35640213.504000008</v>
      </c>
      <c r="L46" s="1"/>
      <c r="M46" s="1"/>
    </row>
    <row r="47" spans="2:13">
      <c r="B47" t="s">
        <v>30</v>
      </c>
      <c r="C47" s="6"/>
      <c r="D47" s="1"/>
      <c r="E47" s="3">
        <f>C45+C46</f>
        <v>111678000</v>
      </c>
      <c r="F47" s="1"/>
      <c r="G47" s="6"/>
      <c r="H47" s="1"/>
      <c r="I47" s="3">
        <f>G45+G46</f>
        <v>140088883.20000002</v>
      </c>
      <c r="J47" s="1"/>
      <c r="K47" s="1"/>
      <c r="L47" s="1"/>
      <c r="M47" s="3">
        <f>K45+K46</f>
        <v>156899549.18400005</v>
      </c>
    </row>
    <row r="48" spans="2:13">
      <c r="B48" t="s">
        <v>24</v>
      </c>
      <c r="C48" s="1"/>
      <c r="D48" s="1"/>
      <c r="E48" s="1">
        <f>E43-E47</f>
        <v>154778400</v>
      </c>
      <c r="F48" s="1"/>
      <c r="G48" s="1"/>
      <c r="H48" s="1"/>
      <c r="I48" s="1">
        <f>I43-I47</f>
        <v>194154024.96000001</v>
      </c>
      <c r="J48" s="1"/>
      <c r="K48" s="1"/>
      <c r="L48" s="1"/>
      <c r="M48" s="1">
        <f>M43-M47</f>
        <v>217452507.95520005</v>
      </c>
    </row>
    <row r="49" spans="2:13">
      <c r="B49" t="s">
        <v>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>
      <c r="B50" t="s">
        <v>26</v>
      </c>
      <c r="C50" s="1">
        <f>C10</f>
        <v>4833359.9999999963</v>
      </c>
      <c r="D50" s="1"/>
      <c r="E50" s="1"/>
      <c r="F50" s="1"/>
      <c r="G50" s="1">
        <f>E10</f>
        <v>2553473.2075471682</v>
      </c>
      <c r="H50" s="1"/>
      <c r="I50" s="1"/>
      <c r="J50" s="1"/>
      <c r="K50" s="1">
        <f>G10</f>
        <v>1796754.0256045507</v>
      </c>
      <c r="L50" s="1"/>
      <c r="M50" s="1"/>
    </row>
    <row r="51" spans="2:13">
      <c r="B51" t="s">
        <v>27</v>
      </c>
      <c r="C51" s="1">
        <f>C14</f>
        <v>1254399.9999999991</v>
      </c>
      <c r="D51" s="1"/>
      <c r="E51" s="1"/>
      <c r="F51" s="1"/>
      <c r="G51" s="1">
        <f>E14</f>
        <v>662701.88679245242</v>
      </c>
      <c r="H51" s="1"/>
      <c r="I51" s="1"/>
      <c r="J51" s="1"/>
      <c r="K51" s="1">
        <f>G14</f>
        <v>466310.85822664737</v>
      </c>
      <c r="L51" s="1"/>
      <c r="M51" s="1"/>
    </row>
    <row r="52" spans="2:13">
      <c r="B52" t="s">
        <v>28</v>
      </c>
      <c r="C52" s="1">
        <f>C11</f>
        <v>2858</v>
      </c>
      <c r="D52" s="1"/>
      <c r="E52" s="1"/>
      <c r="F52" s="1"/>
      <c r="G52" s="1">
        <f>E11</f>
        <v>4898.1428999999998</v>
      </c>
      <c r="H52" s="1"/>
      <c r="I52" s="1"/>
      <c r="J52" s="1"/>
      <c r="K52" s="1">
        <f>G11</f>
        <v>3498.3878</v>
      </c>
      <c r="L52" s="1"/>
      <c r="M52" s="1"/>
    </row>
    <row r="53" spans="2:13">
      <c r="B53" t="s">
        <v>29</v>
      </c>
      <c r="C53" s="6">
        <f>C16</f>
        <v>1.4999999999999999E-2</v>
      </c>
      <c r="D53" s="1"/>
      <c r="E53" s="6"/>
      <c r="F53" s="1"/>
      <c r="G53" s="6">
        <f>E16</f>
        <v>4.4999999999999998E-2</v>
      </c>
      <c r="H53" s="1"/>
      <c r="I53" s="1"/>
      <c r="J53" s="1"/>
      <c r="K53" s="6">
        <f>G16</f>
        <v>7.4999999999999997E-2</v>
      </c>
      <c r="L53" s="1"/>
      <c r="M53" s="1"/>
    </row>
    <row r="54" spans="2:13">
      <c r="B54" t="s">
        <v>31</v>
      </c>
      <c r="C54" s="6"/>
      <c r="D54" s="1"/>
      <c r="E54" s="6">
        <f>SUM(C50:C53)</f>
        <v>6090618.014999995</v>
      </c>
      <c r="F54" s="1"/>
      <c r="G54" s="6"/>
      <c r="H54" s="1"/>
      <c r="I54" s="3">
        <f>SUM(G50:G53)</f>
        <v>3221073.2822396206</v>
      </c>
      <c r="J54" s="1"/>
      <c r="K54" s="6"/>
      <c r="L54" s="1"/>
      <c r="M54" s="3">
        <f>SUM(K50:K53)</f>
        <v>2266563.3466311987</v>
      </c>
    </row>
    <row r="55" spans="2:13" ht="15.75" thickBot="1">
      <c r="B55" t="s">
        <v>8</v>
      </c>
      <c r="C55" s="6"/>
      <c r="D55" s="1"/>
      <c r="E55" s="4">
        <f>E48-E54</f>
        <v>148687781.98500001</v>
      </c>
      <c r="F55" s="1"/>
      <c r="G55" s="6"/>
      <c r="H55" s="1"/>
      <c r="I55" s="4">
        <f>I48-I54</f>
        <v>190932951.67776039</v>
      </c>
      <c r="J55" s="1"/>
      <c r="K55" s="1"/>
      <c r="L55" s="1"/>
      <c r="M55" s="4">
        <f>M48-M54</f>
        <v>215185944.60856885</v>
      </c>
    </row>
    <row r="56" spans="2:13" ht="15.75" thickTop="1"/>
    <row r="58" spans="2:13">
      <c r="C58" s="22" t="s">
        <v>11</v>
      </c>
      <c r="E58" s="22" t="s">
        <v>12</v>
      </c>
      <c r="G58" s="22" t="s">
        <v>13</v>
      </c>
    </row>
    <row r="59" spans="2:13" ht="4.5" customHeight="1">
      <c r="C59" s="22"/>
      <c r="E59" s="22"/>
      <c r="G59" s="22"/>
    </row>
    <row r="60" spans="2:13">
      <c r="B60" t="s">
        <v>32</v>
      </c>
      <c r="C60" s="1">
        <f>E54</f>
        <v>6090618.014999995</v>
      </c>
      <c r="D60" s="1"/>
      <c r="E60" s="1">
        <f>I54</f>
        <v>3221073.2822396206</v>
      </c>
      <c r="F60" s="1"/>
      <c r="G60" s="1">
        <f>M54</f>
        <v>2266563.3466311987</v>
      </c>
    </row>
    <row r="61" spans="2:13">
      <c r="B61" t="s">
        <v>33</v>
      </c>
      <c r="C61" s="10">
        <f>E48/E43</f>
        <v>0.58087702153147758</v>
      </c>
      <c r="D61" s="1"/>
      <c r="E61" s="10">
        <f>I48/I43</f>
        <v>0.58087702153147758</v>
      </c>
      <c r="F61" s="1"/>
      <c r="G61" s="10">
        <f>M48/M43</f>
        <v>0.58087702153147758</v>
      </c>
    </row>
    <row r="62" spans="2:13" ht="3.75" customHeight="1">
      <c r="C62" s="1"/>
      <c r="D62" s="1"/>
      <c r="E62" s="1"/>
      <c r="F62" s="1"/>
      <c r="G62" s="1"/>
    </row>
    <row r="63" spans="2:13" ht="15.75" thickBot="1">
      <c r="B63" t="s">
        <v>34</v>
      </c>
      <c r="C63" s="7">
        <f>C60/C61</f>
        <v>10485210.792022947</v>
      </c>
      <c r="D63" s="1"/>
      <c r="E63" s="7">
        <f>E60/E61</f>
        <v>5545189.7094281456</v>
      </c>
      <c r="F63" s="1"/>
      <c r="G63" s="7">
        <f>G60/G61</f>
        <v>3901967.6499776538</v>
      </c>
    </row>
    <row r="64" spans="2:13" ht="15.75" thickTop="1"/>
    <row r="66" spans="2:14">
      <c r="C66" s="22" t="s">
        <v>42</v>
      </c>
      <c r="E66" s="28" t="s">
        <v>14</v>
      </c>
      <c r="F66" s="28"/>
      <c r="G66" s="28"/>
      <c r="H66" s="28"/>
      <c r="I66" s="28"/>
    </row>
    <row r="67" spans="2:14">
      <c r="C67" s="22" t="s">
        <v>43</v>
      </c>
      <c r="E67" s="24" t="s">
        <v>11</v>
      </c>
      <c r="G67" s="24" t="s">
        <v>12</v>
      </c>
      <c r="I67" s="24" t="s">
        <v>13</v>
      </c>
    </row>
    <row r="68" spans="2:14" ht="15.75" thickBot="1">
      <c r="E68" s="22"/>
      <c r="G68" s="22"/>
      <c r="I68" s="22"/>
    </row>
    <row r="69" spans="2:14" ht="15.75" thickBot="1">
      <c r="B69" t="s">
        <v>38</v>
      </c>
      <c r="C69" s="15">
        <v>20000</v>
      </c>
      <c r="E69" s="1">
        <f>C75*C69</f>
        <v>2858</v>
      </c>
      <c r="F69" s="1"/>
      <c r="G69" s="1">
        <f>E75*C69</f>
        <v>4898</v>
      </c>
      <c r="H69" s="1"/>
      <c r="I69" s="1">
        <f>G75*C69</f>
        <v>3498</v>
      </c>
      <c r="M69" t="s">
        <v>72</v>
      </c>
      <c r="N69" s="26" t="s">
        <v>71</v>
      </c>
    </row>
    <row r="70" spans="2:14" ht="15.75" thickBot="1">
      <c r="B70" t="s">
        <v>39</v>
      </c>
      <c r="C70" s="15">
        <v>1</v>
      </c>
      <c r="E70" s="8"/>
      <c r="F70" s="1"/>
      <c r="G70" s="1">
        <f>C75*C70</f>
        <v>0.1429</v>
      </c>
      <c r="H70" s="1"/>
      <c r="I70" s="1">
        <f>E75*C70</f>
        <v>0.24490000000000001</v>
      </c>
    </row>
    <row r="71" spans="2:14" ht="15.75" thickBot="1">
      <c r="B71" t="s">
        <v>40</v>
      </c>
      <c r="C71" s="15">
        <v>1</v>
      </c>
      <c r="E71" s="9"/>
      <c r="F71" s="1"/>
      <c r="G71" s="9"/>
      <c r="H71" s="1"/>
      <c r="I71" s="3">
        <f>C75*C71</f>
        <v>0.1429</v>
      </c>
    </row>
    <row r="72" spans="2:14" ht="15.75" thickBot="1">
      <c r="E72" s="4">
        <f>SUM(E69:E71)</f>
        <v>2858</v>
      </c>
      <c r="F72" s="1"/>
      <c r="G72" s="4">
        <f>SUM(G69:G71)</f>
        <v>4898.1428999999998</v>
      </c>
      <c r="H72" s="1"/>
      <c r="I72" s="4">
        <f>SUM(I69:I71)</f>
        <v>3498.3878</v>
      </c>
    </row>
    <row r="73" spans="2:14" ht="15.75" thickTop="1"/>
    <row r="75" spans="2:14">
      <c r="B75" t="s">
        <v>41</v>
      </c>
      <c r="C75">
        <v>0.1429</v>
      </c>
      <c r="E75">
        <v>0.24490000000000001</v>
      </c>
      <c r="G75">
        <v>0.1749</v>
      </c>
    </row>
    <row r="77" spans="2:14" ht="15.75" thickBot="1">
      <c r="B77" t="s">
        <v>49</v>
      </c>
    </row>
    <row r="78" spans="2:14" ht="15.75" thickBot="1">
      <c r="B78" t="s">
        <v>50</v>
      </c>
      <c r="C78" s="18">
        <v>0.03</v>
      </c>
      <c r="E78" s="16"/>
      <c r="G78" s="16"/>
      <c r="I78" s="16"/>
    </row>
    <row r="79" spans="2:14" ht="6" customHeight="1"/>
    <row r="80" spans="2:14" ht="15" customHeight="1">
      <c r="C80" s="24" t="s">
        <v>11</v>
      </c>
      <c r="E80" s="24" t="s">
        <v>12</v>
      </c>
      <c r="G80" s="24" t="s">
        <v>13</v>
      </c>
    </row>
    <row r="81" spans="2:7">
      <c r="B81" t="s">
        <v>51</v>
      </c>
      <c r="C81" s="1">
        <f>C31/2</f>
        <v>0.5</v>
      </c>
      <c r="D81" s="1"/>
      <c r="E81" s="1">
        <f>((C31+E31)+C31)/2</f>
        <v>1.5</v>
      </c>
      <c r="F81" s="1"/>
      <c r="G81" s="1">
        <f>((+C31+E31)+(C31+E31+G31))/2</f>
        <v>2.5</v>
      </c>
    </row>
    <row r="82" spans="2:7">
      <c r="B82" t="s">
        <v>52</v>
      </c>
      <c r="C82" s="17">
        <f>C78*C81</f>
        <v>1.4999999999999999E-2</v>
      </c>
      <c r="E82" s="17">
        <f>C78*E81</f>
        <v>4.4999999999999998E-2</v>
      </c>
      <c r="G82" s="17">
        <f>C78*G81</f>
        <v>7.4999999999999997E-2</v>
      </c>
    </row>
  </sheetData>
  <mergeCells count="16">
    <mergeCell ref="C41:E41"/>
    <mergeCell ref="G41:I41"/>
    <mergeCell ref="K41:M41"/>
    <mergeCell ref="E66:I66"/>
    <mergeCell ref="C22:G22"/>
    <mergeCell ref="C23:G23"/>
    <mergeCell ref="B35:M35"/>
    <mergeCell ref="B36:M36"/>
    <mergeCell ref="C38:M38"/>
    <mergeCell ref="C39:M39"/>
    <mergeCell ref="C3:G3"/>
    <mergeCell ref="C4:G4"/>
    <mergeCell ref="O8:X8"/>
    <mergeCell ref="O9:X9"/>
    <mergeCell ref="O13:X13"/>
    <mergeCell ref="O14:X14"/>
  </mergeCells>
  <hyperlinks>
    <hyperlink ref="N6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X82"/>
  <sheetViews>
    <sheetView topLeftCell="A2" workbookViewId="0">
      <selection activeCell="E31" sqref="E31"/>
    </sheetView>
  </sheetViews>
  <sheetFormatPr defaultRowHeight="15"/>
  <cols>
    <col min="2" max="2" width="35.28515625" customWidth="1"/>
    <col min="3" max="3" width="12.28515625" customWidth="1"/>
    <col min="4" max="4" width="1" customWidth="1"/>
    <col min="5" max="5" width="14" customWidth="1"/>
    <col min="6" max="6" width="1" customWidth="1"/>
    <col min="7" max="7" width="14.42578125" customWidth="1"/>
    <col min="8" max="8" width="1.28515625" customWidth="1"/>
    <col min="9" max="9" width="13.28515625" customWidth="1"/>
    <col min="10" max="10" width="1.140625" customWidth="1"/>
    <col min="11" max="11" width="13.28515625" customWidth="1"/>
    <col min="12" max="12" width="1.42578125" customWidth="1"/>
    <col min="13" max="13" width="13.28515625" customWidth="1"/>
    <col min="14" max="14" width="26.7109375" customWidth="1"/>
    <col min="15" max="15" width="13" customWidth="1"/>
  </cols>
  <sheetData>
    <row r="2" spans="2:24" ht="15.75" thickBot="1">
      <c r="B2" s="12" t="s">
        <v>47</v>
      </c>
    </row>
    <row r="3" spans="2:24" ht="15.75" thickBot="1">
      <c r="B3" s="11" t="s">
        <v>46</v>
      </c>
      <c r="C3" s="30" t="s">
        <v>58</v>
      </c>
      <c r="D3" s="31"/>
      <c r="E3" s="31"/>
      <c r="F3" s="31"/>
      <c r="G3" s="32"/>
      <c r="H3" s="2"/>
    </row>
    <row r="4" spans="2:24">
      <c r="C4" s="28" t="s">
        <v>15</v>
      </c>
      <c r="D4" s="28"/>
      <c r="E4" s="28"/>
      <c r="F4" s="28"/>
      <c r="G4" s="28"/>
      <c r="H4" s="2"/>
    </row>
    <row r="5" spans="2:24">
      <c r="C5" s="23"/>
      <c r="D5" s="23"/>
      <c r="E5" s="23"/>
      <c r="F5" s="23"/>
      <c r="G5" s="23"/>
      <c r="H5" s="23"/>
    </row>
    <row r="6" spans="2:24">
      <c r="C6" s="24" t="s">
        <v>11</v>
      </c>
      <c r="E6" s="24" t="s">
        <v>12</v>
      </c>
      <c r="G6" s="24" t="s">
        <v>13</v>
      </c>
    </row>
    <row r="7" spans="2:24" ht="15.75" thickBot="1">
      <c r="C7" s="22"/>
      <c r="E7" s="22"/>
      <c r="G7" s="22"/>
    </row>
    <row r="8" spans="2:24" ht="15.75" thickBot="1">
      <c r="B8" t="s">
        <v>0</v>
      </c>
      <c r="C8" s="15">
        <v>100645600</v>
      </c>
      <c r="D8" s="1"/>
      <c r="E8" s="15">
        <f>130000000+645600</f>
        <v>130645600</v>
      </c>
      <c r="F8" s="1"/>
      <c r="G8" s="15">
        <f>160000000+645600</f>
        <v>160645600</v>
      </c>
      <c r="N8" t="s">
        <v>2</v>
      </c>
      <c r="O8" s="27" t="s">
        <v>53</v>
      </c>
      <c r="P8" s="27"/>
      <c r="Q8" s="27"/>
      <c r="R8" s="27"/>
      <c r="S8" s="27"/>
      <c r="T8" s="27"/>
      <c r="U8" s="27"/>
      <c r="V8" s="27"/>
      <c r="W8" s="27"/>
      <c r="X8" s="27"/>
    </row>
    <row r="9" spans="2:24" ht="15.75" thickBot="1">
      <c r="B9" t="s">
        <v>2</v>
      </c>
      <c r="C9" s="15">
        <f>56000000+1600000</f>
        <v>57600000</v>
      </c>
      <c r="D9" s="1"/>
      <c r="E9" s="15">
        <v>40000000</v>
      </c>
      <c r="F9" s="1"/>
      <c r="G9" s="15">
        <v>46651256</v>
      </c>
      <c r="N9" t="s">
        <v>1</v>
      </c>
      <c r="O9" s="27" t="s">
        <v>54</v>
      </c>
      <c r="P9" s="27"/>
      <c r="Q9" s="27"/>
      <c r="R9" s="27"/>
      <c r="S9" s="27"/>
      <c r="T9" s="27"/>
      <c r="U9" s="27"/>
      <c r="V9" s="27"/>
      <c r="W9" s="27"/>
      <c r="X9" s="27"/>
    </row>
    <row r="10" spans="2:24" ht="15.75" thickBot="1">
      <c r="B10" t="s">
        <v>1</v>
      </c>
      <c r="C10" s="15">
        <v>2400000</v>
      </c>
      <c r="D10" s="1"/>
      <c r="E10" s="15">
        <f>C10+1200000</f>
        <v>3600000</v>
      </c>
      <c r="F10" s="1"/>
      <c r="G10" s="15">
        <f>E10+1200000</f>
        <v>4800000</v>
      </c>
    </row>
    <row r="11" spans="2:24">
      <c r="B11" t="s">
        <v>14</v>
      </c>
      <c r="C11" s="3">
        <f>E72</f>
        <v>2858</v>
      </c>
      <c r="D11" s="1"/>
      <c r="E11" s="3">
        <f>G72</f>
        <v>4898</v>
      </c>
      <c r="F11" s="1"/>
      <c r="G11" s="3">
        <f>I72</f>
        <v>3498</v>
      </c>
    </row>
    <row r="12" spans="2:24" ht="15.75" thickBot="1">
      <c r="B12" t="s">
        <v>3</v>
      </c>
      <c r="C12" s="1">
        <f>C8-C9-C10-C11</f>
        <v>40642742</v>
      </c>
      <c r="D12" s="1"/>
      <c r="E12" s="1">
        <f>E8-E9-E10-E11</f>
        <v>87040702</v>
      </c>
      <c r="F12" s="1"/>
      <c r="G12" s="1">
        <f>G8-G9-G10-G11</f>
        <v>109190846</v>
      </c>
    </row>
    <row r="13" spans="2:24" ht="15.75" thickBot="1">
      <c r="B13" t="s">
        <v>4</v>
      </c>
      <c r="C13" s="15">
        <v>8000000</v>
      </c>
      <c r="D13" s="1"/>
      <c r="E13" s="15">
        <v>10000000</v>
      </c>
      <c r="F13" s="1"/>
      <c r="G13" s="15">
        <v>12000000</v>
      </c>
      <c r="N13" t="s">
        <v>4</v>
      </c>
      <c r="O13" s="27" t="s">
        <v>55</v>
      </c>
      <c r="P13" s="27"/>
      <c r="Q13" s="27"/>
      <c r="R13" s="27"/>
      <c r="S13" s="27"/>
      <c r="T13" s="27"/>
      <c r="U13" s="27"/>
      <c r="V13" s="27"/>
      <c r="W13" s="27"/>
      <c r="X13" s="27"/>
    </row>
    <row r="14" spans="2:24" ht="15.75" thickBot="1">
      <c r="B14" t="s">
        <v>5</v>
      </c>
      <c r="C14" s="21">
        <v>5055</v>
      </c>
      <c r="D14" s="1"/>
      <c r="E14" s="21">
        <v>6000</v>
      </c>
      <c r="F14" s="1"/>
      <c r="G14" s="21">
        <v>10000</v>
      </c>
      <c r="N14" t="s">
        <v>5</v>
      </c>
      <c r="O14" s="27" t="s">
        <v>56</v>
      </c>
      <c r="P14" s="27"/>
      <c r="Q14" s="27"/>
      <c r="R14" s="27"/>
      <c r="S14" s="27"/>
      <c r="T14" s="27"/>
      <c r="U14" s="27"/>
      <c r="V14" s="27"/>
      <c r="W14" s="27"/>
      <c r="X14" s="27"/>
    </row>
    <row r="15" spans="2:24">
      <c r="B15" t="s">
        <v>6</v>
      </c>
      <c r="C15" s="1">
        <f>C12-C13-C14</f>
        <v>32637687</v>
      </c>
      <c r="D15" s="1"/>
      <c r="E15" s="1">
        <f>E12-E13-E14</f>
        <v>77034702</v>
      </c>
      <c r="F15" s="1"/>
      <c r="G15" s="1">
        <f>G12-G13-G14</f>
        <v>97180846</v>
      </c>
    </row>
    <row r="16" spans="2:24">
      <c r="B16" t="s">
        <v>7</v>
      </c>
      <c r="C16" s="19">
        <f>C82</f>
        <v>30000</v>
      </c>
      <c r="D16" s="1"/>
      <c r="E16" s="19">
        <f>E82</f>
        <v>90000</v>
      </c>
      <c r="F16" s="1"/>
      <c r="G16" s="19">
        <f>G82</f>
        <v>142500</v>
      </c>
      <c r="N16" t="s">
        <v>57</v>
      </c>
    </row>
    <row r="17" spans="2:17">
      <c r="B17" t="s">
        <v>8</v>
      </c>
      <c r="C17" s="1">
        <f>C15-C16</f>
        <v>32607687</v>
      </c>
      <c r="D17" s="1"/>
      <c r="E17" s="1">
        <f>E15-E16</f>
        <v>76944702</v>
      </c>
      <c r="F17" s="1"/>
      <c r="G17" s="1">
        <f>G15-G16</f>
        <v>97038346</v>
      </c>
    </row>
    <row r="18" spans="2:17">
      <c r="B18" t="s">
        <v>9</v>
      </c>
      <c r="C18" s="3">
        <f>0.4*C17</f>
        <v>13043074.800000001</v>
      </c>
      <c r="D18" s="1"/>
      <c r="E18" s="3">
        <f>0.4*E17</f>
        <v>30777880.800000001</v>
      </c>
      <c r="F18" s="1"/>
      <c r="G18" s="3">
        <f>0.4*G17</f>
        <v>38815338.399999999</v>
      </c>
    </row>
    <row r="19" spans="2:17" ht="15.75" thickBot="1">
      <c r="B19" t="s">
        <v>10</v>
      </c>
      <c r="C19" s="4">
        <f>C17-C18</f>
        <v>19564612.199999999</v>
      </c>
      <c r="D19" s="1"/>
      <c r="E19" s="4">
        <f>E17-E18</f>
        <v>46166821.200000003</v>
      </c>
      <c r="F19" s="1"/>
      <c r="G19" s="4">
        <f>G17-G18</f>
        <v>58223007.600000001</v>
      </c>
    </row>
    <row r="20" spans="2:17" ht="15.75" thickTop="1">
      <c r="P20" s="28"/>
      <c r="Q20" s="28"/>
    </row>
    <row r="22" spans="2:17">
      <c r="C22" s="28" t="str">
        <f>C3</f>
        <v>PICA</v>
      </c>
      <c r="D22" s="28"/>
      <c r="E22" s="28"/>
      <c r="F22" s="28"/>
      <c r="G22" s="28"/>
      <c r="H22" s="2"/>
      <c r="P22" s="28"/>
      <c r="Q22" s="28"/>
    </row>
    <row r="23" spans="2:17">
      <c r="C23" s="28" t="s">
        <v>16</v>
      </c>
      <c r="D23" s="28"/>
      <c r="E23" s="28"/>
      <c r="F23" s="28"/>
      <c r="G23" s="28"/>
      <c r="H23" s="2"/>
      <c r="P23" s="28"/>
      <c r="Q23" s="28"/>
    </row>
    <row r="24" spans="2:17">
      <c r="P24" s="28"/>
      <c r="Q24" s="28"/>
    </row>
    <row r="25" spans="2:17">
      <c r="C25" s="24" t="s">
        <v>11</v>
      </c>
      <c r="E25" s="24" t="s">
        <v>12</v>
      </c>
      <c r="G25" s="24" t="s">
        <v>13</v>
      </c>
    </row>
    <row r="27" spans="2:17">
      <c r="B27" t="s">
        <v>19</v>
      </c>
      <c r="C27" s="1">
        <v>0</v>
      </c>
      <c r="D27" s="1"/>
      <c r="E27" s="1">
        <f>C33</f>
        <v>22547470.199999999</v>
      </c>
      <c r="F27" s="1"/>
      <c r="G27" s="1">
        <f>E33</f>
        <v>73719189.400000006</v>
      </c>
    </row>
    <row r="28" spans="2:17">
      <c r="B28" t="s">
        <v>10</v>
      </c>
      <c r="C28" s="1">
        <f>C19</f>
        <v>19564612.199999999</v>
      </c>
      <c r="D28" s="1"/>
      <c r="E28" s="1">
        <f>E19</f>
        <v>46166821.200000003</v>
      </c>
      <c r="F28" s="1"/>
      <c r="G28" s="1">
        <f>G19</f>
        <v>58223007.600000001</v>
      </c>
    </row>
    <row r="29" spans="2:17" ht="15.75" thickBot="1">
      <c r="B29" t="s">
        <v>17</v>
      </c>
      <c r="C29" s="1">
        <f>C11</f>
        <v>2858</v>
      </c>
      <c r="D29" s="1"/>
      <c r="E29" s="1">
        <f>E11</f>
        <v>4898</v>
      </c>
      <c r="F29" s="1"/>
      <c r="G29" s="1">
        <f>G11</f>
        <v>3498</v>
      </c>
    </row>
    <row r="30" spans="2:17" ht="15.75" thickBot="1">
      <c r="B30" t="s">
        <v>44</v>
      </c>
      <c r="C30" s="15">
        <v>1000000</v>
      </c>
      <c r="D30" s="1"/>
      <c r="E30" s="15">
        <v>3000000</v>
      </c>
      <c r="F30" s="1"/>
      <c r="G30" s="15">
        <v>5000000</v>
      </c>
    </row>
    <row r="31" spans="2:17" ht="15.75" thickBot="1">
      <c r="B31" t="s">
        <v>35</v>
      </c>
      <c r="C31" s="15">
        <v>2000000</v>
      </c>
      <c r="D31" s="1"/>
      <c r="E31" s="15">
        <v>2000000</v>
      </c>
      <c r="F31" s="1"/>
      <c r="G31" s="15">
        <v>1500000</v>
      </c>
    </row>
    <row r="32" spans="2:17">
      <c r="B32" t="s">
        <v>45</v>
      </c>
      <c r="C32" s="3">
        <f>-C69</f>
        <v>-20000</v>
      </c>
      <c r="D32" s="1"/>
      <c r="E32" s="3">
        <f>-C70</f>
        <v>0</v>
      </c>
      <c r="F32" s="1"/>
      <c r="G32" s="3">
        <f>-C71</f>
        <v>0</v>
      </c>
    </row>
    <row r="33" spans="2:13" ht="15.75" thickBot="1">
      <c r="B33" t="s">
        <v>18</v>
      </c>
      <c r="C33" s="4">
        <f>SUM(C27:C32)</f>
        <v>22547470.199999999</v>
      </c>
      <c r="D33" s="1"/>
      <c r="E33" s="4">
        <f>SUM(E27:E32)</f>
        <v>73719189.400000006</v>
      </c>
      <c r="F33" s="1"/>
      <c r="G33" s="4">
        <f>SUM(G27:G32)</f>
        <v>138445695</v>
      </c>
    </row>
    <row r="34" spans="2:13" ht="15.75" thickTop="1"/>
    <row r="35" spans="2:13">
      <c r="B35" s="27" t="s">
        <v>36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2:13">
      <c r="B36" s="27" t="s">
        <v>37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2:13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2:13">
      <c r="C38" s="28" t="str">
        <f>C3</f>
        <v>PICA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</row>
    <row r="39" spans="2:13">
      <c r="C39" s="28" t="s">
        <v>20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1" spans="2:13">
      <c r="C41" s="29" t="s">
        <v>11</v>
      </c>
      <c r="D41" s="29"/>
      <c r="E41" s="29"/>
      <c r="G41" s="29" t="s">
        <v>12</v>
      </c>
      <c r="H41" s="29"/>
      <c r="I41" s="29"/>
      <c r="K41" s="29" t="s">
        <v>13</v>
      </c>
      <c r="L41" s="29"/>
      <c r="M41" s="29"/>
    </row>
    <row r="42" spans="2:13" ht="5.25" customHeight="1"/>
    <row r="43" spans="2:13">
      <c r="B43" t="s">
        <v>0</v>
      </c>
      <c r="C43" s="5"/>
      <c r="D43" s="1"/>
      <c r="E43" s="1">
        <f>C8</f>
        <v>100645600</v>
      </c>
      <c r="F43" s="1"/>
      <c r="G43" s="5"/>
      <c r="H43" s="1"/>
      <c r="I43" s="1">
        <f>E8</f>
        <v>130645600</v>
      </c>
      <c r="J43" s="1"/>
      <c r="K43" s="5"/>
      <c r="L43" s="1"/>
      <c r="M43" s="1">
        <f>G8</f>
        <v>160645600</v>
      </c>
    </row>
    <row r="44" spans="2:13">
      <c r="B44" t="s">
        <v>21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>
      <c r="B45" t="s">
        <v>22</v>
      </c>
      <c r="C45" s="1">
        <f>C9</f>
        <v>57600000</v>
      </c>
      <c r="D45" s="1"/>
      <c r="E45" s="1"/>
      <c r="F45" s="1"/>
      <c r="G45" s="1">
        <f>E9</f>
        <v>40000000</v>
      </c>
      <c r="H45" s="1"/>
      <c r="I45" s="1"/>
      <c r="J45" s="1"/>
      <c r="K45" s="1">
        <f>G9</f>
        <v>46651256</v>
      </c>
      <c r="L45" s="1"/>
      <c r="M45" s="1"/>
    </row>
    <row r="46" spans="2:13">
      <c r="B46" t="s">
        <v>23</v>
      </c>
      <c r="C46" s="6">
        <f>C13</f>
        <v>8000000</v>
      </c>
      <c r="D46" s="1"/>
      <c r="E46" s="6"/>
      <c r="F46" s="1"/>
      <c r="G46" s="6">
        <f>E13</f>
        <v>10000000</v>
      </c>
      <c r="H46" s="1"/>
      <c r="I46" s="5"/>
      <c r="J46" s="1"/>
      <c r="K46" s="6">
        <f>G13</f>
        <v>12000000</v>
      </c>
      <c r="L46" s="1"/>
      <c r="M46" s="1"/>
    </row>
    <row r="47" spans="2:13">
      <c r="B47" t="s">
        <v>30</v>
      </c>
      <c r="C47" s="6"/>
      <c r="D47" s="1"/>
      <c r="E47" s="3">
        <f>C45+C46</f>
        <v>65600000</v>
      </c>
      <c r="F47" s="1"/>
      <c r="G47" s="6"/>
      <c r="H47" s="1"/>
      <c r="I47" s="3">
        <f>G45+G46</f>
        <v>50000000</v>
      </c>
      <c r="J47" s="1"/>
      <c r="K47" s="1"/>
      <c r="L47" s="1"/>
      <c r="M47" s="3">
        <f>K45+K46</f>
        <v>58651256</v>
      </c>
    </row>
    <row r="48" spans="2:13">
      <c r="B48" t="s">
        <v>24</v>
      </c>
      <c r="C48" s="1"/>
      <c r="D48" s="1"/>
      <c r="E48" s="1">
        <f>E43-E47</f>
        <v>35045600</v>
      </c>
      <c r="F48" s="1"/>
      <c r="G48" s="1"/>
      <c r="H48" s="1"/>
      <c r="I48" s="1">
        <f>I43-I47</f>
        <v>80645600</v>
      </c>
      <c r="J48" s="1"/>
      <c r="K48" s="1"/>
      <c r="L48" s="1"/>
      <c r="M48" s="1">
        <f>M43-M47</f>
        <v>101994344</v>
      </c>
    </row>
    <row r="49" spans="2:13">
      <c r="B49" t="s">
        <v>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>
      <c r="B50" t="s">
        <v>26</v>
      </c>
      <c r="C50" s="1">
        <f>C10</f>
        <v>2400000</v>
      </c>
      <c r="D50" s="1"/>
      <c r="E50" s="1"/>
      <c r="F50" s="1"/>
      <c r="G50" s="1">
        <f>E10</f>
        <v>3600000</v>
      </c>
      <c r="H50" s="1"/>
      <c r="I50" s="1"/>
      <c r="J50" s="1"/>
      <c r="K50" s="1">
        <f>G10</f>
        <v>4800000</v>
      </c>
      <c r="L50" s="1"/>
      <c r="M50" s="1"/>
    </row>
    <row r="51" spans="2:13">
      <c r="B51" t="s">
        <v>27</v>
      </c>
      <c r="C51" s="1">
        <f>C14</f>
        <v>5055</v>
      </c>
      <c r="D51" s="1"/>
      <c r="E51" s="1"/>
      <c r="F51" s="1"/>
      <c r="G51" s="1">
        <f>E14</f>
        <v>6000</v>
      </c>
      <c r="H51" s="1"/>
      <c r="I51" s="1"/>
      <c r="J51" s="1"/>
      <c r="K51" s="1">
        <f>G14</f>
        <v>10000</v>
      </c>
      <c r="L51" s="1"/>
      <c r="M51" s="1"/>
    </row>
    <row r="52" spans="2:13">
      <c r="B52" t="s">
        <v>28</v>
      </c>
      <c r="C52" s="1">
        <f>C11</f>
        <v>2858</v>
      </c>
      <c r="D52" s="1"/>
      <c r="E52" s="1"/>
      <c r="F52" s="1"/>
      <c r="G52" s="1">
        <f>E11</f>
        <v>4898</v>
      </c>
      <c r="H52" s="1"/>
      <c r="I52" s="1"/>
      <c r="J52" s="1"/>
      <c r="K52" s="1">
        <f>G11</f>
        <v>3498</v>
      </c>
      <c r="L52" s="1"/>
      <c r="M52" s="1"/>
    </row>
    <row r="53" spans="2:13">
      <c r="B53" t="s">
        <v>29</v>
      </c>
      <c r="C53" s="6">
        <f>C16</f>
        <v>30000</v>
      </c>
      <c r="D53" s="1"/>
      <c r="E53" s="6"/>
      <c r="F53" s="1"/>
      <c r="G53" s="6">
        <f>E16</f>
        <v>90000</v>
      </c>
      <c r="H53" s="1"/>
      <c r="I53" s="1"/>
      <c r="J53" s="1"/>
      <c r="K53" s="6">
        <f>G16</f>
        <v>142500</v>
      </c>
      <c r="L53" s="1"/>
      <c r="M53" s="1"/>
    </row>
    <row r="54" spans="2:13">
      <c r="B54" t="s">
        <v>31</v>
      </c>
      <c r="C54" s="6"/>
      <c r="D54" s="1"/>
      <c r="E54" s="6">
        <f>SUM(C50:C53)</f>
        <v>2437913</v>
      </c>
      <c r="F54" s="1"/>
      <c r="G54" s="6"/>
      <c r="H54" s="1"/>
      <c r="I54" s="3">
        <f>SUM(G50:G53)</f>
        <v>3700898</v>
      </c>
      <c r="J54" s="1"/>
      <c r="K54" s="6"/>
      <c r="L54" s="1"/>
      <c r="M54" s="3">
        <f>SUM(K50:K53)</f>
        <v>4955998</v>
      </c>
    </row>
    <row r="55" spans="2:13" ht="15.75" thickBot="1">
      <c r="B55" t="s">
        <v>8</v>
      </c>
      <c r="C55" s="6"/>
      <c r="D55" s="1"/>
      <c r="E55" s="4">
        <f>E48-E54</f>
        <v>32607687</v>
      </c>
      <c r="F55" s="1"/>
      <c r="G55" s="6"/>
      <c r="H55" s="1"/>
      <c r="I55" s="4">
        <f>I48-I54</f>
        <v>76944702</v>
      </c>
      <c r="J55" s="1"/>
      <c r="K55" s="1"/>
      <c r="L55" s="1"/>
      <c r="M55" s="4">
        <f>M48-M54</f>
        <v>97038346</v>
      </c>
    </row>
    <row r="56" spans="2:13" ht="15.75" thickTop="1"/>
    <row r="58" spans="2:13">
      <c r="C58" s="22" t="s">
        <v>11</v>
      </c>
      <c r="E58" s="22" t="s">
        <v>12</v>
      </c>
      <c r="G58" s="22" t="s">
        <v>13</v>
      </c>
    </row>
    <row r="59" spans="2:13" ht="4.5" customHeight="1">
      <c r="C59" s="22"/>
      <c r="E59" s="22"/>
      <c r="G59" s="22"/>
    </row>
    <row r="60" spans="2:13">
      <c r="B60" t="s">
        <v>32</v>
      </c>
      <c r="C60" s="1">
        <f>E54</f>
        <v>2437913</v>
      </c>
      <c r="D60" s="1"/>
      <c r="E60" s="1">
        <f>I54</f>
        <v>3700898</v>
      </c>
      <c r="F60" s="1"/>
      <c r="G60" s="1">
        <f>M54</f>
        <v>4955998</v>
      </c>
    </row>
    <row r="61" spans="2:13">
      <c r="B61" t="s">
        <v>33</v>
      </c>
      <c r="C61" s="10">
        <f>E48/E43</f>
        <v>0.34820796934987719</v>
      </c>
      <c r="D61" s="1"/>
      <c r="E61" s="10">
        <f>I48/I43</f>
        <v>0.61728523578291195</v>
      </c>
      <c r="F61" s="1"/>
      <c r="G61" s="10">
        <f>M48/M43</f>
        <v>0.63490281713286889</v>
      </c>
    </row>
    <row r="62" spans="2:13" ht="3.75" customHeight="1">
      <c r="C62" s="1"/>
      <c r="D62" s="1"/>
      <c r="E62" s="1"/>
      <c r="F62" s="1"/>
      <c r="G62" s="1"/>
    </row>
    <row r="63" spans="2:13" ht="15.75" thickBot="1">
      <c r="B63" t="s">
        <v>34</v>
      </c>
      <c r="C63" s="7">
        <f>C60/C61</f>
        <v>7001313.0502202846</v>
      </c>
      <c r="D63" s="1"/>
      <c r="E63" s="7">
        <f>E60/E61</f>
        <v>5995442.2776791295</v>
      </c>
      <c r="F63" s="1"/>
      <c r="G63" s="7">
        <f>G60/G61</f>
        <v>7805915.9075409118</v>
      </c>
    </row>
    <row r="64" spans="2:13" ht="15.75" thickTop="1"/>
    <row r="66" spans="2:14">
      <c r="C66" s="22" t="s">
        <v>42</v>
      </c>
      <c r="E66" s="28" t="s">
        <v>14</v>
      </c>
      <c r="F66" s="28"/>
      <c r="G66" s="28"/>
      <c r="H66" s="28"/>
      <c r="I66" s="28"/>
    </row>
    <row r="67" spans="2:14">
      <c r="C67" s="22" t="s">
        <v>43</v>
      </c>
      <c r="E67" s="24" t="s">
        <v>11</v>
      </c>
      <c r="G67" s="24" t="s">
        <v>12</v>
      </c>
      <c r="I67" s="24" t="s">
        <v>13</v>
      </c>
    </row>
    <row r="68" spans="2:14" ht="15.75" thickBot="1">
      <c r="E68" s="22"/>
      <c r="G68" s="22"/>
      <c r="I68" s="22"/>
    </row>
    <row r="69" spans="2:14" ht="15.75" thickBot="1">
      <c r="B69" t="s">
        <v>38</v>
      </c>
      <c r="C69" s="15">
        <v>20000</v>
      </c>
      <c r="E69" s="1">
        <f>C75*C69</f>
        <v>2858</v>
      </c>
      <c r="F69" s="1"/>
      <c r="G69" s="1">
        <f>E75*C69</f>
        <v>4898</v>
      </c>
      <c r="H69" s="1"/>
      <c r="I69" s="1">
        <f>G75*C69</f>
        <v>3498</v>
      </c>
      <c r="M69" t="s">
        <v>72</v>
      </c>
      <c r="N69" s="26" t="s">
        <v>71</v>
      </c>
    </row>
    <row r="70" spans="2:14" ht="15.75" thickBot="1">
      <c r="B70" t="s">
        <v>39</v>
      </c>
      <c r="C70" s="15">
        <v>0</v>
      </c>
      <c r="E70" s="8"/>
      <c r="F70" s="1"/>
      <c r="G70" s="1">
        <f>C75*C70</f>
        <v>0</v>
      </c>
      <c r="H70" s="1"/>
      <c r="I70" s="1">
        <f>E75*C70</f>
        <v>0</v>
      </c>
    </row>
    <row r="71" spans="2:14" ht="15.75" thickBot="1">
      <c r="B71" t="s">
        <v>40</v>
      </c>
      <c r="C71" s="15">
        <v>0</v>
      </c>
      <c r="E71" s="9"/>
      <c r="F71" s="1"/>
      <c r="G71" s="9"/>
      <c r="H71" s="1"/>
      <c r="I71" s="3">
        <f>C75*C71</f>
        <v>0</v>
      </c>
    </row>
    <row r="72" spans="2:14" ht="15.75" thickBot="1">
      <c r="E72" s="4">
        <f>SUM(E69:E71)</f>
        <v>2858</v>
      </c>
      <c r="F72" s="1"/>
      <c r="G72" s="4">
        <f>SUM(G69:G71)</f>
        <v>4898</v>
      </c>
      <c r="H72" s="1"/>
      <c r="I72" s="4">
        <f>SUM(I69:I71)</f>
        <v>3498</v>
      </c>
    </row>
    <row r="73" spans="2:14" ht="15.75" thickTop="1"/>
    <row r="75" spans="2:14">
      <c r="B75" t="s">
        <v>41</v>
      </c>
      <c r="C75">
        <v>0.1429</v>
      </c>
      <c r="E75">
        <v>0.24490000000000001</v>
      </c>
      <c r="G75">
        <v>0.1749</v>
      </c>
    </row>
    <row r="77" spans="2:14" ht="15.75" thickBot="1">
      <c r="B77" t="s">
        <v>49</v>
      </c>
    </row>
    <row r="78" spans="2:14" ht="15.75" thickBot="1">
      <c r="B78" t="s">
        <v>50</v>
      </c>
      <c r="C78" s="18">
        <v>0.03</v>
      </c>
      <c r="E78" s="16"/>
      <c r="G78" s="16"/>
      <c r="I78" s="16"/>
    </row>
    <row r="79" spans="2:14" ht="6" customHeight="1"/>
    <row r="80" spans="2:14" ht="15" customHeight="1">
      <c r="C80" s="24" t="s">
        <v>11</v>
      </c>
      <c r="E80" s="24" t="s">
        <v>12</v>
      </c>
      <c r="G80" s="24" t="s">
        <v>13</v>
      </c>
    </row>
    <row r="81" spans="2:7">
      <c r="B81" t="s">
        <v>51</v>
      </c>
      <c r="C81" s="1">
        <f>C31/2</f>
        <v>1000000</v>
      </c>
      <c r="D81" s="1"/>
      <c r="E81" s="1">
        <f>((C31+E31)+C31)/2</f>
        <v>3000000</v>
      </c>
      <c r="F81" s="1"/>
      <c r="G81" s="1">
        <f>((+C31+E31)+(C31+E31+G31))/2</f>
        <v>4750000</v>
      </c>
    </row>
    <row r="82" spans="2:7">
      <c r="B82" t="s">
        <v>52</v>
      </c>
      <c r="C82" s="17">
        <f>C78*C81</f>
        <v>30000</v>
      </c>
      <c r="E82" s="17">
        <f>C78*E81</f>
        <v>90000</v>
      </c>
      <c r="G82" s="17">
        <f>C78*G81</f>
        <v>142500</v>
      </c>
    </row>
  </sheetData>
  <mergeCells count="20">
    <mergeCell ref="C41:E41"/>
    <mergeCell ref="G41:I41"/>
    <mergeCell ref="K41:M41"/>
    <mergeCell ref="E66:I66"/>
    <mergeCell ref="P20:Q20"/>
    <mergeCell ref="P22:Q22"/>
    <mergeCell ref="P23:Q23"/>
    <mergeCell ref="P24:Q24"/>
    <mergeCell ref="C22:G22"/>
    <mergeCell ref="C23:G23"/>
    <mergeCell ref="B35:M35"/>
    <mergeCell ref="B36:M36"/>
    <mergeCell ref="C38:M38"/>
    <mergeCell ref="C39:M39"/>
    <mergeCell ref="C3:G3"/>
    <mergeCell ref="C4:G4"/>
    <mergeCell ref="O8:X8"/>
    <mergeCell ref="O9:X9"/>
    <mergeCell ref="O13:X13"/>
    <mergeCell ref="O14:X14"/>
  </mergeCells>
  <hyperlinks>
    <hyperlink ref="N6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X82"/>
  <sheetViews>
    <sheetView tabSelected="1" topLeftCell="B1" workbookViewId="0">
      <selection activeCell="K12" sqref="K12"/>
    </sheetView>
  </sheetViews>
  <sheetFormatPr defaultRowHeight="15"/>
  <cols>
    <col min="2" max="2" width="35.28515625" customWidth="1"/>
    <col min="3" max="3" width="12.28515625" customWidth="1"/>
    <col min="4" max="4" width="1" customWidth="1"/>
    <col min="5" max="5" width="14" customWidth="1"/>
    <col min="6" max="6" width="1" customWidth="1"/>
    <col min="7" max="7" width="14.42578125" customWidth="1"/>
    <col min="8" max="8" width="1.28515625" customWidth="1"/>
    <col min="9" max="9" width="13.28515625" customWidth="1"/>
    <col min="10" max="10" width="1.140625" customWidth="1"/>
    <col min="11" max="11" width="15.5703125" customWidth="1"/>
    <col min="12" max="12" width="1.42578125" customWidth="1"/>
    <col min="13" max="13" width="13.28515625" customWidth="1"/>
    <col min="14" max="14" width="26.7109375" customWidth="1"/>
    <col min="15" max="15" width="10" bestFit="1" customWidth="1"/>
  </cols>
  <sheetData>
    <row r="2" spans="2:24" ht="15.75" thickBot="1">
      <c r="B2" s="12" t="s">
        <v>47</v>
      </c>
    </row>
    <row r="3" spans="2:24" ht="15.75" thickBot="1">
      <c r="B3" s="11" t="s">
        <v>46</v>
      </c>
      <c r="C3" s="30" t="s">
        <v>58</v>
      </c>
      <c r="D3" s="31"/>
      <c r="E3" s="31"/>
      <c r="F3" s="31"/>
      <c r="G3" s="32"/>
      <c r="H3" s="2"/>
    </row>
    <row r="4" spans="2:24">
      <c r="C4" s="28" t="s">
        <v>15</v>
      </c>
      <c r="D4" s="28"/>
      <c r="E4" s="28"/>
      <c r="F4" s="28"/>
      <c r="G4" s="28"/>
      <c r="H4" s="2"/>
    </row>
    <row r="5" spans="2:24">
      <c r="C5" s="23"/>
      <c r="D5" s="23"/>
      <c r="E5" s="23"/>
      <c r="F5" s="23"/>
      <c r="G5" s="23"/>
      <c r="H5" s="23"/>
    </row>
    <row r="6" spans="2:24">
      <c r="C6" s="24" t="s">
        <v>11</v>
      </c>
      <c r="E6" s="24" t="s">
        <v>12</v>
      </c>
      <c r="G6" s="24" t="s">
        <v>13</v>
      </c>
      <c r="K6" s="33"/>
    </row>
    <row r="7" spans="2:24" ht="15.75" thickBot="1">
      <c r="C7" s="22"/>
      <c r="E7" s="22"/>
      <c r="G7" s="22"/>
    </row>
    <row r="8" spans="2:24" ht="15.75" thickBot="1">
      <c r="B8" t="s">
        <v>0</v>
      </c>
      <c r="C8" s="15">
        <v>185792600</v>
      </c>
      <c r="D8" s="1"/>
      <c r="E8" s="15">
        <v>215000000</v>
      </c>
      <c r="F8" s="1"/>
      <c r="G8" s="15">
        <v>230635415</v>
      </c>
      <c r="N8" t="s">
        <v>2</v>
      </c>
      <c r="O8" s="27" t="s">
        <v>53</v>
      </c>
      <c r="P8" s="27"/>
      <c r="Q8" s="27"/>
      <c r="R8" s="27"/>
      <c r="S8" s="27"/>
      <c r="T8" s="27"/>
      <c r="U8" s="27"/>
      <c r="V8" s="27"/>
      <c r="W8" s="27"/>
      <c r="X8" s="27"/>
    </row>
    <row r="9" spans="2:24" ht="15.75" thickBot="1">
      <c r="B9" t="s">
        <v>2</v>
      </c>
      <c r="C9" s="15">
        <f>166000000+1245000</f>
        <v>167245000</v>
      </c>
      <c r="D9" s="1"/>
      <c r="E9" s="15">
        <v>180034081.00999999</v>
      </c>
      <c r="F9" s="1"/>
      <c r="G9" s="15">
        <v>194108618.87</v>
      </c>
      <c r="N9" t="s">
        <v>1</v>
      </c>
      <c r="O9" s="27" t="s">
        <v>54</v>
      </c>
      <c r="P9" s="27"/>
      <c r="Q9" s="27"/>
      <c r="R9" s="27"/>
      <c r="S9" s="27"/>
      <c r="T9" s="27"/>
      <c r="U9" s="27"/>
      <c r="V9" s="27"/>
      <c r="W9" s="27"/>
      <c r="X9" s="27"/>
    </row>
    <row r="10" spans="2:24" ht="15.75" thickBot="1">
      <c r="B10" t="s">
        <v>1</v>
      </c>
      <c r="C10" s="15">
        <v>1867500</v>
      </c>
      <c r="D10" s="1"/>
      <c r="E10" s="15">
        <v>2010306.12</v>
      </c>
      <c r="F10" s="1"/>
      <c r="G10" s="15">
        <v>2167465.9700000002</v>
      </c>
    </row>
    <row r="11" spans="2:24">
      <c r="B11" t="s">
        <v>14</v>
      </c>
      <c r="C11" s="3">
        <f>E72</f>
        <v>2858</v>
      </c>
      <c r="D11" s="1"/>
      <c r="E11" s="3">
        <f>G72</f>
        <v>4898</v>
      </c>
      <c r="F11" s="1"/>
      <c r="G11" s="3">
        <f>I72</f>
        <v>3498</v>
      </c>
    </row>
    <row r="12" spans="2:24" ht="15.75" thickBot="1">
      <c r="B12" t="s">
        <v>3</v>
      </c>
      <c r="C12" s="1">
        <f>C8-C9-C10-C11</f>
        <v>16677242</v>
      </c>
      <c r="D12" s="1"/>
      <c r="E12" s="1">
        <f>E8-E9-E10-E11</f>
        <v>32950714.870000008</v>
      </c>
      <c r="F12" s="1"/>
      <c r="G12" s="1">
        <f>G8-G9-G10-G11</f>
        <v>34355832.159999996</v>
      </c>
    </row>
    <row r="13" spans="2:24" ht="15.75" thickBot="1">
      <c r="B13" t="s">
        <v>4</v>
      </c>
      <c r="C13" s="15">
        <v>16600000</v>
      </c>
      <c r="D13" s="1"/>
      <c r="E13" s="15">
        <v>17869387.690000001</v>
      </c>
      <c r="F13" s="1"/>
      <c r="G13" s="15">
        <v>19266364.16</v>
      </c>
      <c r="N13" t="s">
        <v>4</v>
      </c>
      <c r="O13" s="27" t="s">
        <v>55</v>
      </c>
      <c r="P13" s="27"/>
      <c r="Q13" s="27"/>
      <c r="R13" s="27"/>
      <c r="S13" s="27"/>
      <c r="T13" s="27"/>
      <c r="U13" s="27"/>
      <c r="V13" s="27"/>
      <c r="W13" s="27"/>
      <c r="X13" s="27"/>
    </row>
    <row r="14" spans="2:24" ht="15.75" thickBot="1">
      <c r="B14" t="s">
        <v>5</v>
      </c>
      <c r="C14" s="21">
        <v>31470</v>
      </c>
      <c r="D14" s="1"/>
      <c r="E14" s="21">
        <v>33876.480000000003</v>
      </c>
      <c r="F14" s="1"/>
      <c r="G14" s="21">
        <v>36524.85</v>
      </c>
      <c r="N14" t="s">
        <v>5</v>
      </c>
      <c r="O14" s="27" t="s">
        <v>56</v>
      </c>
      <c r="P14" s="27"/>
      <c r="Q14" s="27"/>
      <c r="R14" s="27"/>
      <c r="S14" s="27"/>
      <c r="T14" s="27"/>
      <c r="U14" s="27"/>
      <c r="V14" s="27"/>
      <c r="W14" s="27"/>
      <c r="X14" s="27"/>
    </row>
    <row r="15" spans="2:24">
      <c r="B15" t="s">
        <v>6</v>
      </c>
      <c r="C15" s="1">
        <f>C12-C13-C14</f>
        <v>45772</v>
      </c>
      <c r="D15" s="1"/>
      <c r="E15" s="1">
        <f>E12-E13-E14</f>
        <v>15047450.700000007</v>
      </c>
      <c r="F15" s="1"/>
      <c r="G15" s="1">
        <f>G12-G13-G14</f>
        <v>15052943.149999997</v>
      </c>
    </row>
    <row r="16" spans="2:24">
      <c r="B16" t="s">
        <v>7</v>
      </c>
      <c r="C16" s="19">
        <f>C82</f>
        <v>7500</v>
      </c>
      <c r="D16" s="1"/>
      <c r="E16" s="19">
        <f>E82</f>
        <v>26250</v>
      </c>
      <c r="F16" s="1"/>
      <c r="G16" s="19">
        <f>G82</f>
        <v>51000</v>
      </c>
      <c r="N16" t="s">
        <v>57</v>
      </c>
    </row>
    <row r="17" spans="2:17">
      <c r="B17" t="s">
        <v>8</v>
      </c>
      <c r="C17" s="1">
        <f>C15-C16</f>
        <v>38272</v>
      </c>
      <c r="D17" s="1"/>
      <c r="E17" s="1">
        <f>E15-E16</f>
        <v>15021200.700000007</v>
      </c>
      <c r="F17" s="1"/>
      <c r="G17" s="1">
        <f>G15-G16</f>
        <v>15001943.149999997</v>
      </c>
    </row>
    <row r="18" spans="2:17">
      <c r="B18" t="s">
        <v>9</v>
      </c>
      <c r="C18" s="3">
        <f>0.4*C17</f>
        <v>15308.800000000001</v>
      </c>
      <c r="D18" s="1"/>
      <c r="E18" s="3">
        <f>0.4*E17</f>
        <v>6008480.2800000031</v>
      </c>
      <c r="F18" s="1"/>
      <c r="G18" s="3">
        <f>0.4*G17</f>
        <v>6000777.2599999988</v>
      </c>
      <c r="O18" s="22"/>
      <c r="P18" s="22"/>
      <c r="Q18" s="22"/>
    </row>
    <row r="19" spans="2:17" ht="15.75" thickBot="1">
      <c r="B19" t="s">
        <v>10</v>
      </c>
      <c r="C19" s="4">
        <f>C17-C18</f>
        <v>22963.199999999997</v>
      </c>
      <c r="D19" s="1"/>
      <c r="E19" s="4">
        <f>E17-E18</f>
        <v>9012720.4200000037</v>
      </c>
      <c r="F19" s="1"/>
      <c r="G19" s="4">
        <f>G17-G18</f>
        <v>9001165.8899999969</v>
      </c>
    </row>
    <row r="20" spans="2:17" ht="15.75" thickTop="1">
      <c r="O20" s="22"/>
      <c r="P20" s="22"/>
      <c r="Q20" s="22"/>
    </row>
    <row r="21" spans="2:17">
      <c r="O21" s="22"/>
      <c r="P21" s="22"/>
      <c r="Q21" s="22"/>
    </row>
    <row r="22" spans="2:17">
      <c r="C22" s="28" t="str">
        <f>C3</f>
        <v>PICA</v>
      </c>
      <c r="D22" s="28"/>
      <c r="E22" s="28"/>
      <c r="F22" s="28"/>
      <c r="G22" s="28"/>
      <c r="H22" s="2"/>
      <c r="O22" s="22"/>
      <c r="P22" s="22"/>
    </row>
    <row r="23" spans="2:17">
      <c r="C23" s="28" t="s">
        <v>16</v>
      </c>
      <c r="D23" s="28"/>
      <c r="E23" s="28"/>
      <c r="F23" s="28"/>
      <c r="G23" s="28"/>
      <c r="H23" s="2"/>
    </row>
    <row r="25" spans="2:17">
      <c r="C25" s="24" t="s">
        <v>11</v>
      </c>
      <c r="E25" s="24" t="s">
        <v>12</v>
      </c>
      <c r="G25" s="24" t="s">
        <v>13</v>
      </c>
    </row>
    <row r="27" spans="2:17">
      <c r="B27" t="s">
        <v>19</v>
      </c>
      <c r="C27" s="1">
        <v>0</v>
      </c>
      <c r="D27" s="1"/>
      <c r="E27" s="1">
        <f>C33</f>
        <v>1505821.2</v>
      </c>
      <c r="F27" s="1"/>
      <c r="G27" s="1">
        <f>E33</f>
        <v>14273439.620000003</v>
      </c>
    </row>
    <row r="28" spans="2:17">
      <c r="B28" t="s">
        <v>10</v>
      </c>
      <c r="C28" s="1">
        <f>C19</f>
        <v>22963.199999999997</v>
      </c>
      <c r="D28" s="1"/>
      <c r="E28" s="1">
        <f>E19</f>
        <v>9012720.4200000037</v>
      </c>
      <c r="F28" s="1"/>
      <c r="G28" s="1">
        <f>G19</f>
        <v>9001165.8899999969</v>
      </c>
    </row>
    <row r="29" spans="2:17" ht="15.75" thickBot="1">
      <c r="B29" t="s">
        <v>17</v>
      </c>
      <c r="C29" s="1">
        <f>C11</f>
        <v>2858</v>
      </c>
      <c r="D29" s="1"/>
      <c r="E29" s="1">
        <f>E11</f>
        <v>4898</v>
      </c>
      <c r="F29" s="1"/>
      <c r="G29" s="1">
        <f>G11</f>
        <v>3498</v>
      </c>
    </row>
    <row r="30" spans="2:17" ht="15.75" thickBot="1">
      <c r="B30" t="s">
        <v>44</v>
      </c>
      <c r="C30" s="15">
        <v>1000000</v>
      </c>
      <c r="D30" s="1"/>
      <c r="E30" s="15">
        <v>3000000</v>
      </c>
      <c r="F30" s="1"/>
      <c r="G30" s="15">
        <v>4000000</v>
      </c>
    </row>
    <row r="31" spans="2:17" ht="15.75" thickBot="1">
      <c r="B31" t="s">
        <v>35</v>
      </c>
      <c r="C31" s="15">
        <v>500000</v>
      </c>
      <c r="D31" s="1"/>
      <c r="E31" s="15">
        <v>750000</v>
      </c>
      <c r="F31" s="1"/>
      <c r="G31" s="15">
        <v>900000</v>
      </c>
    </row>
    <row r="32" spans="2:17">
      <c r="B32" t="s">
        <v>45</v>
      </c>
      <c r="C32" s="3">
        <f>-C69</f>
        <v>-20000</v>
      </c>
      <c r="D32" s="1"/>
      <c r="E32" s="3">
        <f>-C70</f>
        <v>0</v>
      </c>
      <c r="F32" s="1"/>
      <c r="G32" s="3">
        <f>-C71</f>
        <v>0</v>
      </c>
    </row>
    <row r="33" spans="2:13" ht="15.75" thickBot="1">
      <c r="B33" t="s">
        <v>18</v>
      </c>
      <c r="C33" s="4">
        <f>SUM(C27:C32)</f>
        <v>1505821.2</v>
      </c>
      <c r="D33" s="1"/>
      <c r="E33" s="4">
        <f>SUM(E27:E32)</f>
        <v>14273439.620000003</v>
      </c>
      <c r="F33" s="1"/>
      <c r="G33" s="4">
        <f>SUM(G27:G32)</f>
        <v>28178103.509999998</v>
      </c>
    </row>
    <row r="34" spans="2:13" ht="15.75" thickTop="1"/>
    <row r="35" spans="2:13">
      <c r="B35" s="27" t="s">
        <v>36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2:13">
      <c r="B36" s="27" t="s">
        <v>37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2:13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2:13">
      <c r="C38" s="28" t="str">
        <f>C3</f>
        <v>PICA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</row>
    <row r="39" spans="2:13">
      <c r="C39" s="28" t="s">
        <v>20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1" spans="2:13">
      <c r="C41" s="29" t="s">
        <v>11</v>
      </c>
      <c r="D41" s="29"/>
      <c r="E41" s="29"/>
      <c r="G41" s="29" t="s">
        <v>12</v>
      </c>
      <c r="H41" s="29"/>
      <c r="I41" s="29"/>
      <c r="K41" s="29" t="s">
        <v>13</v>
      </c>
      <c r="L41" s="29"/>
      <c r="M41" s="29"/>
    </row>
    <row r="42" spans="2:13" ht="5.25" customHeight="1"/>
    <row r="43" spans="2:13">
      <c r="B43" t="s">
        <v>0</v>
      </c>
      <c r="C43" s="5"/>
      <c r="D43" s="1"/>
      <c r="E43" s="1">
        <f>C8</f>
        <v>185792600</v>
      </c>
      <c r="F43" s="1"/>
      <c r="G43" s="5"/>
      <c r="H43" s="1"/>
      <c r="I43" s="1">
        <f>E8</f>
        <v>215000000</v>
      </c>
      <c r="J43" s="1"/>
      <c r="K43" s="5"/>
      <c r="L43" s="1"/>
      <c r="M43" s="1">
        <f>G8</f>
        <v>230635415</v>
      </c>
    </row>
    <row r="44" spans="2:13">
      <c r="B44" t="s">
        <v>21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>
      <c r="B45" t="s">
        <v>22</v>
      </c>
      <c r="C45" s="1">
        <f>C9</f>
        <v>167245000</v>
      </c>
      <c r="D45" s="1"/>
      <c r="E45" s="1"/>
      <c r="F45" s="1"/>
      <c r="G45" s="1">
        <f>E9</f>
        <v>180034081.00999999</v>
      </c>
      <c r="H45" s="1"/>
      <c r="I45" s="1"/>
      <c r="J45" s="1"/>
      <c r="K45" s="1">
        <f>G9</f>
        <v>194108618.87</v>
      </c>
      <c r="L45" s="1"/>
      <c r="M45" s="1"/>
    </row>
    <row r="46" spans="2:13">
      <c r="B46" t="s">
        <v>23</v>
      </c>
      <c r="C46" s="6">
        <f>C13</f>
        <v>16600000</v>
      </c>
      <c r="D46" s="1"/>
      <c r="E46" s="6"/>
      <c r="F46" s="1"/>
      <c r="G46" s="6">
        <f>E13</f>
        <v>17869387.690000001</v>
      </c>
      <c r="H46" s="1"/>
      <c r="I46" s="5"/>
      <c r="J46" s="1"/>
      <c r="K46" s="6">
        <f>G13</f>
        <v>19266364.16</v>
      </c>
      <c r="L46" s="1"/>
      <c r="M46" s="1"/>
    </row>
    <row r="47" spans="2:13">
      <c r="B47" t="s">
        <v>30</v>
      </c>
      <c r="C47" s="6"/>
      <c r="D47" s="1"/>
      <c r="E47" s="3">
        <f>C45+C46</f>
        <v>183845000</v>
      </c>
      <c r="F47" s="1"/>
      <c r="G47" s="6"/>
      <c r="H47" s="1"/>
      <c r="I47" s="3">
        <f>G45+G46</f>
        <v>197903468.69999999</v>
      </c>
      <c r="J47" s="1"/>
      <c r="K47" s="1"/>
      <c r="L47" s="1"/>
      <c r="M47" s="3">
        <f>K45+K46</f>
        <v>213374983.03</v>
      </c>
    </row>
    <row r="48" spans="2:13">
      <c r="B48" t="s">
        <v>24</v>
      </c>
      <c r="C48" s="1"/>
      <c r="D48" s="1"/>
      <c r="E48" s="1">
        <f>E43-E47</f>
        <v>1947600</v>
      </c>
      <c r="F48" s="1"/>
      <c r="G48" s="1"/>
      <c r="H48" s="1"/>
      <c r="I48" s="1">
        <f>I43-I47</f>
        <v>17096531.300000012</v>
      </c>
      <c r="J48" s="1"/>
      <c r="K48" s="1"/>
      <c r="L48" s="1"/>
      <c r="M48" s="1">
        <f>M43-M47</f>
        <v>17260431.969999999</v>
      </c>
    </row>
    <row r="49" spans="2:13">
      <c r="B49" t="s">
        <v>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>
      <c r="B50" t="s">
        <v>26</v>
      </c>
      <c r="C50" s="1">
        <f>C10</f>
        <v>1867500</v>
      </c>
      <c r="D50" s="1"/>
      <c r="E50" s="1"/>
      <c r="F50" s="1"/>
      <c r="G50" s="1">
        <f>E10</f>
        <v>2010306.12</v>
      </c>
      <c r="H50" s="1"/>
      <c r="I50" s="1"/>
      <c r="J50" s="1"/>
      <c r="K50" s="1">
        <f>G10</f>
        <v>2167465.9700000002</v>
      </c>
      <c r="L50" s="1"/>
      <c r="M50" s="1"/>
    </row>
    <row r="51" spans="2:13">
      <c r="B51" t="s">
        <v>27</v>
      </c>
      <c r="C51" s="1">
        <f>C14</f>
        <v>31470</v>
      </c>
      <c r="D51" s="1"/>
      <c r="E51" s="1"/>
      <c r="F51" s="1"/>
      <c r="G51" s="1">
        <f>E14</f>
        <v>33876.480000000003</v>
      </c>
      <c r="H51" s="1"/>
      <c r="I51" s="1"/>
      <c r="J51" s="1"/>
      <c r="K51" s="1">
        <f>G14</f>
        <v>36524.85</v>
      </c>
      <c r="L51" s="1"/>
      <c r="M51" s="1"/>
    </row>
    <row r="52" spans="2:13">
      <c r="B52" t="s">
        <v>28</v>
      </c>
      <c r="C52" s="1">
        <f>C11</f>
        <v>2858</v>
      </c>
      <c r="D52" s="1"/>
      <c r="E52" s="1"/>
      <c r="F52" s="1"/>
      <c r="G52" s="1">
        <f>E11</f>
        <v>4898</v>
      </c>
      <c r="H52" s="1"/>
      <c r="I52" s="1"/>
      <c r="J52" s="1"/>
      <c r="K52" s="1">
        <f>G11</f>
        <v>3498</v>
      </c>
      <c r="L52" s="1"/>
      <c r="M52" s="1"/>
    </row>
    <row r="53" spans="2:13">
      <c r="B53" t="s">
        <v>29</v>
      </c>
      <c r="C53" s="6">
        <f>C16</f>
        <v>7500</v>
      </c>
      <c r="D53" s="1"/>
      <c r="E53" s="6"/>
      <c r="F53" s="1"/>
      <c r="G53" s="6">
        <f>E16</f>
        <v>26250</v>
      </c>
      <c r="H53" s="1"/>
      <c r="I53" s="1"/>
      <c r="J53" s="1"/>
      <c r="K53" s="6">
        <f>G16</f>
        <v>51000</v>
      </c>
      <c r="L53" s="1"/>
      <c r="M53" s="1"/>
    </row>
    <row r="54" spans="2:13">
      <c r="B54" t="s">
        <v>31</v>
      </c>
      <c r="C54" s="6"/>
      <c r="D54" s="1"/>
      <c r="E54" s="6">
        <f>SUM(C50:C53)</f>
        <v>1909328</v>
      </c>
      <c r="F54" s="1"/>
      <c r="G54" s="6"/>
      <c r="H54" s="1"/>
      <c r="I54" s="3">
        <f>SUM(G50:G53)</f>
        <v>2075330.6</v>
      </c>
      <c r="J54" s="1"/>
      <c r="K54" s="6"/>
      <c r="L54" s="1"/>
      <c r="M54" s="3">
        <f>SUM(K50:K53)</f>
        <v>2258488.8200000003</v>
      </c>
    </row>
    <row r="55" spans="2:13" ht="15.75" thickBot="1">
      <c r="B55" t="s">
        <v>8</v>
      </c>
      <c r="C55" s="6"/>
      <c r="D55" s="1"/>
      <c r="E55" s="4">
        <f>E48-E54</f>
        <v>38272</v>
      </c>
      <c r="F55" s="1"/>
      <c r="G55" s="6"/>
      <c r="H55" s="1"/>
      <c r="I55" s="4">
        <f>I48-I54</f>
        <v>15021200.700000012</v>
      </c>
      <c r="J55" s="1"/>
      <c r="K55" s="1"/>
      <c r="L55" s="1"/>
      <c r="M55" s="4">
        <f>M48-M54</f>
        <v>15001943.149999999</v>
      </c>
    </row>
    <row r="56" spans="2:13" ht="15.75" thickTop="1"/>
    <row r="58" spans="2:13">
      <c r="C58" s="22" t="s">
        <v>11</v>
      </c>
      <c r="E58" s="22" t="s">
        <v>12</v>
      </c>
      <c r="G58" s="22" t="s">
        <v>13</v>
      </c>
    </row>
    <row r="59" spans="2:13" ht="4.5" customHeight="1">
      <c r="C59" s="22"/>
      <c r="E59" s="22"/>
      <c r="G59" s="22"/>
    </row>
    <row r="60" spans="2:13">
      <c r="B60" t="s">
        <v>32</v>
      </c>
      <c r="C60" s="1">
        <f>E54</f>
        <v>1909328</v>
      </c>
      <c r="D60" s="1"/>
      <c r="E60" s="1">
        <f>I54</f>
        <v>2075330.6</v>
      </c>
      <c r="F60" s="1"/>
      <c r="G60" s="1">
        <f>M54</f>
        <v>2258488.8200000003</v>
      </c>
    </row>
    <row r="61" spans="2:13">
      <c r="B61" t="s">
        <v>33</v>
      </c>
      <c r="C61" s="10">
        <f>E48/E43</f>
        <v>1.0482656467480405E-2</v>
      </c>
      <c r="D61" s="1"/>
      <c r="E61" s="10">
        <f>I48/I43</f>
        <v>7.9518750232558194E-2</v>
      </c>
      <c r="F61" s="1"/>
      <c r="G61" s="10">
        <f>M48/M43</f>
        <v>7.4838601738592483E-2</v>
      </c>
    </row>
    <row r="62" spans="2:13" ht="3.75" customHeight="1">
      <c r="C62" s="1"/>
      <c r="D62" s="1"/>
      <c r="E62" s="1"/>
      <c r="F62" s="1"/>
      <c r="G62" s="1"/>
    </row>
    <row r="63" spans="2:13" ht="15.75" thickBot="1">
      <c r="B63" t="s">
        <v>34</v>
      </c>
      <c r="C63" s="7">
        <f>C60/C61</f>
        <v>182141617.05319369</v>
      </c>
      <c r="D63" s="1"/>
      <c r="E63" s="7">
        <f>E60/E61</f>
        <v>26098632.007300787</v>
      </c>
      <c r="F63" s="1"/>
      <c r="G63" s="7">
        <f>G60/G61</f>
        <v>30178126.896181058</v>
      </c>
    </row>
    <row r="64" spans="2:13" ht="15.75" thickTop="1"/>
    <row r="66" spans="2:14">
      <c r="C66" s="22" t="s">
        <v>42</v>
      </c>
      <c r="E66" s="28" t="s">
        <v>14</v>
      </c>
      <c r="F66" s="28"/>
      <c r="G66" s="28"/>
      <c r="H66" s="28"/>
      <c r="I66" s="28"/>
    </row>
    <row r="67" spans="2:14">
      <c r="C67" s="22" t="s">
        <v>43</v>
      </c>
      <c r="E67" s="24" t="s">
        <v>11</v>
      </c>
      <c r="G67" s="24" t="s">
        <v>12</v>
      </c>
      <c r="I67" s="24" t="s">
        <v>13</v>
      </c>
    </row>
    <row r="68" spans="2:14" ht="15.75" thickBot="1">
      <c r="E68" s="22"/>
      <c r="G68" s="22"/>
      <c r="I68" s="22"/>
    </row>
    <row r="69" spans="2:14" ht="15.75" thickBot="1">
      <c r="B69" t="s">
        <v>38</v>
      </c>
      <c r="C69" s="15">
        <v>20000</v>
      </c>
      <c r="E69" s="1">
        <f>C75*C69</f>
        <v>2858</v>
      </c>
      <c r="F69" s="1"/>
      <c r="G69" s="1">
        <f>E75*C69</f>
        <v>4898</v>
      </c>
      <c r="H69" s="1"/>
      <c r="I69" s="1">
        <f>G75*C69</f>
        <v>3498</v>
      </c>
      <c r="M69" t="s">
        <v>72</v>
      </c>
      <c r="N69" s="26" t="s">
        <v>71</v>
      </c>
    </row>
    <row r="70" spans="2:14" ht="15.75" thickBot="1">
      <c r="B70" t="s">
        <v>39</v>
      </c>
      <c r="C70" s="15">
        <v>0</v>
      </c>
      <c r="E70" s="8"/>
      <c r="F70" s="1"/>
      <c r="G70" s="1">
        <f>C75*C70</f>
        <v>0</v>
      </c>
      <c r="H70" s="1"/>
      <c r="I70" s="1">
        <f>E75*C70</f>
        <v>0</v>
      </c>
    </row>
    <row r="71" spans="2:14" ht="15.75" thickBot="1">
      <c r="B71" t="s">
        <v>40</v>
      </c>
      <c r="C71" s="15">
        <v>0</v>
      </c>
      <c r="E71" s="9"/>
      <c r="F71" s="1"/>
      <c r="G71" s="9"/>
      <c r="H71" s="1"/>
      <c r="I71" s="3">
        <f>C75*C71</f>
        <v>0</v>
      </c>
    </row>
    <row r="72" spans="2:14" ht="15.75" thickBot="1">
      <c r="E72" s="4">
        <f>SUM(E69:E71)</f>
        <v>2858</v>
      </c>
      <c r="F72" s="1"/>
      <c r="G72" s="4">
        <f>SUM(G69:G71)</f>
        <v>4898</v>
      </c>
      <c r="H72" s="1"/>
      <c r="I72" s="4">
        <f>SUM(I69:I71)</f>
        <v>3498</v>
      </c>
    </row>
    <row r="73" spans="2:14" ht="15.75" thickTop="1"/>
    <row r="75" spans="2:14">
      <c r="B75" t="s">
        <v>41</v>
      </c>
      <c r="C75">
        <v>0.1429</v>
      </c>
      <c r="E75">
        <v>0.24490000000000001</v>
      </c>
      <c r="G75">
        <v>0.1749</v>
      </c>
    </row>
    <row r="77" spans="2:14" ht="15.75" thickBot="1">
      <c r="B77" t="s">
        <v>49</v>
      </c>
    </row>
    <row r="78" spans="2:14" ht="15.75" thickBot="1">
      <c r="B78" t="s">
        <v>50</v>
      </c>
      <c r="C78" s="18">
        <v>0.03</v>
      </c>
      <c r="E78" s="16"/>
      <c r="G78" s="16"/>
      <c r="I78" s="16"/>
    </row>
    <row r="79" spans="2:14" ht="6" customHeight="1"/>
    <row r="80" spans="2:14" ht="15" customHeight="1">
      <c r="C80" s="24" t="s">
        <v>11</v>
      </c>
      <c r="E80" s="24" t="s">
        <v>12</v>
      </c>
      <c r="G80" s="24" t="s">
        <v>13</v>
      </c>
    </row>
    <row r="81" spans="2:7">
      <c r="B81" t="s">
        <v>51</v>
      </c>
      <c r="C81" s="1">
        <f>C31/2</f>
        <v>250000</v>
      </c>
      <c r="D81" s="1"/>
      <c r="E81" s="1">
        <f>((C31+E31)+C31)/2</f>
        <v>875000</v>
      </c>
      <c r="F81" s="1"/>
      <c r="G81" s="1">
        <f>((+C31+E31)+(C31+E31+G31))/2</f>
        <v>1700000</v>
      </c>
    </row>
    <row r="82" spans="2:7">
      <c r="B82" t="s">
        <v>52</v>
      </c>
      <c r="C82" s="17">
        <f>C78*C81</f>
        <v>7500</v>
      </c>
      <c r="E82" s="17">
        <f>C78*E81</f>
        <v>26250</v>
      </c>
      <c r="G82" s="17">
        <f>C78*G81</f>
        <v>51000</v>
      </c>
    </row>
  </sheetData>
  <mergeCells count="16">
    <mergeCell ref="C41:E41"/>
    <mergeCell ref="G41:I41"/>
    <mergeCell ref="K41:M41"/>
    <mergeCell ref="E66:I66"/>
    <mergeCell ref="C22:G22"/>
    <mergeCell ref="C23:G23"/>
    <mergeCell ref="B35:M35"/>
    <mergeCell ref="B36:M36"/>
    <mergeCell ref="C38:M38"/>
    <mergeCell ref="C39:M39"/>
    <mergeCell ref="C3:G3"/>
    <mergeCell ref="C4:G4"/>
    <mergeCell ref="O8:X8"/>
    <mergeCell ref="O9:X9"/>
    <mergeCell ref="O13:X13"/>
    <mergeCell ref="O14:X14"/>
  </mergeCells>
  <hyperlinks>
    <hyperlink ref="N6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X82"/>
  <sheetViews>
    <sheetView workbookViewId="0">
      <selection activeCell="I18" sqref="I18"/>
    </sheetView>
  </sheetViews>
  <sheetFormatPr defaultRowHeight="15"/>
  <cols>
    <col min="2" max="2" width="35.28515625" customWidth="1"/>
    <col min="3" max="3" width="12.28515625" customWidth="1"/>
    <col min="4" max="4" width="1" customWidth="1"/>
    <col min="5" max="5" width="14" customWidth="1"/>
    <col min="6" max="6" width="1" customWidth="1"/>
    <col min="7" max="7" width="14.42578125" customWidth="1"/>
    <col min="8" max="8" width="1.28515625" customWidth="1"/>
    <col min="9" max="9" width="13.28515625" customWidth="1"/>
    <col min="10" max="10" width="1.140625" customWidth="1"/>
    <col min="11" max="11" width="13.28515625" customWidth="1"/>
    <col min="12" max="12" width="1.42578125" customWidth="1"/>
    <col min="13" max="13" width="13.28515625" customWidth="1"/>
    <col min="14" max="14" width="26.7109375" customWidth="1"/>
  </cols>
  <sheetData>
    <row r="2" spans="2:24" ht="15.75" thickBot="1">
      <c r="B2" s="12" t="s">
        <v>47</v>
      </c>
    </row>
    <row r="3" spans="2:24" ht="15.75" thickBot="1">
      <c r="B3" s="11" t="s">
        <v>46</v>
      </c>
      <c r="C3" s="30" t="s">
        <v>58</v>
      </c>
      <c r="D3" s="31"/>
      <c r="E3" s="31"/>
      <c r="F3" s="31"/>
      <c r="G3" s="32"/>
      <c r="H3" s="2"/>
    </row>
    <row r="4" spans="2:24">
      <c r="C4" s="28" t="s">
        <v>15</v>
      </c>
      <c r="D4" s="28"/>
      <c r="E4" s="28"/>
      <c r="F4" s="28"/>
      <c r="G4" s="28"/>
      <c r="H4" s="2"/>
    </row>
    <row r="5" spans="2:24">
      <c r="C5" s="14"/>
      <c r="D5" s="14"/>
      <c r="E5" s="14"/>
      <c r="F5" s="14"/>
      <c r="G5" s="14"/>
      <c r="H5" s="14"/>
    </row>
    <row r="6" spans="2:24">
      <c r="C6" s="20" t="s">
        <v>11</v>
      </c>
      <c r="E6" s="20" t="s">
        <v>12</v>
      </c>
      <c r="G6" s="20" t="s">
        <v>13</v>
      </c>
    </row>
    <row r="7" spans="2:24" ht="15.75" thickBot="1">
      <c r="C7" s="13"/>
      <c r="E7" s="13"/>
      <c r="G7" s="13"/>
    </row>
    <row r="8" spans="2:24" ht="15.75" thickBot="1">
      <c r="B8" t="s">
        <v>0</v>
      </c>
      <c r="C8" s="15">
        <v>60000000</v>
      </c>
      <c r="D8" s="1"/>
      <c r="E8" s="15">
        <v>90000000</v>
      </c>
      <c r="F8" s="1"/>
      <c r="G8" s="15">
        <v>120000000</v>
      </c>
      <c r="N8" t="s">
        <v>2</v>
      </c>
      <c r="O8" s="27" t="s">
        <v>53</v>
      </c>
      <c r="P8" s="27"/>
      <c r="Q8" s="27"/>
      <c r="R8" s="27"/>
      <c r="S8" s="27"/>
      <c r="T8" s="27"/>
      <c r="U8" s="27"/>
      <c r="V8" s="27"/>
      <c r="W8" s="27"/>
      <c r="X8" s="27"/>
    </row>
    <row r="9" spans="2:24" ht="15.75" thickBot="1">
      <c r="B9" t="s">
        <v>2</v>
      </c>
      <c r="C9" s="15">
        <f>6400000+32000</f>
        <v>6432000</v>
      </c>
      <c r="D9" s="1"/>
      <c r="E9" s="15">
        <f>C9+3126000</f>
        <v>9558000</v>
      </c>
      <c r="F9" s="1"/>
      <c r="G9" s="15">
        <f>E9+3216000</f>
        <v>12774000</v>
      </c>
      <c r="K9" s="17"/>
      <c r="N9" t="s">
        <v>1</v>
      </c>
      <c r="O9" s="27" t="s">
        <v>54</v>
      </c>
      <c r="P9" s="27"/>
      <c r="Q9" s="27"/>
      <c r="R9" s="27"/>
      <c r="S9" s="27"/>
      <c r="T9" s="27"/>
      <c r="U9" s="27"/>
      <c r="V9" s="27"/>
      <c r="W9" s="27"/>
      <c r="X9" s="27"/>
    </row>
    <row r="10" spans="2:24" ht="15.75" thickBot="1">
      <c r="B10" t="s">
        <v>1</v>
      </c>
      <c r="C10" s="15">
        <v>48000</v>
      </c>
      <c r="D10" s="1"/>
      <c r="E10" s="15">
        <f>C10+24000</f>
        <v>72000</v>
      </c>
      <c r="F10" s="1"/>
      <c r="G10" s="15">
        <f>E10+24000</f>
        <v>96000</v>
      </c>
    </row>
    <row r="11" spans="2:24">
      <c r="B11" t="s">
        <v>14</v>
      </c>
      <c r="C11" s="3">
        <f>E72</f>
        <v>2858</v>
      </c>
      <c r="D11" s="1"/>
      <c r="E11" s="3">
        <f>G72</f>
        <v>4898</v>
      </c>
      <c r="F11" s="1"/>
      <c r="G11" s="3">
        <f>I72</f>
        <v>3498</v>
      </c>
    </row>
    <row r="12" spans="2:24" ht="15.75" thickBot="1">
      <c r="B12" t="s">
        <v>3</v>
      </c>
      <c r="C12" s="1">
        <f>C8-C9-C10-C11</f>
        <v>53517142</v>
      </c>
      <c r="D12" s="1"/>
      <c r="E12" s="1">
        <f>E8-E9-E10-E11</f>
        <v>80365102</v>
      </c>
      <c r="F12" s="1"/>
      <c r="G12" s="1">
        <f>G8-G9-G10-G11</f>
        <v>107126502</v>
      </c>
    </row>
    <row r="13" spans="2:24" ht="15.75" thickBot="1">
      <c r="B13" t="s">
        <v>4</v>
      </c>
      <c r="C13" s="15">
        <v>768000</v>
      </c>
      <c r="D13" s="1"/>
      <c r="E13" s="15">
        <f>C13+384000</f>
        <v>1152000</v>
      </c>
      <c r="F13" s="1"/>
      <c r="G13" s="15">
        <f>E13+384000</f>
        <v>1536000</v>
      </c>
      <c r="I13" s="17"/>
      <c r="N13" t="s">
        <v>4</v>
      </c>
      <c r="O13" s="27" t="s">
        <v>55</v>
      </c>
      <c r="P13" s="27"/>
      <c r="Q13" s="27"/>
      <c r="R13" s="27"/>
      <c r="S13" s="27"/>
      <c r="T13" s="27"/>
      <c r="U13" s="27"/>
      <c r="V13" s="27"/>
      <c r="W13" s="27"/>
      <c r="X13" s="27"/>
    </row>
    <row r="14" spans="2:24" ht="15.75" thickBot="1">
      <c r="B14" t="s">
        <v>5</v>
      </c>
      <c r="C14" s="21">
        <v>6470</v>
      </c>
      <c r="D14" s="1"/>
      <c r="E14" s="21">
        <f>C14+3235</f>
        <v>9705</v>
      </c>
      <c r="F14" s="1"/>
      <c r="G14" s="21">
        <f>E14+3235</f>
        <v>12940</v>
      </c>
      <c r="I14" s="17"/>
      <c r="N14" t="s">
        <v>5</v>
      </c>
      <c r="O14" s="27" t="s">
        <v>56</v>
      </c>
      <c r="P14" s="27"/>
      <c r="Q14" s="27"/>
      <c r="R14" s="27"/>
      <c r="S14" s="27"/>
      <c r="T14" s="27"/>
      <c r="U14" s="27"/>
      <c r="V14" s="27"/>
      <c r="W14" s="27"/>
      <c r="X14" s="27"/>
    </row>
    <row r="15" spans="2:24">
      <c r="B15" t="s">
        <v>6</v>
      </c>
      <c r="C15" s="1">
        <f>C12-C13-C14</f>
        <v>52742672</v>
      </c>
      <c r="D15" s="1"/>
      <c r="E15" s="1">
        <f>E12-E13-E14</f>
        <v>79203397</v>
      </c>
      <c r="F15" s="1"/>
      <c r="G15" s="1">
        <f>G12-G13-G14</f>
        <v>105577562</v>
      </c>
    </row>
    <row r="16" spans="2:24">
      <c r="B16" t="s">
        <v>7</v>
      </c>
      <c r="C16" s="19">
        <f>C82</f>
        <v>3750</v>
      </c>
      <c r="D16" s="1"/>
      <c r="E16" s="19">
        <f>E82</f>
        <v>12000</v>
      </c>
      <c r="F16" s="1"/>
      <c r="G16" s="19">
        <f>G82</f>
        <v>21000</v>
      </c>
      <c r="N16" t="s">
        <v>57</v>
      </c>
    </row>
    <row r="17" spans="2:8">
      <c r="B17" t="s">
        <v>8</v>
      </c>
      <c r="C17" s="1">
        <f>C15-C16</f>
        <v>52738922</v>
      </c>
      <c r="D17" s="1"/>
      <c r="E17" s="1">
        <f>E15-E16</f>
        <v>79191397</v>
      </c>
      <c r="F17" s="1"/>
      <c r="G17" s="1">
        <f>G15-G16</f>
        <v>105556562</v>
      </c>
    </row>
    <row r="18" spans="2:8">
      <c r="B18" t="s">
        <v>9</v>
      </c>
      <c r="C18" s="3">
        <f>0.4*C17</f>
        <v>21095568.800000001</v>
      </c>
      <c r="D18" s="1"/>
      <c r="E18" s="3">
        <f>0.4*E17</f>
        <v>31676558.800000001</v>
      </c>
      <c r="F18" s="1"/>
      <c r="G18" s="3">
        <f>0.4*G17</f>
        <v>42222624.800000004</v>
      </c>
    </row>
    <row r="19" spans="2:8" ht="15.75" thickBot="1">
      <c r="B19" t="s">
        <v>10</v>
      </c>
      <c r="C19" s="4">
        <f>C17-C18</f>
        <v>31643353.199999999</v>
      </c>
      <c r="D19" s="1"/>
      <c r="E19" s="4">
        <f>E17-E18</f>
        <v>47514838.200000003</v>
      </c>
      <c r="F19" s="1"/>
      <c r="G19" s="4">
        <f>G17-G18</f>
        <v>63333937.199999996</v>
      </c>
    </row>
    <row r="20" spans="2:8" ht="15.75" thickTop="1"/>
    <row r="22" spans="2:8">
      <c r="C22" s="28" t="str">
        <f>C3</f>
        <v>PICA</v>
      </c>
      <c r="D22" s="28"/>
      <c r="E22" s="28"/>
      <c r="F22" s="28"/>
      <c r="G22" s="28"/>
      <c r="H22" s="2"/>
    </row>
    <row r="23" spans="2:8">
      <c r="C23" s="28" t="s">
        <v>16</v>
      </c>
      <c r="D23" s="28"/>
      <c r="E23" s="28"/>
      <c r="F23" s="28"/>
      <c r="G23" s="28"/>
      <c r="H23" s="2"/>
    </row>
    <row r="25" spans="2:8">
      <c r="C25" s="20" t="s">
        <v>11</v>
      </c>
      <c r="E25" s="20" t="s">
        <v>12</v>
      </c>
      <c r="G25" s="20" t="s">
        <v>13</v>
      </c>
    </row>
    <row r="27" spans="2:8">
      <c r="B27" t="s">
        <v>19</v>
      </c>
      <c r="C27" s="1">
        <v>0</v>
      </c>
      <c r="D27" s="1"/>
      <c r="E27" s="1">
        <f>C33</f>
        <v>32376211.199999999</v>
      </c>
      <c r="F27" s="1"/>
      <c r="G27" s="1">
        <f>E33</f>
        <v>80795947.400000006</v>
      </c>
    </row>
    <row r="28" spans="2:8">
      <c r="B28" t="s">
        <v>10</v>
      </c>
      <c r="C28" s="1">
        <f>C19</f>
        <v>31643353.199999999</v>
      </c>
      <c r="D28" s="1"/>
      <c r="E28" s="1">
        <f>E19</f>
        <v>47514838.200000003</v>
      </c>
      <c r="F28" s="1"/>
      <c r="G28" s="1">
        <f>G19</f>
        <v>63333937.199999996</v>
      </c>
    </row>
    <row r="29" spans="2:8" ht="15.75" thickBot="1">
      <c r="B29" t="s">
        <v>17</v>
      </c>
      <c r="C29" s="1">
        <f>C11</f>
        <v>2858</v>
      </c>
      <c r="D29" s="1"/>
      <c r="E29" s="1">
        <f>E11</f>
        <v>4898</v>
      </c>
      <c r="F29" s="1"/>
      <c r="G29" s="1">
        <f>G11</f>
        <v>3498</v>
      </c>
    </row>
    <row r="30" spans="2:8" ht="15.75" thickBot="1">
      <c r="B30" t="s">
        <v>44</v>
      </c>
      <c r="C30" s="15">
        <v>500000</v>
      </c>
      <c r="D30" s="1"/>
      <c r="E30" s="15">
        <v>600000</v>
      </c>
      <c r="F30" s="1"/>
      <c r="G30" s="15">
        <v>650000</v>
      </c>
    </row>
    <row r="31" spans="2:8" ht="15.75" thickBot="1">
      <c r="B31" t="s">
        <v>35</v>
      </c>
      <c r="C31" s="15">
        <v>250000</v>
      </c>
      <c r="D31" s="1"/>
      <c r="E31" s="15">
        <v>300000</v>
      </c>
      <c r="F31" s="1"/>
      <c r="G31" s="15">
        <v>300000</v>
      </c>
    </row>
    <row r="32" spans="2:8">
      <c r="B32" t="s">
        <v>45</v>
      </c>
      <c r="C32" s="3">
        <f>-C69</f>
        <v>-20000</v>
      </c>
      <c r="D32" s="1"/>
      <c r="E32" s="3">
        <f>-C70</f>
        <v>0</v>
      </c>
      <c r="F32" s="1"/>
      <c r="G32" s="3">
        <f>-C71</f>
        <v>0</v>
      </c>
    </row>
    <row r="33" spans="2:13" ht="15.75" thickBot="1">
      <c r="B33" t="s">
        <v>18</v>
      </c>
      <c r="C33" s="4">
        <f>SUM(C27:C32)</f>
        <v>32376211.199999999</v>
      </c>
      <c r="D33" s="1"/>
      <c r="E33" s="4">
        <f>SUM(E27:E32)</f>
        <v>80795947.400000006</v>
      </c>
      <c r="F33" s="1"/>
      <c r="G33" s="4">
        <f>SUM(G27:G32)</f>
        <v>145083382.59999999</v>
      </c>
    </row>
    <row r="34" spans="2:13" ht="15.75" thickTop="1"/>
    <row r="35" spans="2:13">
      <c r="B35" s="27" t="s">
        <v>36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2:13">
      <c r="B36" s="27" t="s">
        <v>37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2:13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2:13">
      <c r="C38" s="28" t="str">
        <f>C3</f>
        <v>PICA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</row>
    <row r="39" spans="2:13">
      <c r="C39" s="28" t="s">
        <v>20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1" spans="2:13">
      <c r="C41" s="29" t="s">
        <v>11</v>
      </c>
      <c r="D41" s="29"/>
      <c r="E41" s="29"/>
      <c r="G41" s="29" t="s">
        <v>12</v>
      </c>
      <c r="H41" s="29"/>
      <c r="I41" s="29"/>
      <c r="K41" s="29" t="s">
        <v>13</v>
      </c>
      <c r="L41" s="29"/>
      <c r="M41" s="29"/>
    </row>
    <row r="42" spans="2:13" ht="5.25" customHeight="1"/>
    <row r="43" spans="2:13">
      <c r="B43" t="s">
        <v>0</v>
      </c>
      <c r="C43" s="5"/>
      <c r="D43" s="1"/>
      <c r="E43" s="1">
        <f>C8</f>
        <v>60000000</v>
      </c>
      <c r="F43" s="1"/>
      <c r="G43" s="5"/>
      <c r="H43" s="1"/>
      <c r="I43" s="1">
        <f>E8</f>
        <v>90000000</v>
      </c>
      <c r="J43" s="1"/>
      <c r="K43" s="5"/>
      <c r="L43" s="1"/>
      <c r="M43" s="1">
        <f>G8</f>
        <v>120000000</v>
      </c>
    </row>
    <row r="44" spans="2:13">
      <c r="B44" t="s">
        <v>21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>
      <c r="B45" t="s">
        <v>22</v>
      </c>
      <c r="C45" s="1">
        <f>C9</f>
        <v>6432000</v>
      </c>
      <c r="D45" s="1"/>
      <c r="E45" s="1"/>
      <c r="F45" s="1"/>
      <c r="G45" s="1">
        <f>E9</f>
        <v>9558000</v>
      </c>
      <c r="H45" s="1"/>
      <c r="I45" s="1"/>
      <c r="J45" s="1"/>
      <c r="K45" s="1">
        <f>G9</f>
        <v>12774000</v>
      </c>
      <c r="L45" s="1"/>
      <c r="M45" s="1"/>
    </row>
    <row r="46" spans="2:13">
      <c r="B46" t="s">
        <v>23</v>
      </c>
      <c r="C46" s="6">
        <f>C13</f>
        <v>768000</v>
      </c>
      <c r="D46" s="1"/>
      <c r="E46" s="6"/>
      <c r="F46" s="1"/>
      <c r="G46" s="6">
        <f>E13</f>
        <v>1152000</v>
      </c>
      <c r="H46" s="1"/>
      <c r="I46" s="5"/>
      <c r="J46" s="1"/>
      <c r="K46" s="6">
        <f>G13</f>
        <v>1536000</v>
      </c>
      <c r="L46" s="1"/>
      <c r="M46" s="1"/>
    </row>
    <row r="47" spans="2:13">
      <c r="B47" t="s">
        <v>30</v>
      </c>
      <c r="C47" s="6"/>
      <c r="D47" s="1"/>
      <c r="E47" s="3">
        <f>C45+C46</f>
        <v>7200000</v>
      </c>
      <c r="F47" s="1"/>
      <c r="G47" s="6"/>
      <c r="H47" s="1"/>
      <c r="I47" s="3">
        <f>G45+G46</f>
        <v>10710000</v>
      </c>
      <c r="J47" s="1"/>
      <c r="K47" s="1"/>
      <c r="L47" s="1"/>
      <c r="M47" s="3">
        <f>K45+K46</f>
        <v>14310000</v>
      </c>
    </row>
    <row r="48" spans="2:13">
      <c r="B48" t="s">
        <v>24</v>
      </c>
      <c r="C48" s="1"/>
      <c r="D48" s="1"/>
      <c r="E48" s="1">
        <f>E43-E47</f>
        <v>52800000</v>
      </c>
      <c r="F48" s="1"/>
      <c r="G48" s="1"/>
      <c r="H48" s="1"/>
      <c r="I48" s="1">
        <f>I43-I47</f>
        <v>79290000</v>
      </c>
      <c r="J48" s="1"/>
      <c r="K48" s="1"/>
      <c r="L48" s="1"/>
      <c r="M48" s="1">
        <f>M43-M47</f>
        <v>105690000</v>
      </c>
    </row>
    <row r="49" spans="2:13">
      <c r="B49" t="s">
        <v>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>
      <c r="B50" t="s">
        <v>26</v>
      </c>
      <c r="C50" s="1">
        <f>C10</f>
        <v>48000</v>
      </c>
      <c r="D50" s="1"/>
      <c r="E50" s="1"/>
      <c r="F50" s="1"/>
      <c r="G50" s="1">
        <f>E10</f>
        <v>72000</v>
      </c>
      <c r="H50" s="1"/>
      <c r="I50" s="1"/>
      <c r="J50" s="1"/>
      <c r="K50" s="1">
        <f>G10</f>
        <v>96000</v>
      </c>
      <c r="L50" s="1"/>
      <c r="M50" s="1"/>
    </row>
    <row r="51" spans="2:13">
      <c r="B51" t="s">
        <v>27</v>
      </c>
      <c r="C51" s="1">
        <f>C14</f>
        <v>6470</v>
      </c>
      <c r="D51" s="1"/>
      <c r="E51" s="1"/>
      <c r="F51" s="1"/>
      <c r="G51" s="1">
        <f>E14</f>
        <v>9705</v>
      </c>
      <c r="H51" s="1"/>
      <c r="I51" s="1"/>
      <c r="J51" s="1"/>
      <c r="K51" s="1">
        <f>G14</f>
        <v>12940</v>
      </c>
      <c r="L51" s="1"/>
      <c r="M51" s="1"/>
    </row>
    <row r="52" spans="2:13">
      <c r="B52" t="s">
        <v>28</v>
      </c>
      <c r="C52" s="1">
        <f>C11</f>
        <v>2858</v>
      </c>
      <c r="D52" s="1"/>
      <c r="E52" s="1"/>
      <c r="F52" s="1"/>
      <c r="G52" s="1">
        <f>E11</f>
        <v>4898</v>
      </c>
      <c r="H52" s="1"/>
      <c r="I52" s="1"/>
      <c r="J52" s="1"/>
      <c r="K52" s="1">
        <f>G11</f>
        <v>3498</v>
      </c>
      <c r="L52" s="1"/>
      <c r="M52" s="1"/>
    </row>
    <row r="53" spans="2:13">
      <c r="B53" t="s">
        <v>29</v>
      </c>
      <c r="C53" s="6">
        <f>C16</f>
        <v>3750</v>
      </c>
      <c r="D53" s="1"/>
      <c r="E53" s="6"/>
      <c r="F53" s="1"/>
      <c r="G53" s="6">
        <f>E16</f>
        <v>12000</v>
      </c>
      <c r="H53" s="1"/>
      <c r="I53" s="1"/>
      <c r="J53" s="1"/>
      <c r="K53" s="6">
        <f>G16</f>
        <v>21000</v>
      </c>
      <c r="L53" s="1"/>
      <c r="M53" s="1"/>
    </row>
    <row r="54" spans="2:13">
      <c r="B54" t="s">
        <v>31</v>
      </c>
      <c r="C54" s="6"/>
      <c r="D54" s="1"/>
      <c r="E54" s="6">
        <f>SUM(C50:C53)</f>
        <v>61078</v>
      </c>
      <c r="F54" s="1"/>
      <c r="G54" s="6"/>
      <c r="H54" s="1"/>
      <c r="I54" s="3">
        <f>SUM(G50:G53)</f>
        <v>98603</v>
      </c>
      <c r="J54" s="1"/>
      <c r="K54" s="6"/>
      <c r="L54" s="1"/>
      <c r="M54" s="3">
        <f>SUM(K50:K53)</f>
        <v>133438</v>
      </c>
    </row>
    <row r="55" spans="2:13" ht="15.75" thickBot="1">
      <c r="B55" t="s">
        <v>8</v>
      </c>
      <c r="C55" s="6"/>
      <c r="D55" s="1"/>
      <c r="E55" s="4">
        <f>E48-E54</f>
        <v>52738922</v>
      </c>
      <c r="F55" s="1"/>
      <c r="G55" s="6"/>
      <c r="H55" s="1"/>
      <c r="I55" s="4">
        <f>I48-I54</f>
        <v>79191397</v>
      </c>
      <c r="J55" s="1"/>
      <c r="K55" s="1"/>
      <c r="L55" s="1"/>
      <c r="M55" s="4">
        <f>M48-M54</f>
        <v>105556562</v>
      </c>
    </row>
    <row r="56" spans="2:13" ht="15.75" thickTop="1"/>
    <row r="58" spans="2:13">
      <c r="C58" s="13" t="s">
        <v>11</v>
      </c>
      <c r="E58" s="13" t="s">
        <v>12</v>
      </c>
      <c r="G58" s="13" t="s">
        <v>13</v>
      </c>
    </row>
    <row r="59" spans="2:13" ht="4.5" customHeight="1">
      <c r="C59" s="13"/>
      <c r="E59" s="13"/>
      <c r="G59" s="13"/>
    </row>
    <row r="60" spans="2:13">
      <c r="B60" t="s">
        <v>32</v>
      </c>
      <c r="C60" s="1">
        <f>E54</f>
        <v>61078</v>
      </c>
      <c r="D60" s="1"/>
      <c r="E60" s="1">
        <f>I54</f>
        <v>98603</v>
      </c>
      <c r="F60" s="1"/>
      <c r="G60" s="1">
        <f>M54</f>
        <v>133438</v>
      </c>
    </row>
    <row r="61" spans="2:13">
      <c r="B61" t="s">
        <v>33</v>
      </c>
      <c r="C61" s="10">
        <f>E48/E43</f>
        <v>0.88</v>
      </c>
      <c r="D61" s="1"/>
      <c r="E61" s="10">
        <f>I48/I43</f>
        <v>0.88100000000000001</v>
      </c>
      <c r="F61" s="1"/>
      <c r="G61" s="10">
        <f>M48/M43</f>
        <v>0.88075000000000003</v>
      </c>
    </row>
    <row r="62" spans="2:13" ht="3.75" customHeight="1">
      <c r="C62" s="1"/>
      <c r="D62" s="1"/>
      <c r="E62" s="1"/>
      <c r="F62" s="1"/>
      <c r="G62" s="1"/>
    </row>
    <row r="63" spans="2:13" ht="15.75" thickBot="1">
      <c r="B63" t="s">
        <v>34</v>
      </c>
      <c r="C63" s="7">
        <f>C60/C61</f>
        <v>69406.818181818177</v>
      </c>
      <c r="D63" s="1"/>
      <c r="E63" s="7">
        <f>E60/E61</f>
        <v>111921.67990919409</v>
      </c>
      <c r="F63" s="1"/>
      <c r="G63" s="7">
        <f>G60/G61</f>
        <v>151504.96735736588</v>
      </c>
    </row>
    <row r="64" spans="2:13" ht="15.75" thickTop="1"/>
    <row r="66" spans="2:14">
      <c r="C66" s="13" t="s">
        <v>42</v>
      </c>
      <c r="E66" s="28" t="s">
        <v>14</v>
      </c>
      <c r="F66" s="28"/>
      <c r="G66" s="28"/>
      <c r="H66" s="28"/>
      <c r="I66" s="28"/>
    </row>
    <row r="67" spans="2:14">
      <c r="C67" s="13" t="s">
        <v>43</v>
      </c>
      <c r="E67" s="20" t="s">
        <v>11</v>
      </c>
      <c r="G67" s="20" t="s">
        <v>12</v>
      </c>
      <c r="I67" s="20" t="s">
        <v>13</v>
      </c>
    </row>
    <row r="68" spans="2:14" ht="15.75" thickBot="1">
      <c r="E68" s="13"/>
      <c r="G68" s="13"/>
      <c r="I68" s="13"/>
    </row>
    <row r="69" spans="2:14" ht="15.75" thickBot="1">
      <c r="B69" t="s">
        <v>38</v>
      </c>
      <c r="C69" s="15">
        <v>20000</v>
      </c>
      <c r="E69" s="1">
        <f>C75*C69</f>
        <v>2858</v>
      </c>
      <c r="F69" s="1"/>
      <c r="G69" s="1">
        <f>E75*C69</f>
        <v>4898</v>
      </c>
      <c r="H69" s="1"/>
      <c r="I69" s="1">
        <f>G75*C69</f>
        <v>3498</v>
      </c>
      <c r="M69" t="s">
        <v>72</v>
      </c>
      <c r="N69" s="26" t="s">
        <v>71</v>
      </c>
    </row>
    <row r="70" spans="2:14" ht="15.75" thickBot="1">
      <c r="B70" t="s">
        <v>39</v>
      </c>
      <c r="C70" s="15">
        <v>0</v>
      </c>
      <c r="E70" s="8"/>
      <c r="F70" s="1"/>
      <c r="G70" s="1">
        <f>C75*C70</f>
        <v>0</v>
      </c>
      <c r="H70" s="1"/>
      <c r="I70" s="1">
        <f>E75*C70</f>
        <v>0</v>
      </c>
    </row>
    <row r="71" spans="2:14" ht="15.75" thickBot="1">
      <c r="B71" t="s">
        <v>40</v>
      </c>
      <c r="C71" s="15">
        <v>0</v>
      </c>
      <c r="E71" s="9"/>
      <c r="F71" s="1"/>
      <c r="G71" s="9"/>
      <c r="H71" s="1"/>
      <c r="I71" s="3">
        <f>C75*C71</f>
        <v>0</v>
      </c>
    </row>
    <row r="72" spans="2:14" ht="15.75" thickBot="1">
      <c r="E72" s="4">
        <f>SUM(E69:E71)</f>
        <v>2858</v>
      </c>
      <c r="F72" s="1"/>
      <c r="G72" s="4">
        <f>SUM(G69:G71)</f>
        <v>4898</v>
      </c>
      <c r="H72" s="1"/>
      <c r="I72" s="4">
        <f>SUM(I69:I71)</f>
        <v>3498</v>
      </c>
    </row>
    <row r="73" spans="2:14" ht="15.75" thickTop="1"/>
    <row r="75" spans="2:14">
      <c r="B75" t="s">
        <v>41</v>
      </c>
      <c r="C75">
        <v>0.1429</v>
      </c>
      <c r="E75">
        <v>0.24490000000000001</v>
      </c>
      <c r="G75">
        <v>0.1749</v>
      </c>
    </row>
    <row r="77" spans="2:14" ht="15.75" thickBot="1">
      <c r="B77" t="s">
        <v>49</v>
      </c>
    </row>
    <row r="78" spans="2:14" ht="15.75" thickBot="1">
      <c r="B78" t="s">
        <v>50</v>
      </c>
      <c r="C78" s="18">
        <v>0.03</v>
      </c>
      <c r="E78" s="16"/>
      <c r="G78" s="16"/>
      <c r="I78" s="16"/>
    </row>
    <row r="79" spans="2:14" ht="6" customHeight="1"/>
    <row r="80" spans="2:14" ht="15" customHeight="1">
      <c r="C80" s="20" t="s">
        <v>11</v>
      </c>
      <c r="E80" s="20" t="s">
        <v>12</v>
      </c>
      <c r="G80" s="20" t="s">
        <v>13</v>
      </c>
    </row>
    <row r="81" spans="2:7">
      <c r="B81" t="s">
        <v>51</v>
      </c>
      <c r="C81" s="1">
        <f>C31/2</f>
        <v>125000</v>
      </c>
      <c r="D81" s="1"/>
      <c r="E81" s="1">
        <f>((C31+E31)+C31)/2</f>
        <v>400000</v>
      </c>
      <c r="F81" s="1"/>
      <c r="G81" s="1">
        <f>((+C31+E31)+(C31+E31+G31))/2</f>
        <v>700000</v>
      </c>
    </row>
    <row r="82" spans="2:7">
      <c r="B82" t="s">
        <v>52</v>
      </c>
      <c r="C82" s="17">
        <f>C78*C81</f>
        <v>3750</v>
      </c>
      <c r="E82" s="17">
        <f>C78*E81</f>
        <v>12000</v>
      </c>
      <c r="G82" s="17">
        <f>C78*G81</f>
        <v>21000</v>
      </c>
    </row>
  </sheetData>
  <mergeCells count="16">
    <mergeCell ref="C3:G3"/>
    <mergeCell ref="C4:G4"/>
    <mergeCell ref="C22:G22"/>
    <mergeCell ref="C23:G23"/>
    <mergeCell ref="B35:M35"/>
    <mergeCell ref="O8:X8"/>
    <mergeCell ref="O9:X9"/>
    <mergeCell ref="O13:X13"/>
    <mergeCell ref="O14:X14"/>
    <mergeCell ref="E66:I66"/>
    <mergeCell ref="B36:M36"/>
    <mergeCell ref="C38:M38"/>
    <mergeCell ref="C39:M39"/>
    <mergeCell ref="C41:E41"/>
    <mergeCell ref="G41:I41"/>
    <mergeCell ref="K41:M41"/>
  </mergeCells>
  <hyperlinks>
    <hyperlink ref="N69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J15"/>
  <sheetViews>
    <sheetView workbookViewId="0">
      <selection activeCell="F11" sqref="F11"/>
    </sheetView>
  </sheetViews>
  <sheetFormatPr defaultRowHeight="15"/>
  <cols>
    <col min="2" max="2" width="18" customWidth="1"/>
    <col min="3" max="4" width="19.42578125" customWidth="1"/>
    <col min="5" max="5" width="14.7109375" customWidth="1"/>
    <col min="6" max="6" width="10" bestFit="1" customWidth="1"/>
    <col min="7" max="7" width="10.85546875" customWidth="1"/>
  </cols>
  <sheetData>
    <row r="2" spans="2:10">
      <c r="B2" t="s">
        <v>68</v>
      </c>
    </row>
    <row r="3" spans="2:10">
      <c r="B3">
        <v>0.12</v>
      </c>
    </row>
    <row r="6" spans="2:10">
      <c r="E6" s="28" t="s">
        <v>69</v>
      </c>
      <c r="F6" s="28"/>
      <c r="G6" s="28"/>
    </row>
    <row r="7" spans="2:10">
      <c r="B7" s="25" t="s">
        <v>59</v>
      </c>
      <c r="C7" s="25" t="s">
        <v>60</v>
      </c>
      <c r="D7" s="25"/>
      <c r="E7" s="25">
        <v>1</v>
      </c>
      <c r="F7" s="25">
        <v>2</v>
      </c>
      <c r="G7" s="25">
        <v>3</v>
      </c>
    </row>
    <row r="8" spans="2:10">
      <c r="B8" t="s">
        <v>61</v>
      </c>
      <c r="C8" t="s">
        <v>67</v>
      </c>
      <c r="E8">
        <v>266456400</v>
      </c>
      <c r="F8">
        <f>E8*((1+$B$3)^$F$7)</f>
        <v>334242908.16000003</v>
      </c>
      <c r="G8">
        <f>E8*((1+$B$3)^$G$7)</f>
        <v>374352057.13920009</v>
      </c>
    </row>
    <row r="9" spans="2:10">
      <c r="B9" t="s">
        <v>62</v>
      </c>
      <c r="C9" t="s">
        <v>67</v>
      </c>
      <c r="E9">
        <v>86310000</v>
      </c>
      <c r="F9">
        <f>E9*((1+$B$3)^$F$7)</f>
        <v>108267264.00000001</v>
      </c>
      <c r="G9">
        <f>E9*((1+$B$3)^$G$7)</f>
        <v>121259335.68000004</v>
      </c>
    </row>
    <row r="10" spans="2:10">
      <c r="B10" t="s">
        <v>63</v>
      </c>
      <c r="C10" t="s">
        <v>66</v>
      </c>
      <c r="D10">
        <v>4315500</v>
      </c>
      <c r="E10">
        <f>D10*(($B$3*((1+$B$3)^$E$7))/(((1+$B$3)^$E$7)-1))</f>
        <v>4833359.9999999963</v>
      </c>
      <c r="F10">
        <f>D10*(($B$3*((1+$B$3)^$F$7))/(((1+$B$3)^$F$7)-1))</f>
        <v>2553473.2075471682</v>
      </c>
      <c r="G10">
        <f>D10*(($B$3*((1+$B$3)^$G$7))/(((1+$B$3)^$G$7)-1))</f>
        <v>1796754.0256045507</v>
      </c>
    </row>
    <row r="11" spans="2:10">
      <c r="B11" t="s">
        <v>64</v>
      </c>
      <c r="C11" t="s">
        <v>67</v>
      </c>
      <c r="E11">
        <v>25368000</v>
      </c>
      <c r="F11">
        <f>E11*((1+$B$3)^$F$7)</f>
        <v>31821619.200000003</v>
      </c>
      <c r="G11">
        <f>E11*((1+$B$3)^$G$7)</f>
        <v>35640213.504000008</v>
      </c>
    </row>
    <row r="12" spans="2:10">
      <c r="B12" t="s">
        <v>65</v>
      </c>
      <c r="C12" t="s">
        <v>66</v>
      </c>
      <c r="D12">
        <v>1120000</v>
      </c>
      <c r="E12">
        <f>D12*(($B$3*((1+$B$3)^$E$7))/(((1+$B$3)^$E$7)-1))</f>
        <v>1254399.9999999991</v>
      </c>
      <c r="F12">
        <f>D12*(($B$3*((1+$B$3)^$F$7))/(((1+$B$3)^$F$7)-1))</f>
        <v>662701.88679245242</v>
      </c>
      <c r="G12">
        <f>D12*(($B$3*((1+$B$3)^$G$7))/(((1+$B$3)^$G$7)-1))</f>
        <v>466310.85822664737</v>
      </c>
      <c r="J12" t="s">
        <v>70</v>
      </c>
    </row>
    <row r="13" spans="2:10" ht="15.75" thickBot="1"/>
    <row r="14" spans="2:10" ht="15.75" thickBot="1">
      <c r="E14" s="15">
        <v>5000000</v>
      </c>
      <c r="F14">
        <f>E14*((1+$B$3)^$F$7)</f>
        <v>6272000.0000000009</v>
      </c>
      <c r="G14">
        <f>E14*((1+$B$3)^$G$7)</f>
        <v>7024640.0000000019</v>
      </c>
    </row>
    <row r="15" spans="2:10" ht="15.75" thickBot="1">
      <c r="E15" s="15">
        <v>200000</v>
      </c>
      <c r="F15">
        <f>E15*((1+$B$3)^$F$7)</f>
        <v>250880.00000000003</v>
      </c>
      <c r="G15">
        <f>E15*((1+$B$3)^$G$7)</f>
        <v>280985.60000000009</v>
      </c>
    </row>
  </sheetData>
  <mergeCells count="1">
    <mergeCell ref="E6:G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M82"/>
  <sheetViews>
    <sheetView topLeftCell="A68" workbookViewId="0">
      <selection activeCell="E16" sqref="E16"/>
    </sheetView>
  </sheetViews>
  <sheetFormatPr defaultRowHeight="15"/>
  <cols>
    <col min="2" max="2" width="35.28515625" customWidth="1"/>
    <col min="3" max="3" width="12.28515625" customWidth="1"/>
    <col min="4" max="4" width="1" customWidth="1"/>
    <col min="5" max="5" width="13.28515625" customWidth="1"/>
    <col min="6" max="6" width="1" customWidth="1"/>
    <col min="7" max="7" width="13.28515625" customWidth="1"/>
    <col min="8" max="8" width="1.28515625" customWidth="1"/>
    <col min="9" max="9" width="13.28515625" customWidth="1"/>
    <col min="10" max="10" width="1.140625" customWidth="1"/>
    <col min="11" max="11" width="13.28515625" customWidth="1"/>
    <col min="12" max="12" width="1.42578125" customWidth="1"/>
    <col min="13" max="13" width="13.28515625" customWidth="1"/>
  </cols>
  <sheetData>
    <row r="2" spans="2:8" ht="15.75" thickBot="1">
      <c r="B2" s="12" t="s">
        <v>47</v>
      </c>
    </row>
    <row r="3" spans="2:8" ht="15.75" thickBot="1">
      <c r="B3" s="11" t="s">
        <v>46</v>
      </c>
      <c r="C3" s="30" t="s">
        <v>48</v>
      </c>
      <c r="D3" s="31"/>
      <c r="E3" s="31"/>
      <c r="F3" s="31"/>
      <c r="G3" s="32"/>
      <c r="H3" s="2"/>
    </row>
    <row r="4" spans="2:8">
      <c r="C4" s="28" t="s">
        <v>15</v>
      </c>
      <c r="D4" s="28"/>
      <c r="E4" s="28"/>
      <c r="F4" s="28"/>
      <c r="G4" s="28"/>
      <c r="H4" s="2"/>
    </row>
    <row r="5" spans="2:8">
      <c r="C5" s="14"/>
      <c r="D5" s="14"/>
      <c r="E5" s="14"/>
      <c r="F5" s="14"/>
      <c r="G5" s="14"/>
      <c r="H5" s="14"/>
    </row>
    <row r="6" spans="2:8">
      <c r="C6" s="20" t="s">
        <v>11</v>
      </c>
      <c r="E6" s="20" t="s">
        <v>12</v>
      </c>
      <c r="G6" s="20" t="s">
        <v>13</v>
      </c>
    </row>
    <row r="7" spans="2:8" ht="15.75" thickBot="1">
      <c r="C7" s="13"/>
      <c r="E7" s="13"/>
      <c r="G7" s="13"/>
    </row>
    <row r="8" spans="2:8" ht="15.75" thickBot="1">
      <c r="B8" t="s">
        <v>0</v>
      </c>
      <c r="C8" s="15">
        <v>1000000</v>
      </c>
      <c r="D8" s="1"/>
      <c r="E8" s="15">
        <v>1150000</v>
      </c>
      <c r="F8" s="1"/>
      <c r="G8" s="15">
        <v>1300000</v>
      </c>
    </row>
    <row r="9" spans="2:8" ht="15.75" thickBot="1">
      <c r="B9" t="s">
        <v>2</v>
      </c>
      <c r="C9" s="15">
        <f>0.3*C8</f>
        <v>300000</v>
      </c>
      <c r="D9" s="1"/>
      <c r="E9" s="15">
        <f>0.3*E8</f>
        <v>345000</v>
      </c>
      <c r="F9" s="1"/>
      <c r="G9" s="15">
        <f>0.3*G8</f>
        <v>390000</v>
      </c>
    </row>
    <row r="10" spans="2:8" ht="15.75" thickBot="1">
      <c r="B10" t="s">
        <v>1</v>
      </c>
      <c r="C10" s="15">
        <v>250000</v>
      </c>
      <c r="D10" s="1"/>
      <c r="E10" s="15">
        <v>250000</v>
      </c>
      <c r="F10" s="1"/>
      <c r="G10" s="15">
        <v>250000</v>
      </c>
    </row>
    <row r="11" spans="2:8">
      <c r="B11" t="s">
        <v>14</v>
      </c>
      <c r="C11" s="3">
        <f>E72</f>
        <v>42870</v>
      </c>
      <c r="D11" s="1"/>
      <c r="E11" s="3">
        <f>G72</f>
        <v>87760</v>
      </c>
      <c r="F11" s="1"/>
      <c r="G11" s="3">
        <f>I72</f>
        <v>82676</v>
      </c>
    </row>
    <row r="12" spans="2:8" ht="15.75" thickBot="1">
      <c r="B12" t="s">
        <v>3</v>
      </c>
      <c r="C12" s="1">
        <f>C8-C9-C10-C11</f>
        <v>407130</v>
      </c>
      <c r="D12" s="1"/>
      <c r="E12" s="1">
        <f>E8-E9-E10-E11</f>
        <v>467240</v>
      </c>
      <c r="F12" s="1"/>
      <c r="G12" s="1">
        <f>G8-G9-G10-G11</f>
        <v>577324</v>
      </c>
    </row>
    <row r="13" spans="2:8" ht="15.75" thickBot="1">
      <c r="B13" t="s">
        <v>4</v>
      </c>
      <c r="C13" s="15">
        <f>0.2*C8</f>
        <v>200000</v>
      </c>
      <c r="D13" s="1"/>
      <c r="E13" s="15">
        <f>0.2*E8</f>
        <v>230000</v>
      </c>
      <c r="F13" s="1"/>
      <c r="G13" s="15">
        <f>0.2*G8</f>
        <v>260000</v>
      </c>
    </row>
    <row r="14" spans="2:8" ht="15.75" thickBot="1">
      <c r="B14" t="s">
        <v>5</v>
      </c>
      <c r="C14" s="15">
        <v>100000</v>
      </c>
      <c r="D14" s="1"/>
      <c r="E14" s="15">
        <v>100000</v>
      </c>
      <c r="F14" s="1"/>
      <c r="G14" s="15">
        <v>100000</v>
      </c>
    </row>
    <row r="15" spans="2:8">
      <c r="B15" t="s">
        <v>6</v>
      </c>
      <c r="C15" s="1">
        <f>C12-C13-C14</f>
        <v>107130</v>
      </c>
      <c r="D15" s="1"/>
      <c r="E15" s="1">
        <f>E12-E13-E14</f>
        <v>137240</v>
      </c>
      <c r="F15" s="1"/>
      <c r="G15" s="1">
        <f>G12-G13-G14</f>
        <v>217324</v>
      </c>
    </row>
    <row r="16" spans="2:8">
      <c r="B16" t="s">
        <v>7</v>
      </c>
      <c r="C16" s="19">
        <f>C82</f>
        <v>7500</v>
      </c>
      <c r="D16" s="1"/>
      <c r="E16" s="19">
        <f>E82</f>
        <v>12000</v>
      </c>
      <c r="F16" s="1"/>
      <c r="G16" s="19">
        <f>G82</f>
        <v>5000</v>
      </c>
    </row>
    <row r="17" spans="2:8">
      <c r="B17" t="s">
        <v>8</v>
      </c>
      <c r="C17" s="1">
        <f>C15-C16</f>
        <v>99630</v>
      </c>
      <c r="D17" s="1"/>
      <c r="E17" s="1">
        <f>E15-E16</f>
        <v>125240</v>
      </c>
      <c r="F17" s="1"/>
      <c r="G17" s="1">
        <f>G15-G16</f>
        <v>212324</v>
      </c>
    </row>
    <row r="18" spans="2:8">
      <c r="B18" t="s">
        <v>9</v>
      </c>
      <c r="C18" s="3">
        <f>0.4*C17</f>
        <v>39852</v>
      </c>
      <c r="D18" s="1"/>
      <c r="E18" s="3">
        <f>0.4*E17</f>
        <v>50096</v>
      </c>
      <c r="F18" s="1"/>
      <c r="G18" s="3">
        <f>0.4*G17</f>
        <v>84929.600000000006</v>
      </c>
    </row>
    <row r="19" spans="2:8" ht="15.75" thickBot="1">
      <c r="B19" t="s">
        <v>10</v>
      </c>
      <c r="C19" s="4">
        <f>C17-C18</f>
        <v>59778</v>
      </c>
      <c r="D19" s="1"/>
      <c r="E19" s="4">
        <f>E17-E18</f>
        <v>75144</v>
      </c>
      <c r="F19" s="1"/>
      <c r="G19" s="4">
        <f>G17-G18</f>
        <v>127394.4</v>
      </c>
    </row>
    <row r="20" spans="2:8" ht="15.75" thickTop="1"/>
    <row r="22" spans="2:8">
      <c r="C22" s="28" t="str">
        <f>C3</f>
        <v>EXAMPLE , INC.</v>
      </c>
      <c r="D22" s="28"/>
      <c r="E22" s="28"/>
      <c r="F22" s="28"/>
      <c r="G22" s="28"/>
      <c r="H22" s="2"/>
    </row>
    <row r="23" spans="2:8">
      <c r="C23" s="28" t="s">
        <v>16</v>
      </c>
      <c r="D23" s="28"/>
      <c r="E23" s="28"/>
      <c r="F23" s="28"/>
      <c r="G23" s="28"/>
      <c r="H23" s="2"/>
    </row>
    <row r="25" spans="2:8">
      <c r="C25" s="20" t="s">
        <v>11</v>
      </c>
      <c r="E25" s="20" t="s">
        <v>12</v>
      </c>
      <c r="G25" s="20" t="s">
        <v>13</v>
      </c>
    </row>
    <row r="27" spans="2:8">
      <c r="B27" t="s">
        <v>19</v>
      </c>
      <c r="C27" s="1">
        <v>0</v>
      </c>
      <c r="D27" s="1"/>
      <c r="E27" s="1">
        <f>C33</f>
        <v>2648</v>
      </c>
      <c r="F27" s="1"/>
      <c r="G27" s="1">
        <f>E33</f>
        <v>5552</v>
      </c>
    </row>
    <row r="28" spans="2:8">
      <c r="B28" t="s">
        <v>10</v>
      </c>
      <c r="C28" s="1">
        <f>C19</f>
        <v>59778</v>
      </c>
      <c r="D28" s="1"/>
      <c r="E28" s="1">
        <f>E19</f>
        <v>75144</v>
      </c>
      <c r="F28" s="1"/>
      <c r="G28" s="1">
        <f>G19</f>
        <v>127394.4</v>
      </c>
    </row>
    <row r="29" spans="2:8" ht="15.75" thickBot="1">
      <c r="B29" t="s">
        <v>17</v>
      </c>
      <c r="C29" s="1">
        <f>C11</f>
        <v>42870</v>
      </c>
      <c r="D29" s="1"/>
      <c r="E29" s="1">
        <f>E11</f>
        <v>87760</v>
      </c>
      <c r="F29" s="1"/>
      <c r="G29" s="1">
        <f>G11</f>
        <v>82676</v>
      </c>
    </row>
    <row r="30" spans="2:8" ht="15.75" thickBot="1">
      <c r="B30" t="s">
        <v>44</v>
      </c>
      <c r="C30" s="15">
        <v>50000</v>
      </c>
      <c r="D30" s="1"/>
      <c r="E30" s="15">
        <v>0</v>
      </c>
      <c r="F30" s="1"/>
      <c r="G30" s="15">
        <v>0</v>
      </c>
    </row>
    <row r="31" spans="2:8" ht="15.75" thickBot="1">
      <c r="B31" t="s">
        <v>35</v>
      </c>
      <c r="C31" s="15">
        <v>150000</v>
      </c>
      <c r="D31" s="1"/>
      <c r="E31" s="15">
        <v>-60000</v>
      </c>
      <c r="F31" s="1"/>
      <c r="G31" s="15">
        <v>-80000</v>
      </c>
    </row>
    <row r="32" spans="2:8">
      <c r="B32" t="s">
        <v>45</v>
      </c>
      <c r="C32" s="3">
        <f>-C69</f>
        <v>-300000</v>
      </c>
      <c r="D32" s="1"/>
      <c r="E32" s="3">
        <f>-C70</f>
        <v>-100000</v>
      </c>
      <c r="F32" s="1"/>
      <c r="G32" s="3">
        <f>-C71</f>
        <v>-40000</v>
      </c>
    </row>
    <row r="33" spans="2:13" ht="15.75" thickBot="1">
      <c r="B33" t="s">
        <v>18</v>
      </c>
      <c r="C33" s="4">
        <f>SUM(C27:C32)</f>
        <v>2648</v>
      </c>
      <c r="D33" s="1"/>
      <c r="E33" s="4">
        <f>SUM(E27:E32)</f>
        <v>5552</v>
      </c>
      <c r="F33" s="1"/>
      <c r="G33" s="4">
        <f>SUM(G27:G32)</f>
        <v>95622.399999999994</v>
      </c>
    </row>
    <row r="34" spans="2:13" ht="15.75" thickTop="1"/>
    <row r="35" spans="2:13">
      <c r="B35" s="27" t="s">
        <v>36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2:13">
      <c r="B36" s="27" t="s">
        <v>37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2:13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2:13">
      <c r="C38" s="28" t="str">
        <f>C3</f>
        <v>EXAMPLE , INC.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</row>
    <row r="39" spans="2:13">
      <c r="C39" s="28" t="s">
        <v>20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1" spans="2:13">
      <c r="C41" s="29" t="s">
        <v>11</v>
      </c>
      <c r="D41" s="29"/>
      <c r="E41" s="29"/>
      <c r="G41" s="29" t="s">
        <v>12</v>
      </c>
      <c r="H41" s="29"/>
      <c r="I41" s="29"/>
      <c r="K41" s="29" t="s">
        <v>13</v>
      </c>
      <c r="L41" s="29"/>
      <c r="M41" s="29"/>
    </row>
    <row r="42" spans="2:13" ht="5.25" customHeight="1"/>
    <row r="43" spans="2:13">
      <c r="B43" t="s">
        <v>0</v>
      </c>
      <c r="C43" s="5"/>
      <c r="D43" s="1"/>
      <c r="E43" s="1">
        <f>C8</f>
        <v>1000000</v>
      </c>
      <c r="F43" s="1"/>
      <c r="G43" s="5"/>
      <c r="H43" s="1"/>
      <c r="I43" s="1">
        <f>E8</f>
        <v>1150000</v>
      </c>
      <c r="J43" s="1"/>
      <c r="K43" s="5"/>
      <c r="L43" s="1"/>
      <c r="M43" s="1">
        <f>G8</f>
        <v>1300000</v>
      </c>
    </row>
    <row r="44" spans="2:13">
      <c r="B44" t="s">
        <v>21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>
      <c r="B45" t="s">
        <v>22</v>
      </c>
      <c r="C45" s="1">
        <f>C9</f>
        <v>300000</v>
      </c>
      <c r="D45" s="1"/>
      <c r="E45" s="1"/>
      <c r="F45" s="1"/>
      <c r="G45" s="1">
        <f>E9</f>
        <v>345000</v>
      </c>
      <c r="H45" s="1"/>
      <c r="I45" s="1"/>
      <c r="J45" s="1"/>
      <c r="K45" s="1">
        <f>G9</f>
        <v>390000</v>
      </c>
      <c r="L45" s="1"/>
      <c r="M45" s="1"/>
    </row>
    <row r="46" spans="2:13">
      <c r="B46" t="s">
        <v>23</v>
      </c>
      <c r="C46" s="6">
        <f>C13</f>
        <v>200000</v>
      </c>
      <c r="D46" s="1"/>
      <c r="E46" s="6"/>
      <c r="F46" s="1"/>
      <c r="G46" s="6">
        <f>E13</f>
        <v>230000</v>
      </c>
      <c r="H46" s="1"/>
      <c r="I46" s="5"/>
      <c r="J46" s="1"/>
      <c r="K46" s="6">
        <f>G13</f>
        <v>260000</v>
      </c>
      <c r="L46" s="1"/>
      <c r="M46" s="1"/>
    </row>
    <row r="47" spans="2:13">
      <c r="B47" t="s">
        <v>30</v>
      </c>
      <c r="C47" s="6"/>
      <c r="D47" s="1"/>
      <c r="E47" s="3">
        <f>C45+C46</f>
        <v>500000</v>
      </c>
      <c r="F47" s="1"/>
      <c r="G47" s="6"/>
      <c r="H47" s="1"/>
      <c r="I47" s="3">
        <f>G45+G46</f>
        <v>575000</v>
      </c>
      <c r="J47" s="1"/>
      <c r="K47" s="1"/>
      <c r="L47" s="1"/>
      <c r="M47" s="3">
        <f>K45+K46</f>
        <v>650000</v>
      </c>
    </row>
    <row r="48" spans="2:13">
      <c r="B48" t="s">
        <v>24</v>
      </c>
      <c r="C48" s="1"/>
      <c r="D48" s="1"/>
      <c r="E48" s="1">
        <f>E43-E47</f>
        <v>500000</v>
      </c>
      <c r="F48" s="1"/>
      <c r="G48" s="1"/>
      <c r="H48" s="1"/>
      <c r="I48" s="1">
        <f>I43-I47</f>
        <v>575000</v>
      </c>
      <c r="J48" s="1"/>
      <c r="K48" s="1"/>
      <c r="L48" s="1"/>
      <c r="M48" s="1">
        <f>M43-M47</f>
        <v>650000</v>
      </c>
    </row>
    <row r="49" spans="2:13">
      <c r="B49" t="s">
        <v>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>
      <c r="B50" t="s">
        <v>26</v>
      </c>
      <c r="C50" s="1">
        <f>C10</f>
        <v>250000</v>
      </c>
      <c r="D50" s="1"/>
      <c r="E50" s="1"/>
      <c r="F50" s="1"/>
      <c r="G50" s="1">
        <f>E10</f>
        <v>250000</v>
      </c>
      <c r="H50" s="1"/>
      <c r="I50" s="1"/>
      <c r="J50" s="1"/>
      <c r="K50" s="1">
        <f>G10</f>
        <v>250000</v>
      </c>
      <c r="L50" s="1"/>
      <c r="M50" s="1"/>
    </row>
    <row r="51" spans="2:13">
      <c r="B51" t="s">
        <v>27</v>
      </c>
      <c r="C51" s="1">
        <f>C14</f>
        <v>100000</v>
      </c>
      <c r="D51" s="1"/>
      <c r="E51" s="1"/>
      <c r="F51" s="1"/>
      <c r="G51" s="1">
        <f>E14</f>
        <v>100000</v>
      </c>
      <c r="H51" s="1"/>
      <c r="I51" s="1"/>
      <c r="J51" s="1"/>
      <c r="K51" s="1">
        <f>G14</f>
        <v>100000</v>
      </c>
      <c r="L51" s="1"/>
      <c r="M51" s="1"/>
    </row>
    <row r="52" spans="2:13">
      <c r="B52" t="s">
        <v>28</v>
      </c>
      <c r="C52" s="1">
        <f>C11</f>
        <v>42870</v>
      </c>
      <c r="D52" s="1"/>
      <c r="E52" s="1"/>
      <c r="F52" s="1"/>
      <c r="G52" s="1">
        <f>E11</f>
        <v>87760</v>
      </c>
      <c r="H52" s="1"/>
      <c r="I52" s="1"/>
      <c r="J52" s="1"/>
      <c r="K52" s="1">
        <f>G11</f>
        <v>82676</v>
      </c>
      <c r="L52" s="1"/>
      <c r="M52" s="1"/>
    </row>
    <row r="53" spans="2:13">
      <c r="B53" t="s">
        <v>29</v>
      </c>
      <c r="C53" s="6">
        <f>C16</f>
        <v>7500</v>
      </c>
      <c r="D53" s="1"/>
      <c r="E53" s="6"/>
      <c r="F53" s="1"/>
      <c r="G53" s="6">
        <f>E16</f>
        <v>12000</v>
      </c>
      <c r="H53" s="1"/>
      <c r="I53" s="1"/>
      <c r="J53" s="1"/>
      <c r="K53" s="6">
        <f>G16</f>
        <v>5000</v>
      </c>
      <c r="L53" s="1"/>
      <c r="M53" s="1"/>
    </row>
    <row r="54" spans="2:13">
      <c r="B54" t="s">
        <v>31</v>
      </c>
      <c r="C54" s="6"/>
      <c r="D54" s="1"/>
      <c r="E54" s="6">
        <f>SUM(C50:C53)</f>
        <v>400370</v>
      </c>
      <c r="F54" s="1"/>
      <c r="G54" s="6"/>
      <c r="H54" s="1"/>
      <c r="I54" s="3">
        <f>SUM(G50:G53)</f>
        <v>449760</v>
      </c>
      <c r="J54" s="1"/>
      <c r="K54" s="6"/>
      <c r="L54" s="1"/>
      <c r="M54" s="3">
        <f>SUM(K50:K53)</f>
        <v>437676</v>
      </c>
    </row>
    <row r="55" spans="2:13" ht="15.75" thickBot="1">
      <c r="B55" t="s">
        <v>8</v>
      </c>
      <c r="C55" s="6"/>
      <c r="D55" s="1"/>
      <c r="E55" s="4">
        <f>E48-E54</f>
        <v>99630</v>
      </c>
      <c r="F55" s="1"/>
      <c r="G55" s="6"/>
      <c r="H55" s="1"/>
      <c r="I55" s="4">
        <f>I48-I54</f>
        <v>125240</v>
      </c>
      <c r="J55" s="1"/>
      <c r="K55" s="1"/>
      <c r="L55" s="1"/>
      <c r="M55" s="4">
        <f>M48-M54</f>
        <v>212324</v>
      </c>
    </row>
    <row r="56" spans="2:13" ht="15.75" thickTop="1"/>
    <row r="58" spans="2:13">
      <c r="C58" s="13" t="s">
        <v>11</v>
      </c>
      <c r="E58" s="13" t="s">
        <v>12</v>
      </c>
      <c r="G58" s="13" t="s">
        <v>13</v>
      </c>
    </row>
    <row r="59" spans="2:13" ht="4.5" customHeight="1">
      <c r="C59" s="13"/>
      <c r="E59" s="13"/>
      <c r="G59" s="13"/>
    </row>
    <row r="60" spans="2:13">
      <c r="B60" t="s">
        <v>32</v>
      </c>
      <c r="C60" s="1">
        <f>E54</f>
        <v>400370</v>
      </c>
      <c r="D60" s="1"/>
      <c r="E60" s="1">
        <f>I54</f>
        <v>449760</v>
      </c>
      <c r="F60" s="1"/>
      <c r="G60" s="1">
        <f>M54</f>
        <v>437676</v>
      </c>
    </row>
    <row r="61" spans="2:13">
      <c r="B61" t="s">
        <v>33</v>
      </c>
      <c r="C61" s="10">
        <f>E48/E43</f>
        <v>0.5</v>
      </c>
      <c r="D61" s="1"/>
      <c r="E61" s="10">
        <f>I48/I43</f>
        <v>0.5</v>
      </c>
      <c r="F61" s="1"/>
      <c r="G61" s="10">
        <f>M48/M43</f>
        <v>0.5</v>
      </c>
    </row>
    <row r="62" spans="2:13" ht="3.75" customHeight="1">
      <c r="C62" s="1"/>
      <c r="D62" s="1"/>
      <c r="E62" s="1"/>
      <c r="F62" s="1"/>
      <c r="G62" s="1"/>
    </row>
    <row r="63" spans="2:13" ht="15.75" thickBot="1">
      <c r="B63" t="s">
        <v>34</v>
      </c>
      <c r="C63" s="7">
        <f>C60/C61</f>
        <v>800740</v>
      </c>
      <c r="D63" s="1"/>
      <c r="E63" s="7">
        <f>E60/E61</f>
        <v>899520</v>
      </c>
      <c r="F63" s="1"/>
      <c r="G63" s="7">
        <f>G60/G61</f>
        <v>875352</v>
      </c>
    </row>
    <row r="64" spans="2:13" ht="15.75" thickTop="1"/>
    <row r="66" spans="2:9">
      <c r="C66" s="13" t="s">
        <v>42</v>
      </c>
      <c r="E66" s="28" t="s">
        <v>14</v>
      </c>
      <c r="F66" s="28"/>
      <c r="G66" s="28"/>
      <c r="H66" s="28"/>
      <c r="I66" s="28"/>
    </row>
    <row r="67" spans="2:9">
      <c r="C67" s="13" t="s">
        <v>43</v>
      </c>
      <c r="E67" s="20" t="s">
        <v>11</v>
      </c>
      <c r="G67" s="20" t="s">
        <v>12</v>
      </c>
      <c r="I67" s="20" t="s">
        <v>13</v>
      </c>
    </row>
    <row r="68" spans="2:9" ht="15.75" thickBot="1">
      <c r="E68" s="13"/>
      <c r="G68" s="13"/>
      <c r="I68" s="13"/>
    </row>
    <row r="69" spans="2:9" ht="15.75" thickBot="1">
      <c r="B69" t="s">
        <v>38</v>
      </c>
      <c r="C69" s="15">
        <v>300000</v>
      </c>
      <c r="E69" s="1">
        <f>C75*C69</f>
        <v>42870</v>
      </c>
      <c r="F69" s="1"/>
      <c r="G69" s="1">
        <f>E75*C69</f>
        <v>73470</v>
      </c>
      <c r="H69" s="1"/>
      <c r="I69" s="1">
        <f>G75*C69</f>
        <v>52470</v>
      </c>
    </row>
    <row r="70" spans="2:9" ht="15.75" thickBot="1">
      <c r="B70" t="s">
        <v>39</v>
      </c>
      <c r="C70" s="15">
        <v>100000</v>
      </c>
      <c r="E70" s="8"/>
      <c r="F70" s="1"/>
      <c r="G70" s="1">
        <f>C75*C70</f>
        <v>14290</v>
      </c>
      <c r="H70" s="1"/>
      <c r="I70" s="1">
        <f>E75*C70</f>
        <v>24490</v>
      </c>
    </row>
    <row r="71" spans="2:9" ht="15.75" thickBot="1">
      <c r="B71" t="s">
        <v>40</v>
      </c>
      <c r="C71" s="15">
        <v>40000</v>
      </c>
      <c r="E71" s="9"/>
      <c r="F71" s="1"/>
      <c r="G71" s="9"/>
      <c r="H71" s="1"/>
      <c r="I71" s="3">
        <f>C75*C71</f>
        <v>5716</v>
      </c>
    </row>
    <row r="72" spans="2:9" ht="15.75" thickBot="1">
      <c r="E72" s="4">
        <f>SUM(E69:E71)</f>
        <v>42870</v>
      </c>
      <c r="F72" s="1"/>
      <c r="G72" s="4">
        <f>SUM(G69:G71)</f>
        <v>87760</v>
      </c>
      <c r="H72" s="1"/>
      <c r="I72" s="4">
        <f>SUM(I69:I71)</f>
        <v>82676</v>
      </c>
    </row>
    <row r="73" spans="2:9" ht="15.75" thickTop="1"/>
    <row r="75" spans="2:9">
      <c r="B75" t="s">
        <v>41</v>
      </c>
      <c r="C75">
        <v>0.1429</v>
      </c>
      <c r="E75">
        <v>0.24490000000000001</v>
      </c>
      <c r="G75">
        <v>0.1749</v>
      </c>
    </row>
    <row r="77" spans="2:9" ht="15.75" thickBot="1">
      <c r="B77" t="s">
        <v>49</v>
      </c>
    </row>
    <row r="78" spans="2:9" ht="15.75" thickBot="1">
      <c r="B78" t="s">
        <v>50</v>
      </c>
      <c r="C78" s="18">
        <v>0.1</v>
      </c>
      <c r="E78" s="16"/>
      <c r="G78" s="16"/>
      <c r="I78" s="16"/>
    </row>
    <row r="80" spans="2:9">
      <c r="C80" s="20" t="s">
        <v>11</v>
      </c>
      <c r="E80" s="20" t="s">
        <v>12</v>
      </c>
      <c r="G80" s="20" t="s">
        <v>13</v>
      </c>
    </row>
    <row r="81" spans="2:7">
      <c r="B81" t="s">
        <v>51</v>
      </c>
      <c r="C81" s="1">
        <f>C31/2</f>
        <v>75000</v>
      </c>
      <c r="D81" s="1"/>
      <c r="E81" s="1">
        <f>((C31+E31)+C31)/2</f>
        <v>120000</v>
      </c>
      <c r="F81" s="1"/>
      <c r="G81" s="1">
        <f>((+C31+E31)+(C31+E31+G31))/2</f>
        <v>50000</v>
      </c>
    </row>
    <row r="82" spans="2:7">
      <c r="B82" t="s">
        <v>52</v>
      </c>
      <c r="C82" s="17">
        <f>C78*C81</f>
        <v>7500</v>
      </c>
      <c r="E82" s="17">
        <f>C78*E81</f>
        <v>12000</v>
      </c>
      <c r="G82" s="17">
        <f>C78*G81</f>
        <v>5000</v>
      </c>
    </row>
  </sheetData>
  <mergeCells count="12">
    <mergeCell ref="E66:I66"/>
    <mergeCell ref="C3:G3"/>
    <mergeCell ref="C4:G4"/>
    <mergeCell ref="C22:G22"/>
    <mergeCell ref="C23:G23"/>
    <mergeCell ref="B35:M35"/>
    <mergeCell ref="B36:M36"/>
    <mergeCell ref="C38:M38"/>
    <mergeCell ref="C39:M39"/>
    <mergeCell ref="C41:E41"/>
    <mergeCell ref="G41:I41"/>
    <mergeCell ref="K41:M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I7"/>
  <sheetViews>
    <sheetView workbookViewId="0">
      <selection activeCell="F10" sqref="F10"/>
    </sheetView>
  </sheetViews>
  <sheetFormatPr defaultRowHeight="15"/>
  <cols>
    <col min="2" max="2" width="18" bestFit="1" customWidth="1"/>
    <col min="3" max="3" width="19.7109375" bestFit="1" customWidth="1"/>
    <col min="8" max="8" width="10" bestFit="1" customWidth="1"/>
  </cols>
  <sheetData>
    <row r="3" spans="2:9">
      <c r="D3" s="28" t="s">
        <v>77</v>
      </c>
      <c r="E3" s="28"/>
      <c r="F3" s="28" t="s">
        <v>78</v>
      </c>
      <c r="G3" s="28"/>
      <c r="H3" s="28" t="s">
        <v>79</v>
      </c>
      <c r="I3" s="28"/>
    </row>
    <row r="4" spans="2:9">
      <c r="B4" t="s">
        <v>62</v>
      </c>
      <c r="C4" t="s">
        <v>73</v>
      </c>
      <c r="D4">
        <v>56000000</v>
      </c>
      <c r="E4">
        <v>1600000</v>
      </c>
      <c r="F4">
        <v>6400000</v>
      </c>
      <c r="G4">
        <v>32000</v>
      </c>
      <c r="H4">
        <v>166000000</v>
      </c>
      <c r="I4">
        <v>1245000</v>
      </c>
    </row>
    <row r="5" spans="2:9">
      <c r="B5" t="s">
        <v>63</v>
      </c>
      <c r="C5" t="s">
        <v>74</v>
      </c>
      <c r="D5" s="28">
        <v>2400000</v>
      </c>
      <c r="E5" s="28"/>
      <c r="F5" s="28">
        <v>48000</v>
      </c>
      <c r="G5" s="28"/>
      <c r="H5" s="28">
        <v>1867500</v>
      </c>
      <c r="I5" s="28"/>
    </row>
    <row r="6" spans="2:9">
      <c r="B6" t="s">
        <v>64</v>
      </c>
      <c r="C6" t="s">
        <v>75</v>
      </c>
      <c r="D6" s="28">
        <v>8000000</v>
      </c>
      <c r="E6" s="28"/>
      <c r="F6" s="28">
        <v>768000</v>
      </c>
      <c r="G6" s="28"/>
      <c r="H6" s="28">
        <v>16600000</v>
      </c>
      <c r="I6" s="28"/>
    </row>
    <row r="7" spans="2:9">
      <c r="B7" t="s">
        <v>65</v>
      </c>
      <c r="C7" t="s">
        <v>76</v>
      </c>
      <c r="D7" s="28">
        <v>5055</v>
      </c>
      <c r="E7" s="28"/>
      <c r="F7">
        <v>6470</v>
      </c>
      <c r="G7">
        <v>120000</v>
      </c>
      <c r="H7" s="28">
        <v>31470</v>
      </c>
      <c r="I7" s="28"/>
    </row>
  </sheetData>
  <mergeCells count="11">
    <mergeCell ref="H7:I7"/>
    <mergeCell ref="H6:I6"/>
    <mergeCell ref="H5:I5"/>
    <mergeCell ref="H3:I3"/>
    <mergeCell ref="D3:E3"/>
    <mergeCell ref="D5:E5"/>
    <mergeCell ref="D6:E6"/>
    <mergeCell ref="D7:E7"/>
    <mergeCell ref="F3:G3"/>
    <mergeCell ref="F5:G5"/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B357 FINANCIAL TEMPLATE</vt:lpstr>
      <vt:lpstr>Breakers</vt:lpstr>
      <vt:lpstr>E-Meter</vt:lpstr>
      <vt:lpstr>Base Station</vt:lpstr>
      <vt:lpstr>Sheet1</vt:lpstr>
      <vt:lpstr>EXAMPLE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Amy</cp:lastModifiedBy>
  <dcterms:created xsi:type="dcterms:W3CDTF">2008-11-26T03:32:47Z</dcterms:created>
  <dcterms:modified xsi:type="dcterms:W3CDTF">2010-12-11T16:22:51Z</dcterms:modified>
</cp:coreProperties>
</file>