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125" windowHeight="8235" firstSheet="2" activeTab="2"/>
  </bookViews>
  <sheets>
    <sheet name="DB" sheetId="4" r:id="rId1"/>
    <sheet name="Export Count List_Other lesio_1" sheetId="3" r:id="rId2"/>
    <sheet name="Sheet1" sheetId="6" r:id="rId3"/>
    <sheet name="Sheet2" sheetId="7" r:id="rId4"/>
  </sheets>
  <calcPr calcId="144525"/>
</workbook>
</file>

<file path=xl/sharedStrings.xml><?xml version="1.0" encoding="utf-8"?>
<sst xmlns="http://schemas.openxmlformats.org/spreadsheetml/2006/main" count="577" uniqueCount="177">
  <si>
    <t>ID</t>
  </si>
  <si>
    <t>Sex</t>
  </si>
  <si>
    <t>Age</t>
  </si>
  <si>
    <t>Residence</t>
  </si>
  <si>
    <t>Cause of death</t>
  </si>
  <si>
    <t>Dx</t>
  </si>
  <si>
    <t>Circumstances</t>
  </si>
  <si>
    <t>Nature</t>
  </si>
  <si>
    <t>*Grade of trauma</t>
  </si>
  <si>
    <t>Other lesions</t>
  </si>
  <si>
    <t>Blood alcohol</t>
  </si>
  <si>
    <t>Blood alcohol level</t>
  </si>
  <si>
    <t>M</t>
  </si>
  <si>
    <t>Cluj</t>
  </si>
  <si>
    <t>polytrauma</t>
  </si>
  <si>
    <t>road accident</t>
  </si>
  <si>
    <t>vehicle related</t>
  </si>
  <si>
    <t>severe</t>
  </si>
  <si>
    <t>#facial fractures#fractures#internal hemorrhage#hemorrhage#</t>
  </si>
  <si>
    <t>yes</t>
  </si>
  <si>
    <t>polytrauma &amp; asphyxia</t>
  </si>
  <si>
    <t>#head fractures#meningocerebral hermorrage#fractures#</t>
  </si>
  <si>
    <t>Turda</t>
  </si>
  <si>
    <t>meningocerebral hemorrhage</t>
  </si>
  <si>
    <t>hemorrhage</t>
  </si>
  <si>
    <t>hospital</t>
  </si>
  <si>
    <t>fall</t>
  </si>
  <si>
    <t>#head fractures#</t>
  </si>
  <si>
    <t>no</t>
  </si>
  <si>
    <t>mechanic asphyxia</t>
  </si>
  <si>
    <t>cerebral hemorrhage</t>
  </si>
  <si>
    <t>#cerebral hemorrhage#thorax trauma#</t>
  </si>
  <si>
    <t>Salaj</t>
  </si>
  <si>
    <t>head trauma</t>
  </si>
  <si>
    <t>#pul. Emphysema#cranial fractures#</t>
  </si>
  <si>
    <t>#cranial fractures#fractures#hemoperitoneum#</t>
  </si>
  <si>
    <t>F</t>
  </si>
  <si>
    <t>#facial fractures#fractures#</t>
  </si>
  <si>
    <t>brainstem section</t>
  </si>
  <si>
    <t>atlanto-occipital fracture</t>
  </si>
  <si>
    <t>#contusion#fractures#</t>
  </si>
  <si>
    <t>work accident</t>
  </si>
  <si>
    <t>#internal hemorrhage#</t>
  </si>
  <si>
    <t>#internal hemorrhage#rib fractures#</t>
  </si>
  <si>
    <t>Dej</t>
  </si>
  <si>
    <t>#cranial fractures#</t>
  </si>
  <si>
    <t>intracranial hemorrhage</t>
  </si>
  <si>
    <t>#lacerations#internal hemorrhage#</t>
  </si>
  <si>
    <t>train accident</t>
  </si>
  <si>
    <t>subdural hematoma</t>
  </si>
  <si>
    <t>street</t>
  </si>
  <si>
    <t>#fractures#</t>
  </si>
  <si>
    <t>cranial base fracture</t>
  </si>
  <si>
    <t>intracerebral hemorhage</t>
  </si>
  <si>
    <t>#rib fractures#hemorrhage#</t>
  </si>
  <si>
    <t>parietooccipital facture</t>
  </si>
  <si>
    <t>#subdural hematoma#intracerebral hemorrhage#</t>
  </si>
  <si>
    <t>Satu mare</t>
  </si>
  <si>
    <t>street fight</t>
  </si>
  <si>
    <t>violence</t>
  </si>
  <si>
    <t>#lacerations#rib fractures#</t>
  </si>
  <si>
    <t>#lacerations#</t>
  </si>
  <si>
    <t>craniocerebral fracture and hemorrhage</t>
  </si>
  <si>
    <t>home</t>
  </si>
  <si>
    <t>#contusion#fractures#hemorrhage#</t>
  </si>
  <si>
    <t>craniofacial fracture</t>
  </si>
  <si>
    <t>pedestrian</t>
  </si>
  <si>
    <t>#thorax fractures#internal hemorrhage#</t>
  </si>
  <si>
    <t>#cranial fractures#thorax trauma#abdominal bleeding#</t>
  </si>
  <si>
    <t>cranial fracture</t>
  </si>
  <si>
    <t>complex cranial fracture</t>
  </si>
  <si>
    <t>#facial fractures#thorax trauma#</t>
  </si>
  <si>
    <t>head and neck trauma</t>
  </si>
  <si>
    <t>luxation of C3</t>
  </si>
  <si>
    <t>#cerebral hemorrhage#</t>
  </si>
  <si>
    <t>stairs</t>
  </si>
  <si>
    <t>#contusion#lacerations#internal hemorrhage#</t>
  </si>
  <si>
    <t>highet</t>
  </si>
  <si>
    <t>#lacerations#thorax fractures#</t>
  </si>
  <si>
    <t>craniocerebral fracture</t>
  </si>
  <si>
    <t>meningeal hemorrhage</t>
  </si>
  <si>
    <t>#polytrauma#</t>
  </si>
  <si>
    <t>#facial fractures#</t>
  </si>
  <si>
    <t>#fractures#thorax trauma#</t>
  </si>
  <si>
    <t>#cranial fractures#internal hemorrhage#</t>
  </si>
  <si>
    <t>#internal hemorrhage#hemorrhage#</t>
  </si>
  <si>
    <t>#polytrauma#rib fractures#abdominal bleeding#</t>
  </si>
  <si>
    <t>#abdominal trauma#</t>
  </si>
  <si>
    <t>#limb fractures#thorax trauma#</t>
  </si>
  <si>
    <t>Count</t>
  </si>
  <si>
    <t>(Blanks)</t>
  </si>
  <si>
    <t>Column1</t>
  </si>
  <si>
    <t>Column2</t>
  </si>
  <si>
    <t>abdominal trauma</t>
  </si>
  <si>
    <t>internal hemorrhage</t>
  </si>
  <si>
    <t>cerebral hemorrhage; thorax trauma</t>
  </si>
  <si>
    <t>abdominal bleeding</t>
  </si>
  <si>
    <t>contusion; fractures</t>
  </si>
  <si>
    <t>hemoperitoneum</t>
  </si>
  <si>
    <t>contusion; fractures; hemorrhages</t>
  </si>
  <si>
    <t>contusion; lacerations; internal hemorrhage</t>
  </si>
  <si>
    <t>intracerebral hemorrhage</t>
  </si>
  <si>
    <t>cranial fractures</t>
  </si>
  <si>
    <t>meningocerebral hermorrage</t>
  </si>
  <si>
    <t>cranial fractures; fractures; hemoperitoneum</t>
  </si>
  <si>
    <t>cranial fractures; internal hemorrhage</t>
  </si>
  <si>
    <t>contusion</t>
  </si>
  <si>
    <t>cranial fractures; thorax trauma; abdominal bleeding</t>
  </si>
  <si>
    <t>lacerations</t>
  </si>
  <si>
    <t>facial fractures</t>
  </si>
  <si>
    <t>fractures</t>
  </si>
  <si>
    <t>facial fractures; fractures</t>
  </si>
  <si>
    <t>facial fractures; fractures; internal hemorrhage; hemorrhage</t>
  </si>
  <si>
    <t>facial fractures; thorax trauma</t>
  </si>
  <si>
    <t>head fractures</t>
  </si>
  <si>
    <t>limb fractures</t>
  </si>
  <si>
    <t>fractures; thorax trauma</t>
  </si>
  <si>
    <t>thorax fractures</t>
  </si>
  <si>
    <t>rib fractures</t>
  </si>
  <si>
    <t>head fractures; meningocerebral hermorrage; fractures</t>
  </si>
  <si>
    <t>pul. Emphysema</t>
  </si>
  <si>
    <t>internal hemorrhage; hemorrhage</t>
  </si>
  <si>
    <t>internal hemorrhage; rib fractures</t>
  </si>
  <si>
    <t>thorax trauma</t>
  </si>
  <si>
    <t>lacerations; internal hemorrhage</t>
  </si>
  <si>
    <t>lacerations; rib fractures</t>
  </si>
  <si>
    <t>lacereations</t>
  </si>
  <si>
    <t>lacereations; thorax fractures</t>
  </si>
  <si>
    <t>limb fractures; thorax trauma</t>
  </si>
  <si>
    <t>polytrauma; rib fractures; abominal bleeding</t>
  </si>
  <si>
    <t>pul. Emphysema; cranial fractures</t>
  </si>
  <si>
    <t>rib fractures; hemorrhage</t>
  </si>
  <si>
    <t>subdural hematoma; intracerebral hemorrhage</t>
  </si>
  <si>
    <t>thorax fractures; internal hemorrhage</t>
  </si>
  <si>
    <t>N RO</t>
  </si>
  <si>
    <t>% RO</t>
  </si>
  <si>
    <t>Σ% RO</t>
  </si>
  <si>
    <t>N IT (Mar 23)</t>
  </si>
  <si>
    <t>% IT (Mar 23)</t>
  </si>
  <si>
    <t>Σ% IT</t>
  </si>
  <si>
    <t>Deaths RO</t>
  </si>
  <si>
    <t>Mortality CN (Feb 11)</t>
  </si>
  <si>
    <t>Exp. Deaths RO</t>
  </si>
  <si>
    <t>Exp. Deaths RO (10k cases)</t>
  </si>
  <si>
    <t>Exp. Deaths IT (59138k cases)</t>
  </si>
  <si>
    <t>Deaths IT (Mar 23)</t>
  </si>
  <si>
    <t>Mortality IT (Mar 23)</t>
  </si>
  <si>
    <t>Exp. Deaths RO2</t>
  </si>
  <si>
    <t>Exp. Deaths RO (10k cases)2</t>
  </si>
  <si>
    <t>Exp. Deaths IT (59138 cases)2</t>
  </si>
  <si>
    <t>Mortality ICL (March 16)</t>
  </si>
  <si>
    <t>&lt;10</t>
  </si>
  <si>
    <t>10-19</t>
  </si>
  <si>
    <t>20-29</t>
  </si>
  <si>
    <t>30-39</t>
  </si>
  <si>
    <t>40-49</t>
  </si>
  <si>
    <t>50-59</t>
  </si>
  <si>
    <t>60-69</t>
  </si>
  <si>
    <t>70-79</t>
  </si>
  <si>
    <t>80+</t>
  </si>
  <si>
    <t>Total</t>
  </si>
  <si>
    <t>extra deaths:</t>
  </si>
  <si>
    <t>Mar23</t>
  </si>
  <si>
    <t>#7, #8</t>
  </si>
  <si>
    <t>.+2</t>
  </si>
  <si>
    <t>#11 -&gt; #5</t>
  </si>
  <si>
    <t>0,5</t>
  </si>
  <si>
    <t>0,7</t>
  </si>
  <si>
    <t>3,8</t>
  </si>
  <si>
    <t>6,9</t>
  </si>
  <si>
    <t>12,5</t>
  </si>
  <si>
    <t>19,5</t>
  </si>
  <si>
    <t>18,0</t>
  </si>
  <si>
    <t>14,8</t>
  </si>
  <si>
    <t>3,3</t>
  </si>
  <si>
    <t>New</t>
  </si>
  <si>
    <t>Old</t>
  </si>
</sst>
</file>

<file path=xl/styles.xml><?xml version="1.0" encoding="utf-8"?>
<styleSheet xmlns="http://schemas.openxmlformats.org/spreadsheetml/2006/main">
  <numFmts count="9">
    <numFmt numFmtId="176" formatCode="0.0_ "/>
    <numFmt numFmtId="177" formatCode="0.00_);[Red]\(0.00\)"/>
    <numFmt numFmtId="178" formatCode="0.00_ "/>
    <numFmt numFmtId="179" formatCode="0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80" formatCode="0.0%"/>
    <numFmt numFmtId="181" formatCode="_ * #,##0_ ;_ * \-#,##0_ ;_ * &quot;-&quot;_ ;_ @_ "/>
    <numFmt numFmtId="182" formatCode="_ * #,##0.00_ ;_ * \-#,##0.00_ ;_ * &quot;-&quot;??_ ;_ @_ "/>
  </numFmts>
  <fonts count="24">
    <font>
      <sz val="11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1"/>
      <color rgb="FF0070C0"/>
      <name val="Calibri"/>
      <charset val="134"/>
      <scheme val="minor"/>
    </font>
    <font>
      <sz val="11"/>
      <color theme="1"/>
      <name val="Calibri"/>
      <charset val="134"/>
    </font>
    <font>
      <sz val="1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9" fillId="3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15" fillId="7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11" fillId="8" borderId="2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0" fillId="7" borderId="2" applyNumberFormat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181" fontId="0" fillId="0" borderId="0" applyFont="0" applyFill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182" fontId="0" fillId="0" borderId="0" applyFont="0" applyFill="0" applyBorder="0" applyAlignment="0" applyProtection="0">
      <alignment vertical="center"/>
    </xf>
    <xf numFmtId="0" fontId="16" fillId="23" borderId="6" applyNumberFormat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26">
    <xf numFmtId="0" fontId="0" fillId="0" borderId="0" xfId="0"/>
    <xf numFmtId="180" fontId="0" fillId="0" borderId="0" xfId="47" applyNumberFormat="1" applyAlignment="1"/>
    <xf numFmtId="0" fontId="1" fillId="0" borderId="0" xfId="0" applyFont="1"/>
    <xf numFmtId="0" fontId="2" fillId="0" borderId="0" xfId="0" applyFont="1"/>
    <xf numFmtId="179" fontId="0" fillId="0" borderId="0" xfId="0" applyNumberFormat="1"/>
    <xf numFmtId="0" fontId="3" fillId="0" borderId="0" xfId="0" applyFont="1"/>
    <xf numFmtId="10" fontId="0" fillId="0" borderId="0" xfId="47" applyNumberFormat="1" applyAlignment="1"/>
    <xf numFmtId="10" fontId="0" fillId="0" borderId="0" xfId="0" applyNumberFormat="1"/>
    <xf numFmtId="10" fontId="1" fillId="0" borderId="0" xfId="47" applyNumberFormat="1" applyFont="1" applyAlignment="1"/>
    <xf numFmtId="178" fontId="1" fillId="0" borderId="0" xfId="0" applyNumberFormat="1" applyFont="1"/>
    <xf numFmtId="10" fontId="4" fillId="2" borderId="0" xfId="47" applyNumberFormat="1" applyFont="1" applyFill="1" applyAlignment="1"/>
    <xf numFmtId="0" fontId="1" fillId="0" borderId="0" xfId="0" applyFont="1" applyAlignment="1">
      <alignment horizontal="right"/>
    </xf>
    <xf numFmtId="180" fontId="1" fillId="0" borderId="0" xfId="47" applyNumberFormat="1" applyFont="1" applyAlignment="1"/>
    <xf numFmtId="177" fontId="1" fillId="0" borderId="0" xfId="0" applyNumberFormat="1" applyFont="1"/>
    <xf numFmtId="179" fontId="2" fillId="0" borderId="0" xfId="0" applyNumberFormat="1" applyFont="1"/>
    <xf numFmtId="10" fontId="2" fillId="0" borderId="0" xfId="0" applyNumberFormat="1" applyFont="1"/>
    <xf numFmtId="179" fontId="1" fillId="0" borderId="0" xfId="0" applyNumberFormat="1" applyFont="1"/>
    <xf numFmtId="10" fontId="4" fillId="3" borderId="0" xfId="0" applyNumberFormat="1" applyFont="1" applyFill="1"/>
    <xf numFmtId="0" fontId="2" fillId="0" borderId="0" xfId="0" applyFont="1" applyAlignment="1">
      <alignment horizontal="right"/>
    </xf>
    <xf numFmtId="180" fontId="2" fillId="0" borderId="0" xfId="47" applyNumberFormat="1" applyFont="1" applyAlignment="1"/>
    <xf numFmtId="178" fontId="2" fillId="0" borderId="0" xfId="0" applyNumberFormat="1" applyFont="1"/>
    <xf numFmtId="177" fontId="2" fillId="0" borderId="0" xfId="0" applyNumberFormat="1" applyFont="1"/>
    <xf numFmtId="176" fontId="2" fillId="0" borderId="0" xfId="0" applyNumberFormat="1" applyFont="1"/>
    <xf numFmtId="10" fontId="2" fillId="0" borderId="0" xfId="47" applyNumberFormat="1" applyFont="1" applyAlignment="1"/>
    <xf numFmtId="0" fontId="0" fillId="0" borderId="0" xfId="0" applyBorder="1"/>
    <xf numFmtId="0" fontId="0" fillId="4" borderId="0" xfId="0" applyFill="1" applyBorder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10">
    <dxf>
      <border>
        <left/>
        <right/>
        <top/>
        <bottom/>
      </border>
    </dxf>
    <dxf>
      <font>
        <color rgb="FFFF0000"/>
      </font>
    </dxf>
    <dxf>
      <font>
        <color rgb="FFFF0000"/>
      </font>
      <numFmt numFmtId="178" formatCode="0.00_ "/>
    </dxf>
    <dxf>
      <font>
        <color rgb="FFFF0000"/>
      </font>
      <numFmt numFmtId="177" formatCode="0.00_);[Red]\(0.00\)"/>
    </dxf>
    <dxf>
      <numFmt numFmtId="179" formatCode="0_ "/>
    </dxf>
    <dxf>
      <numFmt numFmtId="179" formatCode="0_ "/>
    </dxf>
    <dxf>
      <font>
        <color rgb="FF0070C0"/>
      </font>
    </dxf>
    <dxf>
      <font>
        <color rgb="FF0070C0"/>
      </font>
      <numFmt numFmtId="178" formatCode="0.00_ "/>
    </dxf>
    <dxf>
      <font>
        <color rgb="FF0070C0"/>
      </font>
      <numFmt numFmtId="177" formatCode="0.00_);[Red]\(0.00\)"/>
    </dxf>
    <dxf>
      <numFmt numFmtId="10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% RO</c:v>
                </c:pt>
              </c:strCache>
            </c:strRef>
          </c:tx>
          <c:spPr>
            <a:gradFill>
              <a:gsLst>
                <a:gs pos="0">
                  <a:srgbClr val="FF0000"/>
                </a:gs>
                <a:gs pos="50000">
                  <a:srgbClr val="FFFF00"/>
                </a:gs>
                <a:gs pos="100000">
                  <a:srgbClr val="0070C0"/>
                </a:gs>
              </a:gsLst>
              <a:lin ang="9300000" scaled="0"/>
            </a:gradFill>
            <a:ln w="12700">
              <a:solidFill>
                <a:schemeClr val="bg1"/>
              </a:solidFill>
            </a:ln>
            <a:effectLst/>
          </c:spPr>
          <c:invertIfNegative val="0"/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-5400000" spcFirstLastPara="0" vertOverflow="ellipsis" vert="horz" wrap="square" lIns="38100" tIns="19050" rIns="38100" bIns="19050" anchor="ctr" anchorCtr="1"/>
              <a:lstStyle/>
              <a:p>
                <a:pPr>
                  <a:defRPr lang="en-US" sz="7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Sheet1!$C$2:$C$10</c:f>
              <c:strCache>
                <c:ptCount val="9"/>
                <c:pt idx="0">
                  <c:v>&lt;10</c:v>
                </c:pt>
                <c:pt idx="1">
                  <c:v>10-19</c:v>
                </c:pt>
                <c:pt idx="2">
                  <c:v>20-29</c:v>
                </c:pt>
                <c:pt idx="3">
                  <c:v>30-39</c:v>
                </c:pt>
                <c:pt idx="4">
                  <c:v>40-49</c:v>
                </c:pt>
                <c:pt idx="5">
                  <c:v>50-59</c:v>
                </c:pt>
                <c:pt idx="6">
                  <c:v>60-69</c:v>
                </c:pt>
                <c:pt idx="7">
                  <c:v>70-79</c:v>
                </c:pt>
                <c:pt idx="8">
                  <c:v>80+</c:v>
                </c:pt>
              </c:strCache>
            </c:strRef>
          </c:cat>
          <c:val>
            <c:numRef>
              <c:f>Sheet1!$E$2:$E$10</c:f>
              <c:numCache>
                <c:formatCode>0.00%</c:formatCode>
                <c:ptCount val="9"/>
                <c:pt idx="0">
                  <c:v>0.0163398692810458</c:v>
                </c:pt>
                <c:pt idx="1">
                  <c:v>0.025599128540305</c:v>
                </c:pt>
                <c:pt idx="2">
                  <c:v>0.0898692810457516</c:v>
                </c:pt>
                <c:pt idx="3">
                  <c:v>0.183551198257081</c:v>
                </c:pt>
                <c:pt idx="4">
                  <c:v>0.272875816993464</c:v>
                </c:pt>
                <c:pt idx="5">
                  <c:v>0.203159041394336</c:v>
                </c:pt>
                <c:pt idx="6">
                  <c:v>0.124183006535948</c:v>
                </c:pt>
                <c:pt idx="7">
                  <c:v>0.0686274509803922</c:v>
                </c:pt>
                <c:pt idx="8">
                  <c:v>0.0157952069716776</c:v>
                </c:pt>
              </c:numCache>
            </c:numRef>
          </c:val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% IT (Mar 23)</c:v>
                </c:pt>
              </c:strCache>
            </c:strRef>
          </c:tx>
          <c:spPr>
            <a:gradFill>
              <a:gsLst>
                <a:gs pos="50000">
                  <a:schemeClr val="bg1"/>
                </a:gs>
                <a:gs pos="0">
                  <a:srgbClr val="FF0000"/>
                </a:gs>
                <a:gs pos="100000">
                  <a:srgbClr val="00B050"/>
                </a:gs>
              </a:gsLst>
              <a:lin ang="9300000" scaled="0"/>
            </a:gradFill>
            <a:ln w="12700">
              <a:solidFill>
                <a:schemeClr val="bg1"/>
              </a:solidFill>
            </a:ln>
            <a:effectLst/>
          </c:spPr>
          <c:invertIfNegative val="0"/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-5400000" spcFirstLastPara="0" vertOverflow="ellipsis" vert="horz" wrap="square" lIns="38100" tIns="19050" rIns="38100" bIns="19050" anchor="ctr" anchorCtr="1"/>
              <a:lstStyle/>
              <a:p>
                <a:pPr>
                  <a:defRPr lang="en-US" sz="7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Sheet1!$C$2:$C$10</c:f>
              <c:strCache>
                <c:ptCount val="9"/>
                <c:pt idx="0">
                  <c:v>&lt;10</c:v>
                </c:pt>
                <c:pt idx="1">
                  <c:v>10-19</c:v>
                </c:pt>
                <c:pt idx="2">
                  <c:v>20-29</c:v>
                </c:pt>
                <c:pt idx="3">
                  <c:v>30-39</c:v>
                </c:pt>
                <c:pt idx="4">
                  <c:v>40-49</c:v>
                </c:pt>
                <c:pt idx="5">
                  <c:v>50-59</c:v>
                </c:pt>
                <c:pt idx="6">
                  <c:v>60-69</c:v>
                </c:pt>
                <c:pt idx="7">
                  <c:v>70-79</c:v>
                </c:pt>
                <c:pt idx="8">
                  <c:v>80+</c:v>
                </c:pt>
              </c:strCache>
            </c:strRef>
          </c:cat>
          <c:val>
            <c:numRef>
              <c:f>Sheet1!$H$2:$H$10</c:f>
              <c:numCache>
                <c:formatCode>0.00%</c:formatCode>
                <c:ptCount val="9"/>
                <c:pt idx="0">
                  <c:v>0.00551174278533668</c:v>
                </c:pt>
                <c:pt idx="1">
                  <c:v>0.00669035445012566</c:v>
                </c:pt>
                <c:pt idx="2">
                  <c:v>0.0379928936649623</c:v>
                </c:pt>
                <c:pt idx="3">
                  <c:v>0.0692434353063524</c:v>
                </c:pt>
                <c:pt idx="4">
                  <c:v>0.125955455412081</c:v>
                </c:pt>
                <c:pt idx="5">
                  <c:v>0.195510876159113</c:v>
                </c:pt>
                <c:pt idx="6">
                  <c:v>0.180656902677875</c:v>
                </c:pt>
                <c:pt idx="7">
                  <c:v>0.1962041771384</c:v>
                </c:pt>
                <c:pt idx="8">
                  <c:v>0.182234162405754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5"/>
        <c:axId val="146217210"/>
        <c:axId val="822200493"/>
      </c:barChart>
      <c:scatterChart>
        <c:scatterStyle val="lineMarker"/>
        <c:varyColors val="0"/>
        <c:ser>
          <c:idx val="1"/>
          <c:order val="1"/>
          <c:tx>
            <c:strRef>
              <c:f>Sheet1!$F$1</c:f>
              <c:strCache>
                <c:ptCount val="1"/>
                <c:pt idx="0">
                  <c:v>Σ% RO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31750" cap="rnd">
                <a:solidFill>
                  <a:schemeClr val="bg1"/>
                </a:solidFill>
              </a:ln>
              <a:effectLst/>
            </c:spPr>
          </c:marker>
          <c:dLbls>
            <c:delete val="1"/>
          </c:dLbls>
          <c:xVal>
            <c:strRef>
              <c:f>Sheet1!$C$2:$C$10</c:f>
              <c:strCache>
                <c:ptCount val="9"/>
                <c:pt idx="0">
                  <c:v>&lt;10</c:v>
                </c:pt>
                <c:pt idx="1">
                  <c:v>10-19</c:v>
                </c:pt>
                <c:pt idx="2">
                  <c:v>20-29</c:v>
                </c:pt>
                <c:pt idx="3">
                  <c:v>30-39</c:v>
                </c:pt>
                <c:pt idx="4">
                  <c:v>40-49</c:v>
                </c:pt>
                <c:pt idx="5">
                  <c:v>50-59</c:v>
                </c:pt>
                <c:pt idx="6">
                  <c:v>60-69</c:v>
                </c:pt>
                <c:pt idx="7">
                  <c:v>70-79</c:v>
                </c:pt>
                <c:pt idx="8">
                  <c:v>80+</c:v>
                </c:pt>
              </c:strCache>
            </c:strRef>
          </c:xVal>
          <c:yVal>
            <c:numRef>
              <c:f>Sheet1!$F$2:$F$10</c:f>
              <c:numCache>
                <c:formatCode>0.00%</c:formatCode>
                <c:ptCount val="9"/>
                <c:pt idx="0">
                  <c:v>0.0163398692810458</c:v>
                </c:pt>
                <c:pt idx="1">
                  <c:v>0.0419389978213508</c:v>
                </c:pt>
                <c:pt idx="2">
                  <c:v>0.131808278867102</c:v>
                </c:pt>
                <c:pt idx="3">
                  <c:v>0.315359477124183</c:v>
                </c:pt>
                <c:pt idx="4">
                  <c:v>0.588235294117647</c:v>
                </c:pt>
                <c:pt idx="5">
                  <c:v>0.791394335511983</c:v>
                </c:pt>
                <c:pt idx="6">
                  <c:v>0.91557734204793</c:v>
                </c:pt>
                <c:pt idx="7">
                  <c:v>0.984204793028322</c:v>
                </c:pt>
                <c:pt idx="8">
                  <c:v>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Sheet1!$I$1</c:f>
              <c:strCache>
                <c:ptCount val="1"/>
                <c:pt idx="0">
                  <c:v>Σ% IT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31750" cap="rnd" cmpd="sng">
                <a:solidFill>
                  <a:schemeClr val="bg1"/>
                </a:solidFill>
                <a:prstDash val="solid"/>
              </a:ln>
              <a:effectLst/>
            </c:spPr>
          </c:marker>
          <c:dLbls>
            <c:delete val="1"/>
          </c:dLbls>
          <c:xVal>
            <c:strRef>
              <c:f>Sheet1!$C$2:$C$10</c:f>
              <c:strCache>
                <c:ptCount val="9"/>
                <c:pt idx="0">
                  <c:v>&lt;10</c:v>
                </c:pt>
                <c:pt idx="1">
                  <c:v>10-19</c:v>
                </c:pt>
                <c:pt idx="2">
                  <c:v>20-29</c:v>
                </c:pt>
                <c:pt idx="3">
                  <c:v>30-39</c:v>
                </c:pt>
                <c:pt idx="4">
                  <c:v>40-49</c:v>
                </c:pt>
                <c:pt idx="5">
                  <c:v>50-59</c:v>
                </c:pt>
                <c:pt idx="6">
                  <c:v>60-69</c:v>
                </c:pt>
                <c:pt idx="7">
                  <c:v>70-79</c:v>
                </c:pt>
                <c:pt idx="8">
                  <c:v>80+</c:v>
                </c:pt>
              </c:strCache>
            </c:strRef>
          </c:xVal>
          <c:yVal>
            <c:numRef>
              <c:f>Sheet1!$I$2:$I$10</c:f>
              <c:numCache>
                <c:formatCode>0.00%</c:formatCode>
                <c:ptCount val="9"/>
                <c:pt idx="0">
                  <c:v>0.005</c:v>
                </c:pt>
                <c:pt idx="1">
                  <c:v>0.0116903544501257</c:v>
                </c:pt>
                <c:pt idx="2">
                  <c:v>0.049683248115088</c:v>
                </c:pt>
                <c:pt idx="3">
                  <c:v>0.11892668342144</c:v>
                </c:pt>
                <c:pt idx="4">
                  <c:v>0.244882138833521</c:v>
                </c:pt>
                <c:pt idx="5">
                  <c:v>0.440393014992634</c:v>
                </c:pt>
                <c:pt idx="6">
                  <c:v>0.621049917670509</c:v>
                </c:pt>
                <c:pt idx="7">
                  <c:v>0.817254094808909</c:v>
                </c:pt>
                <c:pt idx="8">
                  <c:v>0.999488257214663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048075"/>
        <c:axId val="454808611"/>
      </c:scatterChart>
      <c:catAx>
        <c:axId val="14621721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822200493"/>
        <c:crosses val="autoZero"/>
        <c:auto val="1"/>
        <c:lblAlgn val="ctr"/>
        <c:lblOffset val="100"/>
        <c:noMultiLvlLbl val="0"/>
      </c:catAx>
      <c:valAx>
        <c:axId val="822200493"/>
        <c:scaling>
          <c:orientation val="minMax"/>
        </c:scaling>
        <c:delete val="0"/>
        <c:axPos val="l"/>
        <c:majorGridlines>
          <c:spPr>
            <a:ln w="19050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en-US"/>
                  <a:t>% cases by age</a:t>
                </a:r>
                <a:endParaRPr lang="en-US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46217210"/>
        <c:crosses val="autoZero"/>
        <c:crossBetween val="between"/>
      </c:valAx>
      <c:valAx>
        <c:axId val="138048075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454808611"/>
        <c:crosses val="autoZero"/>
        <c:crossBetween val="midCat"/>
      </c:valAx>
      <c:valAx>
        <c:axId val="454808611"/>
        <c:scaling>
          <c:orientation val="minMax"/>
          <c:max val="1.01"/>
          <c:min val="0"/>
        </c:scaling>
        <c:delete val="0"/>
        <c:axPos val="r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en-US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% cumulative cases by age</a:t>
                </a:r>
                <a:endParaRPr lang="en-US" altLang="en-US">
                  <a:solidFill>
                    <a:schemeClr val="tx1">
                      <a:lumMod val="50000"/>
                      <a:lumOff val="50000"/>
                    </a:schemeClr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%" sourceLinked="0"/>
        <c:majorTickMark val="cross"/>
        <c:minorTickMark val="none"/>
        <c:tickLblPos val="nextTo"/>
        <c:spPr>
          <a:noFill/>
          <a:ln>
            <a:solidFill>
              <a:schemeClr val="bg1">
                <a:lumMod val="65000"/>
              </a:schemeClr>
            </a:solidFill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8048075"/>
        <c:crosses val="max"/>
        <c:crossBetween val="midCat"/>
        <c:majorUnit val="0.25"/>
      </c:valAx>
      <c:spPr>
        <a:solidFill>
          <a:schemeClr val="bg1">
            <a:lumMod val="95000"/>
          </a:schemeClr>
        </a:solidFill>
        <a:ln>
          <a:noFill/>
        </a:ln>
        <a:effectLst/>
      </c:spPr>
    </c:plotArea>
    <c:legend>
      <c:legendPos val="l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>
        <c:manualLayout>
          <c:xMode val="edge"/>
          <c:yMode val="edge"/>
          <c:x val="0.159722222222222"/>
          <c:y val="0.0699074074074074"/>
          <c:w val="0.225"/>
          <c:h val="0.24837962962963"/>
        </c:manualLayout>
      </c:layout>
      <c:overlay val="1"/>
      <c:spPr>
        <a:solidFill>
          <a:schemeClr val="bg1">
            <a:lumMod val="95000"/>
          </a:schemeClr>
        </a:solidFill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19050" cap="flat" cmpd="sng" algn="ctr">
      <a:solidFill>
        <a:schemeClr val="bg1"/>
      </a:solidFill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absolute">
    <xdr:from>
      <xdr:col>0</xdr:col>
      <xdr:colOff>479425</xdr:colOff>
      <xdr:row>13</xdr:row>
      <xdr:rowOff>184150</xdr:rowOff>
    </xdr:from>
    <xdr:to>
      <xdr:col>9</xdr:col>
      <xdr:colOff>374650</xdr:colOff>
      <xdr:row>28</xdr:row>
      <xdr:rowOff>69850</xdr:rowOff>
    </xdr:to>
    <xdr:graphicFrame>
      <xdr:nvGraphicFramePr>
        <xdr:cNvPr id="3" name="Chart 2"/>
        <xdr:cNvGraphicFramePr/>
      </xdr:nvGraphicFramePr>
      <xdr:xfrm>
        <a:off x="479425" y="26606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e2" displayName="Table2" ref="A1:L51" totalsRowShown="0">
  <autoFilter ref="A1:L51"/>
  <sortState ref="A1:L51">
    <sortCondition ref="A1"/>
  </sortState>
  <tableColumns count="12">
    <tableColumn id="1" name="ID"/>
    <tableColumn id="2" name="Sex"/>
    <tableColumn id="3" name="Age"/>
    <tableColumn id="4" name="Residence"/>
    <tableColumn id="5" name="Cause of death"/>
    <tableColumn id="6" name="Dx"/>
    <tableColumn id="7" name="Circumstances"/>
    <tableColumn id="8" name="Nature"/>
    <tableColumn id="9" name="*Grade of trauma"/>
    <tableColumn id="10" name="Other lesions"/>
    <tableColumn id="11" name="Blood alcohol"/>
    <tableColumn id="12" name="Blood alcohol level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D2:E23" totalsRowShown="0">
  <autoFilter ref="D2:E23"/>
  <tableColumns count="2">
    <tableColumn id="1" name="Column1"/>
    <tableColumn id="2" name="Column2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" name="Table1" displayName="Table1" ref="C1:T11" totalsRowCount="1">
  <autoFilter ref="C1:T10"/>
  <tableColumns count="18">
    <tableColumn id="1" name="Age" totalsRowLabel="Total"/>
    <tableColumn id="2" name="N RO" totalsRowFunction="custom">
      <totalsRowFormula>SUBTOTAL(109,$D$2:$D$10)</totalsRowFormula>
    </tableColumn>
    <tableColumn id="3" name="% RO"/>
    <tableColumn id="4" name="Σ% RO"/>
    <tableColumn id="5" name="N IT (Mar 23)" totalsRowFunction="sum"/>
    <tableColumn id="6" name="% IT (Mar 23)"/>
    <tableColumn id="7" name="Σ% IT"/>
    <tableColumn id="8" name="Deaths RO" totalsRowFunction="sum"/>
    <tableColumn id="9" name="Mortality CN (Feb 11)" totalsRowFunction="custom">
      <totalsRowFormula>L11/D11</totalsRowFormula>
    </tableColumn>
    <tableColumn id="10" name="Exp. Deaths RO" totalsRowFunction="sum" dataDxfId="1"/>
    <tableColumn id="11" name="Exp. Deaths RO (10k cases)" totalsRowFunction="sum" dataDxfId="2"/>
    <tableColumn id="12" name="Exp. Deaths IT (59138k cases)" totalsRowFunction="sum" dataDxfId="3"/>
    <tableColumn id="13" name="Deaths IT (Mar 23)" totalsRowFunction="sum" dataDxfId="4"/>
    <tableColumn id="14" name="Mortality IT (Mar 23)" totalsRowFunction="custom">
      <totalsRowFormula>Q11/D11</totalsRowFormula>
       dataDxfId="5"
    </tableColumn>
    <tableColumn id="15" name="Exp. Deaths RO2" totalsRowFunction="sum" dataDxfId="6"/>
    <tableColumn id="16" name="Exp. Deaths RO (10k cases)2" totalsRowFunction="sum" dataDxfId="7"/>
    <tableColumn id="17" name="Exp. Deaths IT (59138 cases)2" totalsRowFunction="sum" dataDxfId="8"/>
    <tableColumn id="18" name="Mortality ICL (March 16)" dataDxfId="9"/>
  </tableColumns>
  <tableStyleInfo name="TableStyleMedium11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51"/>
  <sheetViews>
    <sheetView topLeftCell="E1" workbookViewId="0">
      <selection activeCell="F4" sqref="F4"/>
    </sheetView>
  </sheetViews>
  <sheetFormatPr defaultColWidth="9.14285714285714" defaultRowHeight="15"/>
  <cols>
    <col min="1" max="1" width="3.57142857142857" customWidth="1"/>
    <col min="2" max="2" width="4.71428571428571" customWidth="1"/>
    <col min="3" max="3" width="5" customWidth="1"/>
    <col min="4" max="4" width="10.8571428571429" customWidth="1"/>
    <col min="5" max="5" width="30.2857142857143" customWidth="1"/>
    <col min="6" max="6" width="40" customWidth="1"/>
    <col min="7" max="7" width="14.8571428571429" customWidth="1"/>
    <col min="8" max="8" width="15.4285714285714" customWidth="1"/>
    <col min="9" max="9" width="17.8571428571429" customWidth="1"/>
    <col min="10" max="10" width="60.1428571428571" customWidth="1"/>
    <col min="11" max="11" width="14" customWidth="1"/>
    <col min="12" max="12" width="19.4285714285714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 s="24">
        <v>1</v>
      </c>
      <c r="B2" s="24" t="s">
        <v>12</v>
      </c>
      <c r="C2" s="24">
        <v>37</v>
      </c>
      <c r="D2" s="24" t="s">
        <v>13</v>
      </c>
      <c r="E2" s="24" t="s">
        <v>14</v>
      </c>
      <c r="F2" s="24" t="s">
        <v>14</v>
      </c>
      <c r="G2" s="24" t="s">
        <v>15</v>
      </c>
      <c r="H2" s="24" t="s">
        <v>16</v>
      </c>
      <c r="I2" s="24" t="s">
        <v>17</v>
      </c>
      <c r="J2" s="24" t="s">
        <v>18</v>
      </c>
      <c r="K2" s="24" t="s">
        <v>19</v>
      </c>
      <c r="L2">
        <v>1.3</v>
      </c>
    </row>
    <row r="3" spans="1:12">
      <c r="A3" s="24">
        <v>2</v>
      </c>
      <c r="B3" s="24" t="s">
        <v>12</v>
      </c>
      <c r="C3" s="24">
        <v>43</v>
      </c>
      <c r="D3" s="24" t="s">
        <v>13</v>
      </c>
      <c r="E3" s="24" t="s">
        <v>20</v>
      </c>
      <c r="F3" s="24" t="s">
        <v>14</v>
      </c>
      <c r="G3" s="24" t="s">
        <v>15</v>
      </c>
      <c r="H3" s="24" t="s">
        <v>16</v>
      </c>
      <c r="I3" s="24" t="s">
        <v>17</v>
      </c>
      <c r="J3" s="24" t="s">
        <v>21</v>
      </c>
      <c r="K3" s="24" t="s">
        <v>19</v>
      </c>
      <c r="L3">
        <v>4</v>
      </c>
    </row>
    <row r="4" spans="1:11">
      <c r="A4" s="24">
        <v>3</v>
      </c>
      <c r="B4" s="24" t="s">
        <v>12</v>
      </c>
      <c r="C4" s="24">
        <v>72</v>
      </c>
      <c r="D4" s="24" t="s">
        <v>22</v>
      </c>
      <c r="E4" s="24" t="s">
        <v>23</v>
      </c>
      <c r="F4" s="24" t="s">
        <v>24</v>
      </c>
      <c r="G4" s="24" t="s">
        <v>25</v>
      </c>
      <c r="H4" s="24" t="s">
        <v>26</v>
      </c>
      <c r="I4" s="24" t="s">
        <v>17</v>
      </c>
      <c r="J4" s="24" t="s">
        <v>27</v>
      </c>
      <c r="K4" s="24" t="s">
        <v>28</v>
      </c>
    </row>
    <row r="5" spans="1:11">
      <c r="A5" s="24">
        <v>4</v>
      </c>
      <c r="B5" s="24" t="s">
        <v>12</v>
      </c>
      <c r="C5" s="24">
        <v>50</v>
      </c>
      <c r="D5" s="24" t="s">
        <v>13</v>
      </c>
      <c r="E5" s="24" t="s">
        <v>29</v>
      </c>
      <c r="F5" s="24" t="s">
        <v>30</v>
      </c>
      <c r="G5" s="24" t="s">
        <v>15</v>
      </c>
      <c r="H5" s="24" t="s">
        <v>16</v>
      </c>
      <c r="I5" s="24" t="s">
        <v>17</v>
      </c>
      <c r="J5" s="24" t="s">
        <v>31</v>
      </c>
      <c r="K5" s="24" t="s">
        <v>28</v>
      </c>
    </row>
    <row r="6" spans="1:11">
      <c r="A6" s="24">
        <v>5</v>
      </c>
      <c r="B6" s="24" t="s">
        <v>12</v>
      </c>
      <c r="C6" s="25">
        <v>20</v>
      </c>
      <c r="D6" s="24" t="s">
        <v>32</v>
      </c>
      <c r="E6" s="24" t="s">
        <v>33</v>
      </c>
      <c r="F6" s="24" t="s">
        <v>30</v>
      </c>
      <c r="G6" s="24" t="s">
        <v>15</v>
      </c>
      <c r="H6" s="24" t="s">
        <v>16</v>
      </c>
      <c r="I6" s="24" t="s">
        <v>17</v>
      </c>
      <c r="J6" s="24" t="s">
        <v>34</v>
      </c>
      <c r="K6" s="24" t="s">
        <v>28</v>
      </c>
    </row>
    <row r="7" spans="1:11">
      <c r="A7" s="24">
        <v>6</v>
      </c>
      <c r="B7" s="24" t="s">
        <v>12</v>
      </c>
      <c r="C7" s="24">
        <v>48</v>
      </c>
      <c r="D7" s="24" t="s">
        <v>13</v>
      </c>
      <c r="E7" s="24" t="s">
        <v>14</v>
      </c>
      <c r="F7" s="24" t="s">
        <v>30</v>
      </c>
      <c r="G7" s="24" t="s">
        <v>15</v>
      </c>
      <c r="H7" s="24" t="s">
        <v>16</v>
      </c>
      <c r="I7" s="24" t="s">
        <v>17</v>
      </c>
      <c r="J7" s="24" t="s">
        <v>35</v>
      </c>
      <c r="K7" s="24" t="s">
        <v>28</v>
      </c>
    </row>
    <row r="8" spans="1:11">
      <c r="A8" s="24">
        <v>7</v>
      </c>
      <c r="B8" s="24" t="s">
        <v>36</v>
      </c>
      <c r="C8" s="24">
        <v>45</v>
      </c>
      <c r="D8" s="24" t="s">
        <v>13</v>
      </c>
      <c r="E8" s="24" t="s">
        <v>14</v>
      </c>
      <c r="F8" s="24" t="s">
        <v>30</v>
      </c>
      <c r="G8" s="24" t="s">
        <v>15</v>
      </c>
      <c r="H8" s="24" t="s">
        <v>16</v>
      </c>
      <c r="I8" s="24" t="s">
        <v>17</v>
      </c>
      <c r="J8" s="24" t="s">
        <v>37</v>
      </c>
      <c r="K8" s="24" t="s">
        <v>28</v>
      </c>
    </row>
    <row r="9" spans="1:11">
      <c r="A9" s="24">
        <v>8</v>
      </c>
      <c r="B9" s="24" t="s">
        <v>36</v>
      </c>
      <c r="C9" s="24">
        <v>60</v>
      </c>
      <c r="D9" s="24" t="s">
        <v>13</v>
      </c>
      <c r="E9" s="24" t="s">
        <v>38</v>
      </c>
      <c r="F9" s="24" t="s">
        <v>39</v>
      </c>
      <c r="G9" s="24" t="s">
        <v>15</v>
      </c>
      <c r="H9" s="24" t="s">
        <v>16</v>
      </c>
      <c r="I9" s="24" t="s">
        <v>17</v>
      </c>
      <c r="J9" s="24" t="s">
        <v>40</v>
      </c>
      <c r="K9" s="24" t="s">
        <v>28</v>
      </c>
    </row>
    <row r="10" spans="1:11">
      <c r="A10" s="24">
        <v>9</v>
      </c>
      <c r="B10" s="24" t="s">
        <v>12</v>
      </c>
      <c r="C10" s="24">
        <v>31</v>
      </c>
      <c r="D10" s="24" t="s">
        <v>13</v>
      </c>
      <c r="E10" s="24" t="s">
        <v>14</v>
      </c>
      <c r="F10" s="24" t="s">
        <v>30</v>
      </c>
      <c r="G10" s="24" t="s">
        <v>41</v>
      </c>
      <c r="H10" s="24" t="s">
        <v>41</v>
      </c>
      <c r="I10" s="24" t="s">
        <v>17</v>
      </c>
      <c r="J10" s="24" t="s">
        <v>42</v>
      </c>
      <c r="K10" s="24" t="s">
        <v>28</v>
      </c>
    </row>
    <row r="11" spans="1:12">
      <c r="A11" s="24">
        <v>10</v>
      </c>
      <c r="B11" s="24" t="s">
        <v>12</v>
      </c>
      <c r="C11" s="24">
        <v>66</v>
      </c>
      <c r="D11" s="24" t="s">
        <v>13</v>
      </c>
      <c r="E11" s="24" t="s">
        <v>14</v>
      </c>
      <c r="F11" s="24" t="s">
        <v>30</v>
      </c>
      <c r="G11" s="24" t="s">
        <v>15</v>
      </c>
      <c r="H11" s="24" t="s">
        <v>16</v>
      </c>
      <c r="I11" s="24" t="s">
        <v>17</v>
      </c>
      <c r="J11" s="24" t="s">
        <v>43</v>
      </c>
      <c r="K11" s="24" t="s">
        <v>19</v>
      </c>
      <c r="L11">
        <v>3.1</v>
      </c>
    </row>
    <row r="12" spans="1:11">
      <c r="A12" s="24">
        <v>11</v>
      </c>
      <c r="B12" s="24" t="s">
        <v>12</v>
      </c>
      <c r="C12" s="24">
        <v>14</v>
      </c>
      <c r="D12" s="24" t="s">
        <v>44</v>
      </c>
      <c r="E12" s="24" t="s">
        <v>33</v>
      </c>
      <c r="F12" s="24" t="s">
        <v>30</v>
      </c>
      <c r="G12" s="24" t="s">
        <v>15</v>
      </c>
      <c r="H12" s="24" t="s">
        <v>16</v>
      </c>
      <c r="I12" s="24" t="s">
        <v>17</v>
      </c>
      <c r="J12" s="24" t="s">
        <v>45</v>
      </c>
      <c r="K12" s="24" t="s">
        <v>28</v>
      </c>
    </row>
    <row r="13" spans="1:12">
      <c r="A13" s="24">
        <v>12</v>
      </c>
      <c r="B13" s="24" t="s">
        <v>36</v>
      </c>
      <c r="C13" s="25">
        <v>18</v>
      </c>
      <c r="D13" s="24" t="s">
        <v>13</v>
      </c>
      <c r="E13" s="24" t="s">
        <v>33</v>
      </c>
      <c r="F13" s="24" t="s">
        <v>46</v>
      </c>
      <c r="G13" s="24" t="s">
        <v>15</v>
      </c>
      <c r="H13" s="24" t="s">
        <v>16</v>
      </c>
      <c r="I13" s="24" t="s">
        <v>17</v>
      </c>
      <c r="J13" s="24" t="s">
        <v>47</v>
      </c>
      <c r="K13" s="24" t="s">
        <v>19</v>
      </c>
      <c r="L13">
        <v>1.5</v>
      </c>
    </row>
    <row r="14" spans="1:11">
      <c r="A14" s="24">
        <v>13</v>
      </c>
      <c r="B14" s="24" t="s">
        <v>12</v>
      </c>
      <c r="C14" s="24">
        <v>50</v>
      </c>
      <c r="D14" s="24" t="s">
        <v>32</v>
      </c>
      <c r="E14" s="24" t="s">
        <v>33</v>
      </c>
      <c r="F14" s="24" t="s">
        <v>46</v>
      </c>
      <c r="G14" s="24" t="s">
        <v>48</v>
      </c>
      <c r="H14" s="24" t="s">
        <v>48</v>
      </c>
      <c r="I14" s="24" t="s">
        <v>17</v>
      </c>
      <c r="J14" s="24" t="s">
        <v>45</v>
      </c>
      <c r="K14" s="24" t="s">
        <v>28</v>
      </c>
    </row>
    <row r="15" spans="1:12">
      <c r="A15" s="24">
        <v>14</v>
      </c>
      <c r="B15" s="24" t="s">
        <v>12</v>
      </c>
      <c r="C15" s="24">
        <v>77</v>
      </c>
      <c r="D15" s="24" t="s">
        <v>13</v>
      </c>
      <c r="E15" s="24" t="s">
        <v>14</v>
      </c>
      <c r="F15" s="24" t="s">
        <v>49</v>
      </c>
      <c r="G15" s="24" t="s">
        <v>50</v>
      </c>
      <c r="H15" s="24" t="s">
        <v>26</v>
      </c>
      <c r="I15" s="24" t="s">
        <v>17</v>
      </c>
      <c r="J15" s="24" t="s">
        <v>45</v>
      </c>
      <c r="K15" s="24" t="s">
        <v>28</v>
      </c>
      <c r="L15" s="24"/>
    </row>
    <row r="16" spans="1:12">
      <c r="A16" s="24">
        <v>15</v>
      </c>
      <c r="B16" s="24" t="s">
        <v>36</v>
      </c>
      <c r="C16" s="24">
        <v>69</v>
      </c>
      <c r="D16" s="24" t="s">
        <v>13</v>
      </c>
      <c r="E16" s="24" t="s">
        <v>33</v>
      </c>
      <c r="F16" s="24" t="s">
        <v>30</v>
      </c>
      <c r="G16" s="24" t="s">
        <v>15</v>
      </c>
      <c r="H16" s="24" t="s">
        <v>16</v>
      </c>
      <c r="I16" s="24" t="s">
        <v>17</v>
      </c>
      <c r="J16" s="24" t="s">
        <v>51</v>
      </c>
      <c r="K16" s="24" t="s">
        <v>28</v>
      </c>
      <c r="L16" s="24"/>
    </row>
    <row r="17" spans="1:11">
      <c r="A17" s="24">
        <v>16</v>
      </c>
      <c r="B17" s="24" t="s">
        <v>12</v>
      </c>
      <c r="C17" s="24">
        <v>76</v>
      </c>
      <c r="D17" s="24" t="s">
        <v>13</v>
      </c>
      <c r="E17" s="24" t="s">
        <v>33</v>
      </c>
      <c r="F17" s="24" t="s">
        <v>23</v>
      </c>
      <c r="G17" s="24" t="s">
        <v>26</v>
      </c>
      <c r="H17" s="25" t="s">
        <v>26</v>
      </c>
      <c r="I17" s="24" t="s">
        <v>17</v>
      </c>
      <c r="J17" s="24" t="s">
        <v>40</v>
      </c>
      <c r="K17" s="24" t="s">
        <v>28</v>
      </c>
    </row>
    <row r="18" spans="1:11">
      <c r="A18" s="24">
        <v>17</v>
      </c>
      <c r="B18" s="24" t="s">
        <v>12</v>
      </c>
      <c r="C18" s="24">
        <v>59</v>
      </c>
      <c r="D18" s="24" t="s">
        <v>13</v>
      </c>
      <c r="E18" s="24" t="s">
        <v>52</v>
      </c>
      <c r="F18" s="24" t="s">
        <v>53</v>
      </c>
      <c r="G18" s="24" t="s">
        <v>15</v>
      </c>
      <c r="H18" s="24" t="s">
        <v>16</v>
      </c>
      <c r="I18" s="24" t="s">
        <v>17</v>
      </c>
      <c r="J18" s="24" t="s">
        <v>51</v>
      </c>
      <c r="K18" s="24" t="s">
        <v>28</v>
      </c>
    </row>
    <row r="19" spans="1:11">
      <c r="A19" s="24">
        <v>18</v>
      </c>
      <c r="B19" s="24" t="s">
        <v>36</v>
      </c>
      <c r="C19" s="24">
        <v>71</v>
      </c>
      <c r="D19" s="24" t="s">
        <v>13</v>
      </c>
      <c r="E19" s="24" t="s">
        <v>33</v>
      </c>
      <c r="F19" s="24" t="s">
        <v>53</v>
      </c>
      <c r="G19" s="24" t="s">
        <v>15</v>
      </c>
      <c r="H19" s="24" t="s">
        <v>16</v>
      </c>
      <c r="I19" s="24" t="s">
        <v>17</v>
      </c>
      <c r="J19" s="24" t="s">
        <v>47</v>
      </c>
      <c r="K19" s="24" t="s">
        <v>28</v>
      </c>
    </row>
    <row r="20" spans="1:11">
      <c r="A20" s="24">
        <v>19</v>
      </c>
      <c r="B20" s="24" t="s">
        <v>36</v>
      </c>
      <c r="C20" s="24">
        <v>85</v>
      </c>
      <c r="D20" s="24" t="s">
        <v>32</v>
      </c>
      <c r="E20" s="24" t="s">
        <v>14</v>
      </c>
      <c r="F20" s="24" t="s">
        <v>53</v>
      </c>
      <c r="G20" s="24" t="s">
        <v>15</v>
      </c>
      <c r="H20" s="24" t="s">
        <v>16</v>
      </c>
      <c r="I20" s="24" t="s">
        <v>17</v>
      </c>
      <c r="J20" s="24" t="s">
        <v>54</v>
      </c>
      <c r="K20" s="24" t="s">
        <v>28</v>
      </c>
    </row>
    <row r="21" spans="1:12">
      <c r="A21" s="24">
        <v>20</v>
      </c>
      <c r="B21" s="24" t="s">
        <v>36</v>
      </c>
      <c r="C21" s="24">
        <v>61</v>
      </c>
      <c r="D21" s="24" t="s">
        <v>13</v>
      </c>
      <c r="E21" s="24" t="s">
        <v>33</v>
      </c>
      <c r="F21" s="24" t="s">
        <v>55</v>
      </c>
      <c r="G21" s="24" t="s">
        <v>15</v>
      </c>
      <c r="H21" s="24" t="s">
        <v>16</v>
      </c>
      <c r="I21" s="24" t="s">
        <v>17</v>
      </c>
      <c r="J21" s="24" t="s">
        <v>56</v>
      </c>
      <c r="K21" s="24" t="s">
        <v>19</v>
      </c>
      <c r="L21">
        <v>1</v>
      </c>
    </row>
    <row r="22" spans="1:11">
      <c r="A22" s="24">
        <v>21</v>
      </c>
      <c r="B22" s="24" t="s">
        <v>12</v>
      </c>
      <c r="C22" s="24">
        <v>67</v>
      </c>
      <c r="D22" s="24" t="s">
        <v>57</v>
      </c>
      <c r="E22" s="24" t="s">
        <v>14</v>
      </c>
      <c r="F22" s="24" t="s">
        <v>30</v>
      </c>
      <c r="G22" s="24" t="s">
        <v>58</v>
      </c>
      <c r="H22" s="24" t="s">
        <v>59</v>
      </c>
      <c r="I22" s="24" t="s">
        <v>17</v>
      </c>
      <c r="J22" s="24" t="s">
        <v>60</v>
      </c>
      <c r="K22" s="24" t="s">
        <v>28</v>
      </c>
    </row>
    <row r="23" spans="1:12">
      <c r="A23" s="24">
        <v>22</v>
      </c>
      <c r="B23" s="24" t="s">
        <v>12</v>
      </c>
      <c r="C23" s="24">
        <v>59</v>
      </c>
      <c r="D23" s="24" t="s">
        <v>13</v>
      </c>
      <c r="E23" s="24" t="s">
        <v>52</v>
      </c>
      <c r="F23" s="24" t="s">
        <v>52</v>
      </c>
      <c r="G23" s="24" t="s">
        <v>15</v>
      </c>
      <c r="H23" s="24" t="s">
        <v>16</v>
      </c>
      <c r="I23" s="24" t="s">
        <v>17</v>
      </c>
      <c r="J23" s="24" t="s">
        <v>43</v>
      </c>
      <c r="K23" s="24" t="s">
        <v>28</v>
      </c>
      <c r="L23" s="24"/>
    </row>
    <row r="24" spans="1:11">
      <c r="A24" s="24">
        <v>23</v>
      </c>
      <c r="B24" s="24" t="s">
        <v>12</v>
      </c>
      <c r="C24" s="24">
        <v>64</v>
      </c>
      <c r="D24" s="24" t="s">
        <v>13</v>
      </c>
      <c r="E24" s="24" t="s">
        <v>52</v>
      </c>
      <c r="F24" s="24" t="s">
        <v>23</v>
      </c>
      <c r="G24" s="24" t="s">
        <v>50</v>
      </c>
      <c r="H24" s="24" t="s">
        <v>26</v>
      </c>
      <c r="I24" s="24" t="s">
        <v>17</v>
      </c>
      <c r="J24" s="24" t="s">
        <v>61</v>
      </c>
      <c r="K24" s="24" t="s">
        <v>28</v>
      </c>
    </row>
    <row r="25" spans="1:11">
      <c r="A25" s="24">
        <v>24</v>
      </c>
      <c r="B25" s="24" t="s">
        <v>12</v>
      </c>
      <c r="C25" s="24">
        <v>53</v>
      </c>
      <c r="D25" s="24" t="s">
        <v>13</v>
      </c>
      <c r="E25" s="24" t="s">
        <v>33</v>
      </c>
      <c r="F25" s="24" t="s">
        <v>62</v>
      </c>
      <c r="G25" s="24" t="s">
        <v>63</v>
      </c>
      <c r="H25" s="24" t="s">
        <v>26</v>
      </c>
      <c r="I25" s="24" t="s">
        <v>17</v>
      </c>
      <c r="J25" s="24" t="s">
        <v>56</v>
      </c>
      <c r="K25" s="24" t="s">
        <v>28</v>
      </c>
    </row>
    <row r="26" spans="1:11">
      <c r="A26" s="24">
        <v>25</v>
      </c>
      <c r="B26" s="24" t="s">
        <v>12</v>
      </c>
      <c r="C26" s="24">
        <v>31</v>
      </c>
      <c r="D26" s="24" t="s">
        <v>13</v>
      </c>
      <c r="E26" s="24" t="s">
        <v>52</v>
      </c>
      <c r="F26" s="24" t="s">
        <v>52</v>
      </c>
      <c r="G26" s="24" t="s">
        <v>15</v>
      </c>
      <c r="H26" s="24" t="s">
        <v>16</v>
      </c>
      <c r="I26" s="24" t="s">
        <v>17</v>
      </c>
      <c r="J26" s="24" t="s">
        <v>64</v>
      </c>
      <c r="K26" s="24" t="s">
        <v>28</v>
      </c>
    </row>
    <row r="27" spans="1:12">
      <c r="A27" s="24">
        <v>26</v>
      </c>
      <c r="B27" s="24" t="s">
        <v>12</v>
      </c>
      <c r="C27" s="24">
        <v>81</v>
      </c>
      <c r="D27" s="24" t="s">
        <v>13</v>
      </c>
      <c r="E27" s="24" t="s">
        <v>33</v>
      </c>
      <c r="F27" s="24" t="s">
        <v>65</v>
      </c>
      <c r="G27" s="24" t="s">
        <v>66</v>
      </c>
      <c r="H27" s="24" t="s">
        <v>16</v>
      </c>
      <c r="I27" s="24" t="s">
        <v>17</v>
      </c>
      <c r="J27" s="24" t="s">
        <v>67</v>
      </c>
      <c r="K27" s="24" t="s">
        <v>28</v>
      </c>
      <c r="L27" s="24"/>
    </row>
    <row r="28" spans="1:11">
      <c r="A28" s="24">
        <v>27</v>
      </c>
      <c r="B28" s="24" t="s">
        <v>12</v>
      </c>
      <c r="C28" s="24">
        <v>66</v>
      </c>
      <c r="D28" s="24" t="s">
        <v>13</v>
      </c>
      <c r="E28" s="24" t="s">
        <v>33</v>
      </c>
      <c r="F28" s="24" t="s">
        <v>23</v>
      </c>
      <c r="G28" s="24" t="s">
        <v>26</v>
      </c>
      <c r="H28" s="24" t="s">
        <v>26</v>
      </c>
      <c r="I28" s="24" t="s">
        <v>17</v>
      </c>
      <c r="J28" s="24" t="s">
        <v>61</v>
      </c>
      <c r="K28" s="24" t="s">
        <v>28</v>
      </c>
    </row>
    <row r="29" spans="1:12">
      <c r="A29" s="24">
        <v>28</v>
      </c>
      <c r="B29" s="24" t="s">
        <v>12</v>
      </c>
      <c r="C29" s="24">
        <v>34</v>
      </c>
      <c r="D29" s="24" t="s">
        <v>13</v>
      </c>
      <c r="E29" s="24" t="s">
        <v>33</v>
      </c>
      <c r="F29" s="24" t="s">
        <v>52</v>
      </c>
      <c r="G29" s="24" t="s">
        <v>15</v>
      </c>
      <c r="H29" s="24" t="s">
        <v>16</v>
      </c>
      <c r="I29" s="24" t="s">
        <v>17</v>
      </c>
      <c r="J29" s="24" t="s">
        <v>68</v>
      </c>
      <c r="K29" s="24" t="s">
        <v>28</v>
      </c>
      <c r="L29" s="24"/>
    </row>
    <row r="30" spans="1:11">
      <c r="A30" s="24">
        <v>29</v>
      </c>
      <c r="B30" s="24" t="s">
        <v>12</v>
      </c>
      <c r="C30" s="24">
        <v>24</v>
      </c>
      <c r="D30" s="24" t="s">
        <v>44</v>
      </c>
      <c r="E30" s="24" t="s">
        <v>33</v>
      </c>
      <c r="F30" s="24" t="s">
        <v>69</v>
      </c>
      <c r="G30" s="24" t="s">
        <v>15</v>
      </c>
      <c r="H30" s="24" t="s">
        <v>16</v>
      </c>
      <c r="I30" s="24" t="s">
        <v>17</v>
      </c>
      <c r="J30" s="24"/>
      <c r="K30" s="24" t="s">
        <v>28</v>
      </c>
    </row>
    <row r="31" spans="1:12">
      <c r="A31" s="24">
        <v>30</v>
      </c>
      <c r="B31" s="24" t="s">
        <v>12</v>
      </c>
      <c r="C31" s="24">
        <v>61</v>
      </c>
      <c r="D31" s="24" t="s">
        <v>13</v>
      </c>
      <c r="E31" s="24" t="s">
        <v>33</v>
      </c>
      <c r="F31" s="24" t="s">
        <v>70</v>
      </c>
      <c r="G31" s="24" t="s">
        <v>15</v>
      </c>
      <c r="H31" s="24" t="s">
        <v>16</v>
      </c>
      <c r="I31" s="24" t="s">
        <v>17</v>
      </c>
      <c r="J31" s="24" t="s">
        <v>71</v>
      </c>
      <c r="K31" s="24" t="s">
        <v>28</v>
      </c>
      <c r="L31" s="24"/>
    </row>
    <row r="32" spans="1:11">
      <c r="A32" s="24">
        <v>31</v>
      </c>
      <c r="B32" s="24" t="s">
        <v>12</v>
      </c>
      <c r="C32" s="24">
        <v>60</v>
      </c>
      <c r="D32" s="24" t="s">
        <v>13</v>
      </c>
      <c r="E32" s="24" t="s">
        <v>33</v>
      </c>
      <c r="F32" s="24" t="s">
        <v>30</v>
      </c>
      <c r="G32" s="24" t="s">
        <v>50</v>
      </c>
      <c r="H32" s="24" t="s">
        <v>26</v>
      </c>
      <c r="I32" s="24" t="s">
        <v>17</v>
      </c>
      <c r="J32" s="24" t="s">
        <v>45</v>
      </c>
      <c r="K32" s="24" t="s">
        <v>28</v>
      </c>
    </row>
    <row r="33" spans="1:12">
      <c r="A33" s="24">
        <v>32</v>
      </c>
      <c r="B33" s="24" t="s">
        <v>12</v>
      </c>
      <c r="C33" s="24">
        <v>48</v>
      </c>
      <c r="D33" s="24" t="s">
        <v>13</v>
      </c>
      <c r="E33" s="24" t="s">
        <v>72</v>
      </c>
      <c r="F33" s="24" t="s">
        <v>73</v>
      </c>
      <c r="G33" s="24" t="s">
        <v>15</v>
      </c>
      <c r="H33" s="24" t="s">
        <v>16</v>
      </c>
      <c r="I33" s="24" t="s">
        <v>17</v>
      </c>
      <c r="J33" s="24" t="s">
        <v>74</v>
      </c>
      <c r="K33" s="24" t="s">
        <v>28</v>
      </c>
      <c r="L33" s="24"/>
    </row>
    <row r="34" spans="1:12">
      <c r="A34" s="24">
        <v>33</v>
      </c>
      <c r="B34" s="24" t="s">
        <v>12</v>
      </c>
      <c r="C34" s="24">
        <v>61</v>
      </c>
      <c r="D34" s="24" t="s">
        <v>13</v>
      </c>
      <c r="E34" s="24" t="s">
        <v>33</v>
      </c>
      <c r="F34" s="24" t="s">
        <v>23</v>
      </c>
      <c r="G34" s="24" t="s">
        <v>50</v>
      </c>
      <c r="H34" s="24" t="s">
        <v>26</v>
      </c>
      <c r="I34" s="24" t="s">
        <v>17</v>
      </c>
      <c r="J34" s="24" t="s">
        <v>45</v>
      </c>
      <c r="K34" s="24" t="s">
        <v>19</v>
      </c>
      <c r="L34">
        <v>0.34</v>
      </c>
    </row>
    <row r="35" spans="1:12">
      <c r="A35" s="24">
        <v>34</v>
      </c>
      <c r="B35" s="24" t="s">
        <v>12</v>
      </c>
      <c r="C35" s="24">
        <v>55</v>
      </c>
      <c r="D35" s="24" t="s">
        <v>13</v>
      </c>
      <c r="E35" s="24" t="s">
        <v>33</v>
      </c>
      <c r="F35" s="24" t="s">
        <v>52</v>
      </c>
      <c r="G35" s="24" t="s">
        <v>15</v>
      </c>
      <c r="H35" s="24" t="s">
        <v>16</v>
      </c>
      <c r="I35" s="24" t="s">
        <v>17</v>
      </c>
      <c r="J35" s="24" t="s">
        <v>45</v>
      </c>
      <c r="K35" s="24" t="s">
        <v>19</v>
      </c>
      <c r="L35" s="24">
        <v>2.38</v>
      </c>
    </row>
    <row r="36" spans="1:11">
      <c r="A36" s="24">
        <v>35</v>
      </c>
      <c r="B36" s="24" t="s">
        <v>12</v>
      </c>
      <c r="C36" s="24">
        <v>72</v>
      </c>
      <c r="D36" s="24" t="s">
        <v>13</v>
      </c>
      <c r="E36" s="24" t="s">
        <v>33</v>
      </c>
      <c r="F36" s="24" t="s">
        <v>53</v>
      </c>
      <c r="G36" s="24" t="s">
        <v>75</v>
      </c>
      <c r="H36" s="24" t="s">
        <v>26</v>
      </c>
      <c r="I36" s="24" t="s">
        <v>17</v>
      </c>
      <c r="J36" s="24" t="s">
        <v>76</v>
      </c>
      <c r="K36" s="24" t="s">
        <v>28</v>
      </c>
    </row>
    <row r="37" spans="1:11">
      <c r="A37" s="24">
        <v>36</v>
      </c>
      <c r="B37" s="24" t="s">
        <v>12</v>
      </c>
      <c r="C37" s="24">
        <v>72</v>
      </c>
      <c r="D37" s="24" t="s">
        <v>13</v>
      </c>
      <c r="E37" s="24" t="s">
        <v>33</v>
      </c>
      <c r="F37" s="24" t="s">
        <v>62</v>
      </c>
      <c r="G37" s="24" t="s">
        <v>77</v>
      </c>
      <c r="H37" s="24" t="s">
        <v>26</v>
      </c>
      <c r="I37" s="24" t="s">
        <v>17</v>
      </c>
      <c r="J37" s="24" t="s">
        <v>78</v>
      </c>
      <c r="K37" s="24" t="s">
        <v>28</v>
      </c>
    </row>
    <row r="38" spans="1:11">
      <c r="A38" s="24">
        <v>37</v>
      </c>
      <c r="B38" s="24" t="s">
        <v>36</v>
      </c>
      <c r="C38" s="24">
        <v>86</v>
      </c>
      <c r="D38" s="24" t="s">
        <v>13</v>
      </c>
      <c r="E38" s="24" t="s">
        <v>33</v>
      </c>
      <c r="F38" s="24" t="s">
        <v>79</v>
      </c>
      <c r="G38" s="24" t="s">
        <v>25</v>
      </c>
      <c r="H38" s="24" t="s">
        <v>26</v>
      </c>
      <c r="I38" s="24" t="s">
        <v>17</v>
      </c>
      <c r="J38" s="24" t="s">
        <v>45</v>
      </c>
      <c r="K38" s="24" t="s">
        <v>28</v>
      </c>
    </row>
    <row r="39" spans="1:11">
      <c r="A39" s="24">
        <v>38</v>
      </c>
      <c r="B39" s="24" t="s">
        <v>12</v>
      </c>
      <c r="C39" s="24">
        <v>28</v>
      </c>
      <c r="D39" s="24" t="s">
        <v>13</v>
      </c>
      <c r="E39" s="24" t="s">
        <v>33</v>
      </c>
      <c r="F39" s="24" t="s">
        <v>80</v>
      </c>
      <c r="G39" s="24" t="s">
        <v>50</v>
      </c>
      <c r="H39" s="24" t="s">
        <v>26</v>
      </c>
      <c r="I39" s="24" t="s">
        <v>17</v>
      </c>
      <c r="J39" s="24" t="s">
        <v>81</v>
      </c>
      <c r="K39" s="24" t="s">
        <v>28</v>
      </c>
    </row>
    <row r="40" spans="1:11">
      <c r="A40" s="24">
        <v>39</v>
      </c>
      <c r="B40" s="24" t="s">
        <v>12</v>
      </c>
      <c r="C40" s="24">
        <v>16</v>
      </c>
      <c r="D40" s="24" t="s">
        <v>13</v>
      </c>
      <c r="E40" s="24" t="s">
        <v>33</v>
      </c>
      <c r="F40" s="24" t="s">
        <v>23</v>
      </c>
      <c r="G40" s="24" t="s">
        <v>15</v>
      </c>
      <c r="H40" s="24" t="s">
        <v>16</v>
      </c>
      <c r="I40" s="24" t="s">
        <v>17</v>
      </c>
      <c r="J40" s="24" t="s">
        <v>40</v>
      </c>
      <c r="K40" s="24" t="s">
        <v>28</v>
      </c>
    </row>
    <row r="41" spans="1:12">
      <c r="A41" s="24">
        <v>40</v>
      </c>
      <c r="B41" s="24" t="s">
        <v>36</v>
      </c>
      <c r="C41" s="24">
        <v>89</v>
      </c>
      <c r="D41" s="24" t="s">
        <v>13</v>
      </c>
      <c r="E41" s="24" t="s">
        <v>33</v>
      </c>
      <c r="F41" s="24" t="s">
        <v>23</v>
      </c>
      <c r="G41" s="24" t="s">
        <v>25</v>
      </c>
      <c r="H41" s="24" t="s">
        <v>26</v>
      </c>
      <c r="I41" s="24" t="s">
        <v>17</v>
      </c>
      <c r="J41" s="24" t="s">
        <v>82</v>
      </c>
      <c r="K41" s="24" t="s">
        <v>28</v>
      </c>
      <c r="L41" s="24"/>
    </row>
    <row r="42" spans="1:11">
      <c r="A42" s="24">
        <v>41</v>
      </c>
      <c r="B42" s="24" t="s">
        <v>36</v>
      </c>
      <c r="C42" s="24">
        <v>35</v>
      </c>
      <c r="D42" s="24" t="s">
        <v>13</v>
      </c>
      <c r="E42" s="24" t="s">
        <v>33</v>
      </c>
      <c r="F42" s="24" t="s">
        <v>52</v>
      </c>
      <c r="G42" s="24" t="s">
        <v>15</v>
      </c>
      <c r="H42" s="24" t="s">
        <v>16</v>
      </c>
      <c r="I42" s="24" t="s">
        <v>17</v>
      </c>
      <c r="J42" s="24" t="s">
        <v>81</v>
      </c>
      <c r="K42" s="24" t="s">
        <v>28</v>
      </c>
    </row>
    <row r="43" spans="1:12">
      <c r="A43" s="24">
        <v>42</v>
      </c>
      <c r="B43" s="24" t="s">
        <v>12</v>
      </c>
      <c r="C43" s="24">
        <v>44</v>
      </c>
      <c r="D43" s="24" t="s">
        <v>13</v>
      </c>
      <c r="E43" s="24" t="s">
        <v>33</v>
      </c>
      <c r="F43" s="24" t="s">
        <v>23</v>
      </c>
      <c r="G43" s="24" t="s">
        <v>15</v>
      </c>
      <c r="H43" s="24" t="s">
        <v>16</v>
      </c>
      <c r="I43" s="24" t="s">
        <v>17</v>
      </c>
      <c r="J43" s="24" t="s">
        <v>83</v>
      </c>
      <c r="K43" s="24" t="s">
        <v>19</v>
      </c>
      <c r="L43">
        <v>1</v>
      </c>
    </row>
    <row r="44" spans="1:12">
      <c r="A44" s="24">
        <v>43</v>
      </c>
      <c r="B44" s="24" t="s">
        <v>36</v>
      </c>
      <c r="C44" s="24">
        <v>72</v>
      </c>
      <c r="D44" s="24" t="s">
        <v>13</v>
      </c>
      <c r="E44" s="24" t="s">
        <v>33</v>
      </c>
      <c r="F44" s="24" t="s">
        <v>53</v>
      </c>
      <c r="G44" s="24" t="s">
        <v>25</v>
      </c>
      <c r="H44" s="24" t="s">
        <v>26</v>
      </c>
      <c r="I44" s="24" t="s">
        <v>17</v>
      </c>
      <c r="J44" s="24" t="s">
        <v>60</v>
      </c>
      <c r="K44" s="24" t="s">
        <v>28</v>
      </c>
      <c r="L44" s="24"/>
    </row>
    <row r="45" spans="1:11">
      <c r="A45" s="24">
        <v>44</v>
      </c>
      <c r="B45" s="24" t="s">
        <v>12</v>
      </c>
      <c r="C45" s="24">
        <v>62</v>
      </c>
      <c r="D45" s="24" t="s">
        <v>32</v>
      </c>
      <c r="E45" s="24" t="s">
        <v>33</v>
      </c>
      <c r="F45" s="24" t="s">
        <v>52</v>
      </c>
      <c r="G45" s="24" t="s">
        <v>15</v>
      </c>
      <c r="H45" s="24" t="s">
        <v>16</v>
      </c>
      <c r="I45" s="24" t="s">
        <v>17</v>
      </c>
      <c r="J45" s="24" t="s">
        <v>84</v>
      </c>
      <c r="K45" s="24" t="s">
        <v>28</v>
      </c>
    </row>
    <row r="46" spans="1:12">
      <c r="A46" s="24">
        <v>45</v>
      </c>
      <c r="B46" s="24" t="s">
        <v>12</v>
      </c>
      <c r="C46" s="24">
        <v>67</v>
      </c>
      <c r="D46" s="24" t="s">
        <v>13</v>
      </c>
      <c r="E46" s="24" t="s">
        <v>14</v>
      </c>
      <c r="F46" s="24" t="s">
        <v>52</v>
      </c>
      <c r="G46" s="24" t="s">
        <v>48</v>
      </c>
      <c r="H46" s="24" t="s">
        <v>16</v>
      </c>
      <c r="I46" s="24" t="s">
        <v>17</v>
      </c>
      <c r="J46" s="24" t="s">
        <v>85</v>
      </c>
      <c r="K46" s="24" t="s">
        <v>19</v>
      </c>
      <c r="L46">
        <v>1.2</v>
      </c>
    </row>
    <row r="47" spans="1:12">
      <c r="A47" s="24">
        <v>46</v>
      </c>
      <c r="B47" s="24" t="s">
        <v>12</v>
      </c>
      <c r="C47" s="24">
        <v>53</v>
      </c>
      <c r="D47" s="24" t="s">
        <v>57</v>
      </c>
      <c r="E47" s="24" t="s">
        <v>33</v>
      </c>
      <c r="F47" s="24" t="s">
        <v>23</v>
      </c>
      <c r="G47" s="24" t="s">
        <v>15</v>
      </c>
      <c r="H47" s="24" t="s">
        <v>16</v>
      </c>
      <c r="I47" s="24" t="s">
        <v>17</v>
      </c>
      <c r="J47" s="24" t="s">
        <v>86</v>
      </c>
      <c r="K47" s="24" t="s">
        <v>19</v>
      </c>
      <c r="L47">
        <v>0.8</v>
      </c>
    </row>
    <row r="48" spans="1:12">
      <c r="A48" s="24">
        <v>47</v>
      </c>
      <c r="B48" s="24" t="s">
        <v>36</v>
      </c>
      <c r="C48" s="24">
        <v>79</v>
      </c>
      <c r="D48" s="24" t="s">
        <v>13</v>
      </c>
      <c r="E48" s="24" t="s">
        <v>33</v>
      </c>
      <c r="F48" s="24" t="s">
        <v>30</v>
      </c>
      <c r="G48" s="24" t="s">
        <v>50</v>
      </c>
      <c r="H48" s="24" t="s">
        <v>26</v>
      </c>
      <c r="I48" s="24" t="s">
        <v>17</v>
      </c>
      <c r="J48" s="24"/>
      <c r="K48" s="24" t="s">
        <v>28</v>
      </c>
      <c r="L48" s="24"/>
    </row>
    <row r="49" spans="1:11">
      <c r="A49" s="24">
        <v>48</v>
      </c>
      <c r="B49" s="24" t="s">
        <v>12</v>
      </c>
      <c r="C49" s="24">
        <v>82</v>
      </c>
      <c r="D49" s="24" t="s">
        <v>13</v>
      </c>
      <c r="E49" s="24" t="s">
        <v>33</v>
      </c>
      <c r="F49" s="24" t="s">
        <v>53</v>
      </c>
      <c r="G49" s="24" t="s">
        <v>15</v>
      </c>
      <c r="H49" s="24" t="s">
        <v>16</v>
      </c>
      <c r="I49" s="24" t="s">
        <v>17</v>
      </c>
      <c r="J49" s="24" t="s">
        <v>84</v>
      </c>
      <c r="K49" s="24" t="s">
        <v>28</v>
      </c>
    </row>
    <row r="50" spans="1:11">
      <c r="A50" s="24">
        <v>49</v>
      </c>
      <c r="B50" s="24" t="s">
        <v>12</v>
      </c>
      <c r="C50" s="24">
        <v>69</v>
      </c>
      <c r="D50" s="24" t="s">
        <v>44</v>
      </c>
      <c r="E50" s="24" t="s">
        <v>33</v>
      </c>
      <c r="F50" s="24" t="s">
        <v>53</v>
      </c>
      <c r="G50" s="24" t="s">
        <v>50</v>
      </c>
      <c r="H50" s="24" t="s">
        <v>59</v>
      </c>
      <c r="I50" s="24" t="s">
        <v>17</v>
      </c>
      <c r="J50" t="s">
        <v>87</v>
      </c>
      <c r="K50" s="24" t="s">
        <v>28</v>
      </c>
    </row>
    <row r="51" spans="1:12">
      <c r="A51" s="24">
        <v>50</v>
      </c>
      <c r="B51" s="24" t="s">
        <v>12</v>
      </c>
      <c r="C51" s="24">
        <v>79</v>
      </c>
      <c r="D51" s="24" t="s">
        <v>13</v>
      </c>
      <c r="E51" s="24" t="s">
        <v>33</v>
      </c>
      <c r="F51" s="24" t="s">
        <v>52</v>
      </c>
      <c r="G51" s="24" t="s">
        <v>15</v>
      </c>
      <c r="H51" s="24" t="s">
        <v>16</v>
      </c>
      <c r="I51" s="24" t="s">
        <v>17</v>
      </c>
      <c r="J51" t="s">
        <v>88</v>
      </c>
      <c r="K51" s="24" t="s">
        <v>19</v>
      </c>
      <c r="L51">
        <v>1.6</v>
      </c>
    </row>
  </sheetData>
  <pageMargins left="0.75" right="0.75" top="1" bottom="1" header="0.5" footer="0.5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4"/>
  <sheetViews>
    <sheetView workbookViewId="0">
      <selection activeCell="H2" sqref="H2:I2"/>
    </sheetView>
  </sheetViews>
  <sheetFormatPr defaultColWidth="9.14285714285714" defaultRowHeight="15"/>
  <cols>
    <col min="4" max="4" width="32" customWidth="1"/>
    <col min="5" max="5" width="29.7142857142857" customWidth="1"/>
  </cols>
  <sheetData>
    <row r="1" spans="1:2">
      <c r="A1" t="s">
        <v>9</v>
      </c>
      <c r="B1" t="s">
        <v>89</v>
      </c>
    </row>
    <row r="2" spans="1:9">
      <c r="A2" t="s">
        <v>90</v>
      </c>
      <c r="B2">
        <v>2</v>
      </c>
      <c r="D2" t="s">
        <v>91</v>
      </c>
      <c r="E2" t="s">
        <v>92</v>
      </c>
      <c r="H2" t="str">
        <f>_xlfn.TEXTJOIN(";",TRUE,D3:D23)</f>
        <v>#hemorrhage#;#internal hemorrhage#;#abdominal bleeding#;#hemoperitoneum#;#cerebral hemorrhage#;#intracerebral hemorrhage#;#meningocerebral hermorrage#;#subdural hematoma#;#contusion#;#lacerations#;#fractures#;#cranial fractures#;#facial fractures#;#head fractures#;#limb fractures#;#thorax fractures#;#rib fractures#;#pul. Emphysema#;#polytrauma#;#abdominal trauma#;#thorax trauma#</v>
      </c>
      <c r="I2" t="str">
        <f>_xlfn.TEXTJOIN(";",TRUE,E3:E23)</f>
        <v>hemorrhage;internal hemorrhage;abdominal bleeding;hemoperitoneum;cerebral hemorrhage;intracerebral hemorrhage;meningocerebral hermorrage;subdural hematoma;contusion;lacerations;fractures;cranial fractures;facial fractures;head fractures;limb fractures;thorax fractures;rib fractures;pul. Emphysema;polytrauma;abdominal trauma;thorax trauma</v>
      </c>
    </row>
    <row r="3" spans="1:5">
      <c r="A3" t="s">
        <v>93</v>
      </c>
      <c r="B3">
        <v>1</v>
      </c>
      <c r="D3" t="str">
        <f t="shared" ref="D3:D23" si="0">"#"&amp;E3&amp;"#"</f>
        <v>#hemorrhage#</v>
      </c>
      <c r="E3" s="24" t="s">
        <v>24</v>
      </c>
    </row>
    <row r="4" spans="1:5">
      <c r="A4" t="s">
        <v>30</v>
      </c>
      <c r="B4">
        <v>1</v>
      </c>
      <c r="D4" t="str">
        <f t="shared" si="0"/>
        <v>#internal hemorrhage#</v>
      </c>
      <c r="E4" s="24" t="s">
        <v>94</v>
      </c>
    </row>
    <row r="5" spans="1:5">
      <c r="A5" t="s">
        <v>95</v>
      </c>
      <c r="B5">
        <v>1</v>
      </c>
      <c r="D5" t="str">
        <f t="shared" si="0"/>
        <v>#abdominal bleeding#</v>
      </c>
      <c r="E5" s="24" t="s">
        <v>96</v>
      </c>
    </row>
    <row r="6" spans="1:5">
      <c r="A6" t="s">
        <v>97</v>
      </c>
      <c r="B6">
        <v>3</v>
      </c>
      <c r="D6" t="str">
        <f t="shared" si="0"/>
        <v>#hemoperitoneum#</v>
      </c>
      <c r="E6" s="24" t="s">
        <v>98</v>
      </c>
    </row>
    <row r="7" spans="1:5">
      <c r="A7" t="s">
        <v>99</v>
      </c>
      <c r="B7">
        <v>1</v>
      </c>
      <c r="D7" t="str">
        <f t="shared" si="0"/>
        <v>#cerebral hemorrhage#</v>
      </c>
      <c r="E7" s="24" t="s">
        <v>30</v>
      </c>
    </row>
    <row r="8" spans="1:5">
      <c r="A8" t="s">
        <v>100</v>
      </c>
      <c r="B8">
        <v>1</v>
      </c>
      <c r="D8" t="str">
        <f t="shared" si="0"/>
        <v>#intracerebral hemorrhage#</v>
      </c>
      <c r="E8" s="24" t="s">
        <v>101</v>
      </c>
    </row>
    <row r="9" spans="1:5">
      <c r="A9" t="s">
        <v>102</v>
      </c>
      <c r="B9">
        <v>7</v>
      </c>
      <c r="D9" t="str">
        <f t="shared" si="0"/>
        <v>#meningocerebral hermorrage#</v>
      </c>
      <c r="E9" s="24" t="s">
        <v>103</v>
      </c>
    </row>
    <row r="10" spans="1:5">
      <c r="A10" t="s">
        <v>104</v>
      </c>
      <c r="B10">
        <v>1</v>
      </c>
      <c r="D10" t="str">
        <f t="shared" si="0"/>
        <v>#subdural hematoma#</v>
      </c>
      <c r="E10" s="24" t="s">
        <v>49</v>
      </c>
    </row>
    <row r="11" spans="1:5">
      <c r="A11" t="s">
        <v>105</v>
      </c>
      <c r="B11">
        <v>2</v>
      </c>
      <c r="D11" t="str">
        <f t="shared" si="0"/>
        <v>#contusion#</v>
      </c>
      <c r="E11" s="24" t="s">
        <v>106</v>
      </c>
    </row>
    <row r="12" spans="1:5">
      <c r="A12" t="s">
        <v>107</v>
      </c>
      <c r="B12">
        <v>1</v>
      </c>
      <c r="D12" t="str">
        <f t="shared" si="0"/>
        <v>#lacerations#</v>
      </c>
      <c r="E12" s="24" t="s">
        <v>108</v>
      </c>
    </row>
    <row r="13" spans="1:5">
      <c r="A13" t="s">
        <v>109</v>
      </c>
      <c r="B13">
        <v>1</v>
      </c>
      <c r="D13" t="str">
        <f t="shared" si="0"/>
        <v>#fractures#</v>
      </c>
      <c r="E13" s="24" t="s">
        <v>110</v>
      </c>
    </row>
    <row r="14" spans="1:5">
      <c r="A14" t="s">
        <v>111</v>
      </c>
      <c r="B14">
        <v>1</v>
      </c>
      <c r="D14" t="str">
        <f t="shared" si="0"/>
        <v>#cranial fractures#</v>
      </c>
      <c r="E14" s="24" t="s">
        <v>102</v>
      </c>
    </row>
    <row r="15" spans="1:5">
      <c r="A15" t="s">
        <v>112</v>
      </c>
      <c r="B15">
        <v>1</v>
      </c>
      <c r="D15" t="str">
        <f t="shared" si="0"/>
        <v>#facial fractures#</v>
      </c>
      <c r="E15" s="24" t="s">
        <v>109</v>
      </c>
    </row>
    <row r="16" spans="1:5">
      <c r="A16" t="s">
        <v>113</v>
      </c>
      <c r="B16">
        <v>1</v>
      </c>
      <c r="D16" t="str">
        <f t="shared" si="0"/>
        <v>#head fractures#</v>
      </c>
      <c r="E16" s="24" t="s">
        <v>114</v>
      </c>
    </row>
    <row r="17" spans="1:5">
      <c r="A17" t="s">
        <v>110</v>
      </c>
      <c r="B17">
        <v>2</v>
      </c>
      <c r="D17" t="str">
        <f t="shared" si="0"/>
        <v>#limb fractures#</v>
      </c>
      <c r="E17" s="24" t="s">
        <v>115</v>
      </c>
    </row>
    <row r="18" spans="1:5">
      <c r="A18" t="s">
        <v>116</v>
      </c>
      <c r="B18">
        <v>1</v>
      </c>
      <c r="D18" t="str">
        <f t="shared" si="0"/>
        <v>#thorax fractures#</v>
      </c>
      <c r="E18" s="24" t="s">
        <v>117</v>
      </c>
    </row>
    <row r="19" spans="1:5">
      <c r="A19" t="s">
        <v>114</v>
      </c>
      <c r="B19">
        <v>1</v>
      </c>
      <c r="D19" t="str">
        <f t="shared" si="0"/>
        <v>#rib fractures#</v>
      </c>
      <c r="E19" s="24" t="s">
        <v>118</v>
      </c>
    </row>
    <row r="20" spans="1:5">
      <c r="A20" t="s">
        <v>119</v>
      </c>
      <c r="B20">
        <v>1</v>
      </c>
      <c r="D20" t="str">
        <f t="shared" si="0"/>
        <v>#pul. Emphysema#</v>
      </c>
      <c r="E20" s="24" t="s">
        <v>120</v>
      </c>
    </row>
    <row r="21" spans="1:5">
      <c r="A21" t="s">
        <v>94</v>
      </c>
      <c r="B21">
        <v>1</v>
      </c>
      <c r="D21" t="str">
        <f t="shared" si="0"/>
        <v>#polytrauma#</v>
      </c>
      <c r="E21" s="24" t="s">
        <v>14</v>
      </c>
    </row>
    <row r="22" spans="1:5">
      <c r="A22" t="s">
        <v>121</v>
      </c>
      <c r="B22">
        <v>1</v>
      </c>
      <c r="D22" t="str">
        <f t="shared" si="0"/>
        <v>#abdominal trauma#</v>
      </c>
      <c r="E22" s="24" t="s">
        <v>93</v>
      </c>
    </row>
    <row r="23" spans="1:5">
      <c r="A23" t="s">
        <v>122</v>
      </c>
      <c r="B23">
        <v>2</v>
      </c>
      <c r="D23" t="str">
        <f t="shared" si="0"/>
        <v>#thorax trauma#</v>
      </c>
      <c r="E23" s="24" t="s">
        <v>123</v>
      </c>
    </row>
    <row r="24" spans="1:2">
      <c r="A24" t="s">
        <v>124</v>
      </c>
      <c r="B24">
        <v>2</v>
      </c>
    </row>
    <row r="25" spans="1:2">
      <c r="A25" t="s">
        <v>125</v>
      </c>
      <c r="B25">
        <v>2</v>
      </c>
    </row>
    <row r="26" spans="1:2">
      <c r="A26" t="s">
        <v>126</v>
      </c>
      <c r="B26">
        <v>2</v>
      </c>
    </row>
    <row r="27" spans="1:2">
      <c r="A27" t="s">
        <v>127</v>
      </c>
      <c r="B27">
        <v>1</v>
      </c>
    </row>
    <row r="28" spans="1:2">
      <c r="A28" t="s">
        <v>128</v>
      </c>
      <c r="B28">
        <v>1</v>
      </c>
    </row>
    <row r="29" spans="1:2">
      <c r="A29" t="s">
        <v>14</v>
      </c>
      <c r="B29">
        <v>2</v>
      </c>
    </row>
    <row r="30" spans="1:2">
      <c r="A30" t="s">
        <v>129</v>
      </c>
      <c r="B30">
        <v>1</v>
      </c>
    </row>
    <row r="31" spans="1:2">
      <c r="A31" t="s">
        <v>130</v>
      </c>
      <c r="B31">
        <v>1</v>
      </c>
    </row>
    <row r="32" spans="1:2">
      <c r="A32" t="s">
        <v>131</v>
      </c>
      <c r="B32">
        <v>1</v>
      </c>
    </row>
    <row r="33" spans="1:2">
      <c r="A33" t="s">
        <v>132</v>
      </c>
      <c r="B33">
        <v>2</v>
      </c>
    </row>
    <row r="34" spans="1:2">
      <c r="A34" t="s">
        <v>133</v>
      </c>
      <c r="B34">
        <v>1</v>
      </c>
    </row>
  </sheetData>
  <sortState ref="E4:E66">
    <sortCondition ref="E5"/>
  </sortState>
  <pageMargins left="0.75" right="0.75" top="1" bottom="1" header="0.5" footer="0.5"/>
  <headerFooter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T35"/>
  <sheetViews>
    <sheetView tabSelected="1" topLeftCell="A7" workbookViewId="0">
      <selection activeCell="R18" sqref="R18"/>
    </sheetView>
  </sheetViews>
  <sheetFormatPr defaultColWidth="9.14285714285714" defaultRowHeight="15"/>
  <cols>
    <col min="3" max="3" width="6.28571428571429" customWidth="1"/>
    <col min="4" max="4" width="6" customWidth="1"/>
    <col min="5" max="7" width="7.71428571428571" customWidth="1"/>
    <col min="8" max="8" width="8.71428571428571" customWidth="1"/>
    <col min="9" max="9" width="7.71428571428571" customWidth="1"/>
    <col min="10" max="10" width="8.71428571428571" customWidth="1"/>
    <col min="11" max="11" width="21.7142857142857" style="2" customWidth="1"/>
    <col min="12" max="12" width="15.4285714285714" style="2" customWidth="1"/>
    <col min="13" max="13" width="26.7142857142857" style="2" customWidth="1"/>
    <col min="14" max="14" width="29" style="2" customWidth="1"/>
    <col min="15" max="15" width="13.5714285714286" style="3" customWidth="1"/>
    <col min="16" max="16" width="20.8571428571429" style="3" customWidth="1"/>
    <col min="17" max="17" width="16.5714285714286" style="3" customWidth="1"/>
    <col min="18" max="18" width="27.8571428571429" style="3" customWidth="1"/>
    <col min="19" max="19" width="30.1428571428571" style="3" customWidth="1"/>
    <col min="20" max="20" width="22.8571428571429" customWidth="1"/>
  </cols>
  <sheetData>
    <row r="1" spans="3:20">
      <c r="C1" t="s">
        <v>2</v>
      </c>
      <c r="D1" t="s">
        <v>134</v>
      </c>
      <c r="E1" t="s">
        <v>135</v>
      </c>
      <c r="F1" s="5" t="s">
        <v>136</v>
      </c>
      <c r="G1" s="5" t="s">
        <v>137</v>
      </c>
      <c r="H1" t="s">
        <v>138</v>
      </c>
      <c r="I1" t="s">
        <v>139</v>
      </c>
      <c r="J1" t="s">
        <v>140</v>
      </c>
      <c r="K1" s="2" t="s">
        <v>141</v>
      </c>
      <c r="L1" s="2" t="s">
        <v>142</v>
      </c>
      <c r="M1" s="2" t="s">
        <v>143</v>
      </c>
      <c r="N1" s="2" t="s">
        <v>144</v>
      </c>
      <c r="O1" s="3" t="s">
        <v>145</v>
      </c>
      <c r="P1" s="3" t="s">
        <v>146</v>
      </c>
      <c r="Q1" s="3" t="s">
        <v>147</v>
      </c>
      <c r="R1" s="3" t="s">
        <v>148</v>
      </c>
      <c r="S1" s="3" t="s">
        <v>149</v>
      </c>
      <c r="T1" t="s">
        <v>150</v>
      </c>
    </row>
    <row r="2" spans="3:20">
      <c r="C2" t="s">
        <v>151</v>
      </c>
      <c r="D2">
        <v>30</v>
      </c>
      <c r="E2" s="6">
        <f>D2/D$11</f>
        <v>0.0163398692810458</v>
      </c>
      <c r="F2" s="6">
        <f>SUM(D$2:D2)/D$11</f>
        <v>0.0163398692810458</v>
      </c>
      <c r="G2">
        <v>318</v>
      </c>
      <c r="H2" s="7">
        <f>G2/$G$11</f>
        <v>0.00551174278533668</v>
      </c>
      <c r="I2" s="7">
        <v>0.005</v>
      </c>
      <c r="K2" s="8">
        <v>0</v>
      </c>
      <c r="L2" s="9">
        <f>K2*D2</f>
        <v>0</v>
      </c>
      <c r="M2" s="9">
        <f>E2*10000*K2</f>
        <v>0</v>
      </c>
      <c r="N2" s="13">
        <f>59138*H2*K2</f>
        <v>0</v>
      </c>
      <c r="O2" s="14">
        <v>0</v>
      </c>
      <c r="P2" s="15">
        <f>O2/G2</f>
        <v>0</v>
      </c>
      <c r="Q2" s="20">
        <f>P2*D2</f>
        <v>0</v>
      </c>
      <c r="R2" s="20">
        <f t="shared" ref="R2:R10" si="0">E2*10000*P2</f>
        <v>0</v>
      </c>
      <c r="S2" s="21">
        <f>59138*H2*P2</f>
        <v>0</v>
      </c>
      <c r="T2" s="6">
        <v>2e-5</v>
      </c>
    </row>
    <row r="3" spans="3:20">
      <c r="C3" t="s">
        <v>152</v>
      </c>
      <c r="D3">
        <v>47</v>
      </c>
      <c r="E3" s="6">
        <f t="shared" ref="E3:E10" si="1">D3/SUM(D$11)</f>
        <v>0.025599128540305</v>
      </c>
      <c r="F3" s="6">
        <f>SUM(D$2:D3)/D$11</f>
        <v>0.0419389978213508</v>
      </c>
      <c r="G3">
        <v>386</v>
      </c>
      <c r="H3" s="7">
        <f t="shared" ref="H3:H10" si="2">G3/$G$11</f>
        <v>0.00669035445012566</v>
      </c>
      <c r="I3" s="7">
        <f>H3+I2</f>
        <v>0.0116903544501257</v>
      </c>
      <c r="K3" s="8">
        <f>1/549</f>
        <v>0.00182149362477231</v>
      </c>
      <c r="L3" s="9">
        <f t="shared" ref="L3:L10" si="3">K3*D3</f>
        <v>0.0856102003642986</v>
      </c>
      <c r="M3" s="9">
        <f>E3*10000*K3</f>
        <v>0.466286494358925</v>
      </c>
      <c r="N3" s="13">
        <f t="shared" ref="N3:N10" si="4">59138*H3*K3</f>
        <v>0.720681569164901</v>
      </c>
      <c r="O3" s="14">
        <v>0</v>
      </c>
      <c r="P3" s="15">
        <f t="shared" ref="P3:P10" si="5">O3/G3</f>
        <v>0</v>
      </c>
      <c r="Q3" s="20">
        <f t="shared" ref="Q3:Q10" si="6">P3*D3</f>
        <v>0</v>
      </c>
      <c r="R3" s="20">
        <f t="shared" si="0"/>
        <v>0</v>
      </c>
      <c r="S3" s="21">
        <f t="shared" ref="S3:S10" si="7">59138*H3*P3</f>
        <v>0</v>
      </c>
      <c r="T3" s="6">
        <v>6e-5</v>
      </c>
    </row>
    <row r="4" spans="3:20">
      <c r="C4" t="s">
        <v>153</v>
      </c>
      <c r="D4">
        <v>165</v>
      </c>
      <c r="E4" s="6">
        <f t="shared" si="1"/>
        <v>0.0898692810457516</v>
      </c>
      <c r="F4" s="6">
        <f>SUM(D$2:D4)/D$11</f>
        <v>0.131808278867102</v>
      </c>
      <c r="G4">
        <v>2192</v>
      </c>
      <c r="H4" s="7">
        <f t="shared" si="2"/>
        <v>0.0379928936649623</v>
      </c>
      <c r="I4" s="7">
        <f t="shared" ref="I4:I10" si="8">H4+I3</f>
        <v>0.049683248115088</v>
      </c>
      <c r="K4" s="8">
        <f>7/3619</f>
        <v>0.00193423597678917</v>
      </c>
      <c r="L4" s="9">
        <f t="shared" si="3"/>
        <v>0.319148936170213</v>
      </c>
      <c r="M4" s="9">
        <f t="shared" ref="M3:M10" si="9">E4*10000*K4</f>
        <v>1.7382839660687</v>
      </c>
      <c r="N4" s="13">
        <f t="shared" si="4"/>
        <v>4.34588732216352</v>
      </c>
      <c r="O4" s="14">
        <v>0</v>
      </c>
      <c r="P4" s="15">
        <f t="shared" si="5"/>
        <v>0</v>
      </c>
      <c r="Q4" s="20">
        <f t="shared" si="6"/>
        <v>0</v>
      </c>
      <c r="R4" s="20">
        <f t="shared" si="0"/>
        <v>0</v>
      </c>
      <c r="S4" s="21">
        <f t="shared" si="7"/>
        <v>0</v>
      </c>
      <c r="T4" s="6">
        <v>0.0003</v>
      </c>
    </row>
    <row r="5" spans="3:20">
      <c r="C5" t="s">
        <v>154</v>
      </c>
      <c r="D5">
        <v>337</v>
      </c>
      <c r="E5" s="6">
        <f t="shared" si="1"/>
        <v>0.183551198257081</v>
      </c>
      <c r="F5" s="6">
        <f>SUM(D$2:D5)/D$11</f>
        <v>0.315359477124183</v>
      </c>
      <c r="G5">
        <v>3995</v>
      </c>
      <c r="H5" s="7">
        <f t="shared" si="2"/>
        <v>0.0692434353063524</v>
      </c>
      <c r="I5" s="7">
        <f t="shared" si="8"/>
        <v>0.11892668342144</v>
      </c>
      <c r="K5" s="8">
        <f>18/7600</f>
        <v>0.00236842105263158</v>
      </c>
      <c r="L5" s="9">
        <f t="shared" si="3"/>
        <v>0.798157894736842</v>
      </c>
      <c r="M5" s="9">
        <f t="shared" si="9"/>
        <v>4.34726522187823</v>
      </c>
      <c r="N5" s="13">
        <f t="shared" si="4"/>
        <v>9.69849065640095</v>
      </c>
      <c r="O5" s="14">
        <v>12</v>
      </c>
      <c r="P5" s="15">
        <f t="shared" si="5"/>
        <v>0.00300375469336671</v>
      </c>
      <c r="Q5" s="20">
        <f t="shared" si="6"/>
        <v>1.01226533166458</v>
      </c>
      <c r="R5" s="20">
        <f t="shared" si="0"/>
        <v>5.51342773237789</v>
      </c>
      <c r="S5" s="21">
        <f t="shared" si="7"/>
        <v>12.3001299939336</v>
      </c>
      <c r="T5" s="6">
        <v>0.0008</v>
      </c>
    </row>
    <row r="6" spans="3:20">
      <c r="C6" t="s">
        <v>155</v>
      </c>
      <c r="D6">
        <v>501</v>
      </c>
      <c r="E6" s="6">
        <f t="shared" si="1"/>
        <v>0.272875816993464</v>
      </c>
      <c r="F6" s="6">
        <f>SUM(D$2:D6)/D$11</f>
        <v>0.588235294117647</v>
      </c>
      <c r="G6">
        <v>7267</v>
      </c>
      <c r="H6" s="7">
        <f t="shared" si="2"/>
        <v>0.125955455412081</v>
      </c>
      <c r="I6" s="7">
        <f t="shared" si="8"/>
        <v>0.244882138833521</v>
      </c>
      <c r="K6" s="8">
        <f>38/8517</f>
        <v>0.00446166490548315</v>
      </c>
      <c r="L6" s="9">
        <f t="shared" si="3"/>
        <v>2.23529411764706</v>
      </c>
      <c r="M6" s="9">
        <f t="shared" si="9"/>
        <v>12.1748045623478</v>
      </c>
      <c r="N6" s="13">
        <f t="shared" si="4"/>
        <v>33.2338430717466</v>
      </c>
      <c r="O6" s="14">
        <v>41</v>
      </c>
      <c r="P6" s="15">
        <f t="shared" si="5"/>
        <v>0.00564194303013623</v>
      </c>
      <c r="Q6" s="20">
        <f t="shared" si="6"/>
        <v>2.82661345809825</v>
      </c>
      <c r="R6" s="20">
        <f t="shared" si="0"/>
        <v>15.39549813779</v>
      </c>
      <c r="S6" s="21">
        <f t="shared" si="7"/>
        <v>42.0254441459399</v>
      </c>
      <c r="T6" s="6">
        <v>0.0015</v>
      </c>
    </row>
    <row r="7" spans="3:20">
      <c r="C7" t="s">
        <v>156</v>
      </c>
      <c r="D7">
        <v>373</v>
      </c>
      <c r="E7" s="6">
        <f t="shared" si="1"/>
        <v>0.203159041394336</v>
      </c>
      <c r="F7" s="6">
        <f>SUM(D$2:D7)/D$11</f>
        <v>0.791394335511983</v>
      </c>
      <c r="G7">
        <v>11280</v>
      </c>
      <c r="H7" s="7">
        <f t="shared" si="2"/>
        <v>0.195510876159113</v>
      </c>
      <c r="I7" s="7">
        <f t="shared" si="8"/>
        <v>0.440393014992634</v>
      </c>
      <c r="J7">
        <v>2</v>
      </c>
      <c r="K7" s="8">
        <f>130/10008</f>
        <v>0.0129896083133493</v>
      </c>
      <c r="L7" s="9">
        <f t="shared" si="3"/>
        <v>4.84512390087929</v>
      </c>
      <c r="M7" s="9">
        <f t="shared" si="9"/>
        <v>26.3895637302794</v>
      </c>
      <c r="N7" s="13">
        <f t="shared" si="4"/>
        <v>150.187438575009</v>
      </c>
      <c r="O7" s="14">
        <v>168</v>
      </c>
      <c r="P7" s="15">
        <f t="shared" si="5"/>
        <v>0.0148936170212766</v>
      </c>
      <c r="Q7" s="20">
        <f t="shared" si="6"/>
        <v>5.55531914893617</v>
      </c>
      <c r="R7" s="20">
        <f t="shared" si="0"/>
        <v>30.2577295693691</v>
      </c>
      <c r="S7" s="21">
        <f t="shared" si="7"/>
        <v>172.201819915071</v>
      </c>
      <c r="T7" s="6">
        <v>0.006</v>
      </c>
    </row>
    <row r="8" spans="3:20">
      <c r="C8" t="s">
        <v>157</v>
      </c>
      <c r="D8">
        <v>228</v>
      </c>
      <c r="E8" s="6">
        <f t="shared" si="1"/>
        <v>0.124183006535948</v>
      </c>
      <c r="F8" s="6">
        <f>SUM(D$2:D8)/D$11</f>
        <v>0.91557734204793</v>
      </c>
      <c r="G8">
        <v>10423</v>
      </c>
      <c r="H8" s="7">
        <f t="shared" si="2"/>
        <v>0.180656902677875</v>
      </c>
      <c r="I8" s="7">
        <f t="shared" si="8"/>
        <v>0.621049917670509</v>
      </c>
      <c r="J8">
        <v>2</v>
      </c>
      <c r="K8" s="8">
        <f>309/8583</f>
        <v>0.0360013981125481</v>
      </c>
      <c r="L8" s="9">
        <f t="shared" si="3"/>
        <v>8.20831876966097</v>
      </c>
      <c r="M8" s="9">
        <f t="shared" si="9"/>
        <v>44.7076185711382</v>
      </c>
      <c r="N8" s="13">
        <f t="shared" si="4"/>
        <v>384.627701778438</v>
      </c>
      <c r="O8" s="14">
        <v>541</v>
      </c>
      <c r="P8" s="15">
        <f t="shared" si="5"/>
        <v>0.0519044420992037</v>
      </c>
      <c r="Q8" s="20">
        <f t="shared" si="6"/>
        <v>11.8342127986184</v>
      </c>
      <c r="R8" s="20">
        <f t="shared" si="0"/>
        <v>64.4564967245013</v>
      </c>
      <c r="S8" s="21">
        <f t="shared" si="7"/>
        <v>554.530860559841</v>
      </c>
      <c r="T8" s="6">
        <v>0.022</v>
      </c>
    </row>
    <row r="9" spans="3:20">
      <c r="C9" t="s">
        <v>158</v>
      </c>
      <c r="D9">
        <v>126</v>
      </c>
      <c r="E9" s="6">
        <f t="shared" si="1"/>
        <v>0.0686274509803922</v>
      </c>
      <c r="F9" s="6">
        <f>SUM(D$2:D9)/D$11</f>
        <v>0.984204793028322</v>
      </c>
      <c r="G9">
        <v>11320</v>
      </c>
      <c r="H9" s="7">
        <f t="shared" si="2"/>
        <v>0.1962041771384</v>
      </c>
      <c r="I9" s="7">
        <f t="shared" si="8"/>
        <v>0.817254094808909</v>
      </c>
      <c r="J9">
        <v>8</v>
      </c>
      <c r="K9" s="8">
        <f>312/3918</f>
        <v>0.0796324655436447</v>
      </c>
      <c r="L9" s="9">
        <f t="shared" si="3"/>
        <v>10.0336906584992</v>
      </c>
      <c r="M9" s="9">
        <f t="shared" si="9"/>
        <v>54.6497312554424</v>
      </c>
      <c r="N9" s="13">
        <f t="shared" si="4"/>
        <v>923.985262841894</v>
      </c>
      <c r="O9" s="14">
        <v>1768</v>
      </c>
      <c r="P9" s="15">
        <f t="shared" si="5"/>
        <v>0.156183745583039</v>
      </c>
      <c r="Q9" s="20">
        <f t="shared" si="6"/>
        <v>19.6791519434629</v>
      </c>
      <c r="R9" s="20">
        <f t="shared" si="0"/>
        <v>107.18492343934</v>
      </c>
      <c r="S9" s="21">
        <f t="shared" si="7"/>
        <v>1812.21915243955</v>
      </c>
      <c r="T9" s="6">
        <v>0.051</v>
      </c>
    </row>
    <row r="10" spans="3:20">
      <c r="C10" t="s">
        <v>159</v>
      </c>
      <c r="D10">
        <v>29</v>
      </c>
      <c r="E10" s="6">
        <f t="shared" si="1"/>
        <v>0.0157952069716776</v>
      </c>
      <c r="F10" s="6">
        <f>SUM(D$2:D10)/D$11</f>
        <v>1</v>
      </c>
      <c r="G10">
        <v>10514</v>
      </c>
      <c r="H10" s="7">
        <f t="shared" si="2"/>
        <v>0.182234162405754</v>
      </c>
      <c r="I10" s="7">
        <f t="shared" si="8"/>
        <v>0.999488257214663</v>
      </c>
      <c r="K10" s="8">
        <f>208/1408</f>
        <v>0.147727272727273</v>
      </c>
      <c r="L10" s="9">
        <f t="shared" si="3"/>
        <v>4.28409090909092</v>
      </c>
      <c r="M10" s="9">
        <f t="shared" si="9"/>
        <v>23.3338284808874</v>
      </c>
      <c r="N10" s="13">
        <f t="shared" si="4"/>
        <v>1592.05148468829</v>
      </c>
      <c r="O10" s="14">
        <v>2488</v>
      </c>
      <c r="P10" s="15">
        <f t="shared" si="5"/>
        <v>0.236636865132205</v>
      </c>
      <c r="Q10" s="20">
        <f t="shared" si="6"/>
        <v>6.86246908883394</v>
      </c>
      <c r="R10" s="20">
        <f t="shared" si="0"/>
        <v>37.3772826189213</v>
      </c>
      <c r="S10" s="21">
        <f t="shared" si="7"/>
        <v>2550.22695207557</v>
      </c>
      <c r="T10" s="6">
        <v>0.093</v>
      </c>
    </row>
    <row r="11" spans="3:20">
      <c r="C11" t="s">
        <v>160</v>
      </c>
      <c r="D11" s="4">
        <f>SUBTOTAL(109,$D$2:$D$10)</f>
        <v>1836</v>
      </c>
      <c r="G11">
        <f>SUBTOTAL(109,Table1[N IT (Mar 23)])</f>
        <v>57695</v>
      </c>
      <c r="J11" s="4">
        <f>SUBTOTAL(109,Table1[Deaths RO])</f>
        <v>12</v>
      </c>
      <c r="K11" s="10">
        <f>L11/D11</f>
        <v>0.0167807382282401</v>
      </c>
      <c r="L11" s="9">
        <f>SUBTOTAL(109,Table1[Exp. Deaths RO])</f>
        <v>30.8094353870488</v>
      </c>
      <c r="M11" s="16">
        <f>SUBTOTAL(109,Table1[Exp. Deaths RO (10k cases)])</f>
        <v>167.807382282401</v>
      </c>
      <c r="N11" s="9">
        <f>SUBTOTAL(109,Table1[Exp. Deaths IT (59138k cases)])</f>
        <v>3098.85079050311</v>
      </c>
      <c r="O11" s="14">
        <f>SUBTOTAL(109,Table1[Deaths IT (Mar 23)])</f>
        <v>5018</v>
      </c>
      <c r="P11" s="17">
        <f>Q11/D11</f>
        <v>0.02601853582223</v>
      </c>
      <c r="Q11" s="20">
        <f>SUBTOTAL(109,Table1[Exp. Deaths RO2])</f>
        <v>47.7700317696143</v>
      </c>
      <c r="R11" s="22">
        <f>SUBTOTAL(109,Table1[Exp. Deaths RO (10k cases)2])</f>
        <v>260.1853582223</v>
      </c>
      <c r="S11" s="20">
        <f>SUBTOTAL(109,Table1[Exp. Deaths IT (59138 cases)2])</f>
        <v>5143.50435912991</v>
      </c>
      <c r="T11" s="6"/>
    </row>
    <row r="12" spans="11:17">
      <c r="K12" s="11" t="s">
        <v>161</v>
      </c>
      <c r="L12" s="12">
        <f>18/L11-1</f>
        <v>-0.415763392808991</v>
      </c>
      <c r="O12" s="18" t="s">
        <v>161</v>
      </c>
      <c r="P12" s="19">
        <f>18/Q11-1</f>
        <v>-0.62319472411468</v>
      </c>
      <c r="Q12" s="19"/>
    </row>
    <row r="13" spans="13:13">
      <c r="M13" s="2" t="s">
        <v>162</v>
      </c>
    </row>
    <row r="14" spans="13:19">
      <c r="M14" s="2">
        <v>10</v>
      </c>
      <c r="S14" s="23"/>
    </row>
    <row r="15" spans="13:13">
      <c r="M15" s="2">
        <v>20</v>
      </c>
    </row>
    <row r="16" spans="13:13">
      <c r="M16" s="2">
        <v>74</v>
      </c>
    </row>
    <row r="17" spans="13:13">
      <c r="M17" s="2">
        <v>135</v>
      </c>
    </row>
    <row r="18" spans="13:13">
      <c r="M18" s="2">
        <v>165</v>
      </c>
    </row>
    <row r="19" spans="13:13">
      <c r="M19" s="2">
        <v>101</v>
      </c>
    </row>
    <row r="20" spans="13:13">
      <c r="M20" s="2">
        <v>46</v>
      </c>
    </row>
    <row r="21" spans="13:13">
      <c r="M21" s="2">
        <v>24</v>
      </c>
    </row>
    <row r="22" spans="13:13">
      <c r="M22" s="2">
        <v>1</v>
      </c>
    </row>
    <row r="33" spans="5:5">
      <c r="E33" t="s">
        <v>163</v>
      </c>
    </row>
    <row r="34" spans="5:6">
      <c r="E34" t="s">
        <v>164</v>
      </c>
      <c r="F34" t="s">
        <v>165</v>
      </c>
    </row>
    <row r="35" spans="5:5">
      <c r="E35" t="s">
        <v>164</v>
      </c>
    </row>
  </sheetData>
  <pageMargins left="0.75" right="0.75" top="1" bottom="1" header="0.5" footer="0.5"/>
  <headerFooter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37"/>
  <sheetViews>
    <sheetView workbookViewId="0">
      <selection activeCell="D13" sqref="D13"/>
    </sheetView>
  </sheetViews>
  <sheetFormatPr defaultColWidth="9.14285714285714" defaultRowHeight="15"/>
  <cols>
    <col min="2" max="2" width="12.8571428571429"/>
    <col min="5" max="5" width="12.8571428571429"/>
    <col min="6" max="7" width="12.8571428571429" customWidth="1"/>
    <col min="8" max="8" width="12.8571428571429"/>
  </cols>
  <sheetData>
    <row r="2" spans="2:13">
      <c r="B2">
        <v>318</v>
      </c>
      <c r="C2">
        <v>0.5</v>
      </c>
      <c r="D2">
        <v>0</v>
      </c>
      <c r="E2">
        <f>D2/B2</f>
        <v>0</v>
      </c>
      <c r="F2" t="str">
        <f>"="&amp;D2&amp;"/"&amp;B2</f>
        <v>=0/318</v>
      </c>
      <c r="G2">
        <f>0/63</f>
        <v>0</v>
      </c>
      <c r="H2">
        <f>0/205</f>
        <v>0</v>
      </c>
      <c r="I2">
        <f>0/318</f>
        <v>0</v>
      </c>
      <c r="K2">
        <v>318</v>
      </c>
      <c r="L2" t="s">
        <v>166</v>
      </c>
      <c r="M2">
        <v>0</v>
      </c>
    </row>
    <row r="3" spans="2:13">
      <c r="B3">
        <v>386</v>
      </c>
      <c r="C3">
        <v>0.7</v>
      </c>
      <c r="D3">
        <v>0</v>
      </c>
      <c r="E3">
        <f t="shared" ref="E3:E11" si="0">D3/B3</f>
        <v>0</v>
      </c>
      <c r="F3" t="str">
        <f t="shared" ref="F3:F11" si="1">"="&amp;D3&amp;"/"&amp;B3</f>
        <v>=0/386</v>
      </c>
      <c r="G3">
        <f>0/118</f>
        <v>0</v>
      </c>
      <c r="H3">
        <f>0/270</f>
        <v>0</v>
      </c>
      <c r="I3">
        <f>0/386</f>
        <v>0</v>
      </c>
      <c r="K3">
        <v>386</v>
      </c>
      <c r="L3" t="s">
        <v>167</v>
      </c>
      <c r="M3">
        <v>0</v>
      </c>
    </row>
    <row r="4" spans="2:13">
      <c r="B4">
        <v>2192</v>
      </c>
      <c r="C4">
        <v>3.8</v>
      </c>
      <c r="D4">
        <v>0</v>
      </c>
      <c r="E4">
        <f t="shared" si="0"/>
        <v>0</v>
      </c>
      <c r="F4" t="str">
        <f t="shared" si="1"/>
        <v>=0/2192</v>
      </c>
      <c r="G4">
        <f>0/511</f>
        <v>0</v>
      </c>
      <c r="H4">
        <f>0/1374</f>
        <v>0</v>
      </c>
      <c r="I4">
        <f>0/2192</f>
        <v>0</v>
      </c>
      <c r="K4">
        <v>2.192</v>
      </c>
      <c r="L4" t="s">
        <v>168</v>
      </c>
      <c r="M4">
        <v>0</v>
      </c>
    </row>
    <row r="5" spans="2:13">
      <c r="B5">
        <v>3995</v>
      </c>
      <c r="C5">
        <v>6.9</v>
      </c>
      <c r="D5">
        <v>12</v>
      </c>
      <c r="E5">
        <f t="shared" si="0"/>
        <v>0.00300375469336671</v>
      </c>
      <c r="F5" t="str">
        <f t="shared" si="1"/>
        <v>=12/3995</v>
      </c>
      <c r="G5">
        <f>1/819</f>
        <v>0.00122100122100122</v>
      </c>
      <c r="H5">
        <f>9/2525</f>
        <v>0.00356435643564356</v>
      </c>
      <c r="I5">
        <f>12/3995</f>
        <v>0.00300375469336671</v>
      </c>
      <c r="K5">
        <v>3.995</v>
      </c>
      <c r="L5" t="s">
        <v>169</v>
      </c>
      <c r="M5">
        <v>12</v>
      </c>
    </row>
    <row r="6" spans="2:13">
      <c r="B6">
        <v>7267</v>
      </c>
      <c r="C6">
        <v>12.5</v>
      </c>
      <c r="D6">
        <v>41</v>
      </c>
      <c r="E6">
        <f t="shared" si="0"/>
        <v>0.00564194303013623</v>
      </c>
      <c r="F6" t="str">
        <f t="shared" si="1"/>
        <v>=41/7267</v>
      </c>
      <c r="G6">
        <f>1/1523</f>
        <v>0.000656598818122127</v>
      </c>
      <c r="H6">
        <f>25/4396</f>
        <v>0.0056869881710646</v>
      </c>
      <c r="I6">
        <f>41/7267</f>
        <v>0.00564194303013623</v>
      </c>
      <c r="K6">
        <v>7.267</v>
      </c>
      <c r="L6" t="s">
        <v>170</v>
      </c>
      <c r="M6">
        <v>41</v>
      </c>
    </row>
    <row r="7" spans="2:13">
      <c r="B7">
        <v>1128</v>
      </c>
      <c r="C7">
        <v>19.5</v>
      </c>
      <c r="D7">
        <v>168</v>
      </c>
      <c r="E7">
        <f t="shared" si="0"/>
        <v>0.148936170212766</v>
      </c>
      <c r="F7" t="str">
        <f t="shared" si="1"/>
        <v>=168/1128</v>
      </c>
      <c r="G7">
        <f>14/2480</f>
        <v>0.00564516129032258</v>
      </c>
      <c r="H7">
        <f>83/6834</f>
        <v>0.0121451565700907</v>
      </c>
      <c r="I7">
        <f>168/1128</f>
        <v>0.148936170212766</v>
      </c>
      <c r="K7">
        <v>11.28</v>
      </c>
      <c r="L7" t="s">
        <v>171</v>
      </c>
      <c r="M7">
        <v>168</v>
      </c>
    </row>
    <row r="8" spans="2:13">
      <c r="B8">
        <v>10423</v>
      </c>
      <c r="C8">
        <v>18</v>
      </c>
      <c r="D8">
        <v>541</v>
      </c>
      <c r="E8">
        <f t="shared" si="0"/>
        <v>0.0519044420992037</v>
      </c>
      <c r="F8" t="str">
        <f t="shared" si="1"/>
        <v>=541/10423</v>
      </c>
      <c r="G8">
        <f>65/2421</f>
        <v>0.026848409748038</v>
      </c>
      <c r="H8">
        <f>312/6337</f>
        <v>0.0492346536215875</v>
      </c>
      <c r="I8">
        <f>541/10423</f>
        <v>0.0519044420992037</v>
      </c>
      <c r="K8">
        <v>10.423</v>
      </c>
      <c r="L8" t="s">
        <v>172</v>
      </c>
      <c r="M8">
        <v>541</v>
      </c>
    </row>
    <row r="9" spans="2:13">
      <c r="B9">
        <v>1132</v>
      </c>
      <c r="C9">
        <v>19.5</v>
      </c>
      <c r="D9">
        <v>1768</v>
      </c>
      <c r="E9">
        <f t="shared" si="0"/>
        <v>1.56183745583039</v>
      </c>
      <c r="F9" t="str">
        <f t="shared" si="1"/>
        <v>=1768/1132</v>
      </c>
      <c r="G9">
        <f>274/2849</f>
        <v>0.0961740961740962</v>
      </c>
      <c r="H9">
        <f>109/7121</f>
        <v>0.015306838927117</v>
      </c>
      <c r="I9">
        <f>1768/1132</f>
        <v>1.56183745583039</v>
      </c>
      <c r="K9">
        <v>11.32</v>
      </c>
      <c r="L9" t="s">
        <v>171</v>
      </c>
      <c r="M9">
        <v>1.768</v>
      </c>
    </row>
    <row r="10" spans="2:13">
      <c r="B10">
        <v>8579</v>
      </c>
      <c r="C10">
        <v>14.8</v>
      </c>
      <c r="D10">
        <v>2023</v>
      </c>
      <c r="E10">
        <f t="shared" si="0"/>
        <v>0.235808369273808</v>
      </c>
      <c r="F10" t="str">
        <f>"=("&amp;D10&amp;"+"&amp;D11&amp;")/("&amp;B10&amp;"+"&amp;B11&amp;")"</f>
        <v>=(2023+465)/(8579+1935)</v>
      </c>
      <c r="G10">
        <f>(355+75)/(2138+395)</f>
        <v>0.169759178839321</v>
      </c>
      <c r="H10">
        <f>(1243+285)/(5352+1115)</f>
        <v>0.236276480593784</v>
      </c>
      <c r="I10">
        <f>(2023+465)/(8579+1935)</f>
        <v>0.236636865132205</v>
      </c>
      <c r="K10">
        <v>8.579</v>
      </c>
      <c r="L10" t="s">
        <v>173</v>
      </c>
      <c r="M10">
        <v>2.023</v>
      </c>
    </row>
    <row r="11" spans="2:13">
      <c r="B11">
        <v>1935</v>
      </c>
      <c r="C11">
        <v>3.3</v>
      </c>
      <c r="D11">
        <v>465</v>
      </c>
      <c r="E11">
        <f t="shared" si="0"/>
        <v>0.24031007751938</v>
      </c>
      <c r="K11">
        <v>1.935</v>
      </c>
      <c r="L11" t="s">
        <v>174</v>
      </c>
      <c r="M11">
        <v>465</v>
      </c>
    </row>
    <row r="12" spans="11:13">
      <c r="K12">
        <v>294</v>
      </c>
      <c r="L12" t="s">
        <v>166</v>
      </c>
      <c r="M12">
        <v>1</v>
      </c>
    </row>
    <row r="13" spans="2:13">
      <c r="B13">
        <f>B10+B11</f>
        <v>10514</v>
      </c>
      <c r="C13">
        <v>0.6</v>
      </c>
      <c r="D13">
        <f>D10+D11</f>
        <v>2488</v>
      </c>
      <c r="F13" t="s">
        <v>175</v>
      </c>
      <c r="G13" t="s">
        <v>176</v>
      </c>
      <c r="K13">
        <v>57.989</v>
      </c>
      <c r="M13">
        <v>5.019</v>
      </c>
    </row>
    <row r="14" spans="3:7">
      <c r="C14">
        <v>0.8</v>
      </c>
      <c r="F14" s="1">
        <f>C13/100</f>
        <v>0.006</v>
      </c>
      <c r="G14" s="1">
        <v>0.005</v>
      </c>
    </row>
    <row r="15" spans="3:7">
      <c r="C15">
        <v>3.8</v>
      </c>
      <c r="F15" s="1">
        <f t="shared" ref="F15:F22" si="2">C14/100</f>
        <v>0.008</v>
      </c>
      <c r="G15" s="1">
        <v>0.011</v>
      </c>
    </row>
    <row r="16" spans="3:7">
      <c r="C16">
        <v>7.1</v>
      </c>
      <c r="F16" s="1">
        <f t="shared" si="2"/>
        <v>0.038</v>
      </c>
      <c r="G16" s="1">
        <v>0.037</v>
      </c>
    </row>
    <row r="17" spans="3:7">
      <c r="C17">
        <v>12.3</v>
      </c>
      <c r="F17" s="1">
        <f t="shared" si="2"/>
        <v>0.071</v>
      </c>
      <c r="G17" s="1">
        <v>0.059</v>
      </c>
    </row>
    <row r="18" spans="3:7">
      <c r="C18">
        <v>19.1</v>
      </c>
      <c r="F18" s="1">
        <f t="shared" si="2"/>
        <v>0.123</v>
      </c>
      <c r="G18" s="1">
        <v>0.111</v>
      </c>
    </row>
    <row r="19" spans="3:7">
      <c r="C19">
        <v>17.7</v>
      </c>
      <c r="F19" s="1">
        <f t="shared" si="2"/>
        <v>0.191</v>
      </c>
      <c r="G19" s="1">
        <v>0.181</v>
      </c>
    </row>
    <row r="20" spans="3:7">
      <c r="C20">
        <v>19.9</v>
      </c>
      <c r="F20" s="1">
        <f t="shared" si="2"/>
        <v>0.177</v>
      </c>
      <c r="G20" s="1">
        <v>0.183</v>
      </c>
    </row>
    <row r="21" spans="3:7">
      <c r="C21">
        <f>15+3.1</f>
        <v>18.1</v>
      </c>
      <c r="F21" s="1">
        <f t="shared" si="2"/>
        <v>0.199</v>
      </c>
      <c r="G21" s="1">
        <v>0.222</v>
      </c>
    </row>
    <row r="22" spans="6:7">
      <c r="F22" s="1">
        <f t="shared" si="2"/>
        <v>0.181</v>
      </c>
      <c r="G22" s="1">
        <v>0.191</v>
      </c>
    </row>
    <row r="26" spans="5:7">
      <c r="E26">
        <v>318</v>
      </c>
      <c r="F26" t="s">
        <v>166</v>
      </c>
      <c r="G26">
        <v>0</v>
      </c>
    </row>
    <row r="27" spans="3:7">
      <c r="C27">
        <v>2e-5</v>
      </c>
      <c r="E27">
        <v>386</v>
      </c>
      <c r="F27" t="s">
        <v>167</v>
      </c>
      <c r="G27">
        <v>0</v>
      </c>
    </row>
    <row r="28" spans="3:7">
      <c r="C28">
        <v>6e-5</v>
      </c>
      <c r="E28">
        <v>2.192</v>
      </c>
      <c r="F28" t="s">
        <v>168</v>
      </c>
      <c r="G28">
        <v>0</v>
      </c>
    </row>
    <row r="29" spans="3:7">
      <c r="C29">
        <v>0.0003</v>
      </c>
      <c r="E29">
        <v>3.995</v>
      </c>
      <c r="F29" t="s">
        <v>169</v>
      </c>
      <c r="G29">
        <v>12</v>
      </c>
    </row>
    <row r="30" spans="3:7">
      <c r="C30">
        <v>0.0008</v>
      </c>
      <c r="E30">
        <v>7.267</v>
      </c>
      <c r="F30" t="s">
        <v>170</v>
      </c>
      <c r="G30">
        <v>41</v>
      </c>
    </row>
    <row r="31" spans="3:7">
      <c r="C31">
        <v>0.0015</v>
      </c>
      <c r="E31">
        <v>11.28</v>
      </c>
      <c r="F31" t="s">
        <v>171</v>
      </c>
      <c r="G31">
        <v>168</v>
      </c>
    </row>
    <row r="32" spans="3:7">
      <c r="C32">
        <v>0.006</v>
      </c>
      <c r="E32">
        <v>10.423</v>
      </c>
      <c r="F32" t="s">
        <v>172</v>
      </c>
      <c r="G32">
        <v>541</v>
      </c>
    </row>
    <row r="33" spans="3:7">
      <c r="C33">
        <v>0.022</v>
      </c>
      <c r="E33">
        <v>11.32</v>
      </c>
      <c r="F33" t="s">
        <v>171</v>
      </c>
      <c r="G33">
        <v>1.768</v>
      </c>
    </row>
    <row r="34" spans="3:7">
      <c r="C34">
        <v>0.051</v>
      </c>
      <c r="E34">
        <v>8.579</v>
      </c>
      <c r="F34" t="s">
        <v>173</v>
      </c>
      <c r="G34">
        <v>2.023</v>
      </c>
    </row>
    <row r="35" spans="3:7">
      <c r="C35">
        <v>0.093</v>
      </c>
      <c r="E35">
        <v>1.935</v>
      </c>
      <c r="F35" t="s">
        <v>174</v>
      </c>
      <c r="G35">
        <v>465</v>
      </c>
    </row>
    <row r="36" spans="5:7">
      <c r="E36">
        <v>294</v>
      </c>
      <c r="F36" t="s">
        <v>166</v>
      </c>
      <c r="G36">
        <v>1</v>
      </c>
    </row>
    <row r="37" spans="5:7">
      <c r="E37">
        <v>57.989</v>
      </c>
      <c r="G37">
        <v>5.019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DB</vt:lpstr>
      <vt:lpstr>Export Count List_Other lesio_1</vt:lpstr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</dc:creator>
  <cp:lastModifiedBy>calzzone</cp:lastModifiedBy>
  <dcterms:created xsi:type="dcterms:W3CDTF">2020-03-09T09:30:00Z</dcterms:created>
  <dcterms:modified xsi:type="dcterms:W3CDTF">2020-03-30T16:37:49Z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1033-11.1.0.9126</vt:lpwstr>
  </property>
</Properties>
</file>