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344B887F-7E22-4D3E-9F20-B4CCBD330A98}" xr6:coauthVersionLast="47" xr6:coauthVersionMax="47" xr10:uidLastSave="{00000000-0000-0000-0000-000000000000}"/>
  <bookViews>
    <workbookView xWindow="-120" yWindow="-120" windowWidth="20730" windowHeight="11040" tabRatio="924" xr2:uid="{00000000-000D-0000-FFFF-FFFF00000000}"/>
  </bookViews>
  <sheets>
    <sheet name="Summary" sheetId="33" r:id="rId1"/>
    <sheet name="Appetizer &amp; Salad" sheetId="22" r:id="rId2"/>
    <sheet name="Soup" sheetId="23" r:id="rId3"/>
    <sheet name="Oreintal Rice &amp; Noodle" sheetId="29" r:id="rId4"/>
    <sheet name="Asian Corner" sheetId="28" r:id="rId5"/>
    <sheet name="Indian Delight" sheetId="25" r:id="rId6"/>
    <sheet name="Regional Cuisine of Bagan" sheetId="26" r:id="rId7"/>
    <sheet name="Aureum Signature Dishes" sheetId="10" r:id="rId8"/>
    <sheet name="From the Grilled" sheetId="27" r:id="rId9"/>
    <sheet name="Pizza &amp; Pasta" sheetId="1" r:id="rId10"/>
    <sheet name="Sandwich and Snack" sheetId="24" r:id="rId11"/>
    <sheet name="Dessert" sheetId="11" r:id="rId12"/>
    <sheet name="A Little Aureum" sheetId="39" r:id="rId13"/>
    <sheet name="Sheet1" sheetId="5" r:id="rId14"/>
  </sheets>
  <externalReferences>
    <externalReference r:id="rId15"/>
  </externalReferences>
  <definedNames>
    <definedName name="_xlnm._FilterDatabase" localSheetId="1" hidden="1">'Appetizer &amp; Salad'!$B$1:$B$208</definedName>
    <definedName name="_xlnm._FilterDatabase" localSheetId="4" hidden="1">'Asian Corner'!$A$1:$I$175</definedName>
    <definedName name="_xlnm._FilterDatabase" localSheetId="7" hidden="1">'Aureum Signature Dishes'!$B$2:$B$78</definedName>
    <definedName name="_xlnm._FilterDatabase" localSheetId="11" hidden="1">Dessert!#REF!</definedName>
    <definedName name="_xlnm._FilterDatabase" localSheetId="8" hidden="1">'From the Grilled'!$B$164:$B$165</definedName>
    <definedName name="_xlnm._FilterDatabase" localSheetId="5" hidden="1">'Indian Delight'!$A$104:$I$105</definedName>
    <definedName name="_xlnm._FilterDatabase" localSheetId="3" hidden="1">'Oreintal Rice &amp; Noodle'!$A$146:$I$146</definedName>
    <definedName name="_xlnm._FilterDatabase" localSheetId="9" hidden="1">'Pizza &amp; Pasta'!$B$107:$B$159</definedName>
    <definedName name="_xlnm._FilterDatabase" localSheetId="6" hidden="1">'Regional Cuisine of Bagan'!#REF!</definedName>
    <definedName name="_xlnm._FilterDatabase" localSheetId="10" hidden="1">'Sandwich and Snack'!$A$1:$I$167</definedName>
    <definedName name="_xlnm._FilterDatabase" localSheetId="2" hidden="1">Soup!#REF!</definedName>
    <definedName name="aromacoffee">'[1]Market List'!$H$15</definedName>
    <definedName name="banana">'[1]Market List'!$H$30</definedName>
    <definedName name="chocolatesyrup">'[1]Market List'!$H$89</definedName>
    <definedName name="cookie">'[1]Market List'!$H$100</definedName>
    <definedName name="darkchocolate">'[1]Market List'!$H$125</definedName>
    <definedName name="granedinesyrup">'[1]Market List'!$H$173</definedName>
    <definedName name="jasminetea">'[1]Market List'!$H$196</definedName>
    <definedName name="lavazzacoffee">'[1]Market List'!$H$203</definedName>
    <definedName name="milkpure">'[1]Market List'!$H$227</definedName>
    <definedName name="papaya">'[1]Market List'!$H$250</definedName>
    <definedName name="pineapple">'[1]Market List'!$H$267</definedName>
    <definedName name="pineapplejuice">'[1]Market List'!$H$269</definedName>
    <definedName name="_xlnm.Print_Area" localSheetId="0">Summary!$A$1:$Y$112</definedName>
    <definedName name="strawberry">'[1]Market List'!$H$349</definedName>
    <definedName name="sugar">'[1]Market List'!$H$352</definedName>
    <definedName name="vanillaicecream">'[1]Market List'!$H$385</definedName>
    <definedName name="whitesugarlogo">'[1]Market List'!$H$399</definedName>
    <definedName name="yoghurt">'[1]Market List'!$H$406</definedName>
  </definedNames>
  <calcPr calcId="181029"/>
</workbook>
</file>

<file path=xl/calcChain.xml><?xml version="1.0" encoding="utf-8"?>
<calcChain xmlns="http://schemas.openxmlformats.org/spreadsheetml/2006/main">
  <c r="J10" i="10" l="1"/>
  <c r="J83" i="26"/>
  <c r="J57" i="26"/>
  <c r="J39" i="29"/>
  <c r="J59" i="23"/>
  <c r="G51" i="22"/>
  <c r="G36" i="22"/>
  <c r="G12" i="22"/>
  <c r="G60" i="24"/>
  <c r="G61" i="1"/>
  <c r="G34" i="10"/>
  <c r="G34" i="26"/>
  <c r="G10" i="26"/>
  <c r="G258" i="28"/>
  <c r="G233" i="28"/>
  <c r="G96" i="28"/>
  <c r="G280" i="29"/>
  <c r="G248" i="29"/>
  <c r="G214" i="29"/>
  <c r="G154" i="29"/>
  <c r="G96" i="29"/>
  <c r="G69" i="29"/>
  <c r="F39" i="29" l="1"/>
  <c r="G39" i="29"/>
  <c r="G10" i="29"/>
  <c r="G67" i="22"/>
  <c r="H168" i="22" l="1"/>
  <c r="G149" i="22"/>
  <c r="K124" i="28" l="1"/>
  <c r="F145" i="22"/>
  <c r="V103" i="33" l="1"/>
  <c r="V104" i="33"/>
  <c r="V105" i="33"/>
  <c r="V102" i="33"/>
  <c r="V95" i="33"/>
  <c r="V96" i="33"/>
  <c r="V97" i="33"/>
  <c r="V98" i="33"/>
  <c r="V99" i="33"/>
  <c r="V94" i="33"/>
  <c r="V89" i="33"/>
  <c r="V90" i="33"/>
  <c r="V91" i="33"/>
  <c r="V88" i="33"/>
  <c r="V82" i="33"/>
  <c r="V83" i="33"/>
  <c r="V84" i="33"/>
  <c r="V85" i="33"/>
  <c r="V81" i="33"/>
  <c r="V74" i="33"/>
  <c r="V75" i="33"/>
  <c r="V76" i="33"/>
  <c r="V77" i="33"/>
  <c r="V78" i="33"/>
  <c r="V73" i="33"/>
  <c r="V69" i="33"/>
  <c r="V70" i="33"/>
  <c r="V68" i="33"/>
  <c r="V63" i="33"/>
  <c r="V64" i="33"/>
  <c r="V65" i="33"/>
  <c r="V62" i="33"/>
  <c r="V23" i="33"/>
  <c r="V58" i="33"/>
  <c r="V59" i="33"/>
  <c r="V57" i="33"/>
  <c r="V54" i="33"/>
  <c r="V53" i="33"/>
  <c r="V52" i="33"/>
  <c r="V51" i="33"/>
  <c r="V50" i="33"/>
  <c r="V49" i="33"/>
  <c r="V48" i="33"/>
  <c r="V47" i="33"/>
  <c r="V46" i="33"/>
  <c r="V45" i="33"/>
  <c r="V44" i="33"/>
  <c r="V43" i="33"/>
  <c r="V42" i="33"/>
  <c r="V41" i="33"/>
  <c r="V40" i="33"/>
  <c r="V29" i="33"/>
  <c r="V30" i="33"/>
  <c r="V31" i="33"/>
  <c r="V32" i="33"/>
  <c r="V33" i="33"/>
  <c r="V34" i="33"/>
  <c r="V35" i="33"/>
  <c r="V36" i="33"/>
  <c r="V37" i="33"/>
  <c r="V28" i="33"/>
  <c r="V21" i="33"/>
  <c r="V22" i="33"/>
  <c r="V24" i="33"/>
  <c r="V25" i="33"/>
  <c r="V20" i="33"/>
  <c r="V10" i="33"/>
  <c r="V11" i="33"/>
  <c r="V12" i="33"/>
  <c r="V13" i="33"/>
  <c r="V14" i="33"/>
  <c r="V15" i="33"/>
  <c r="V16" i="33"/>
  <c r="V17" i="33"/>
  <c r="V9" i="33"/>
  <c r="M10" i="33"/>
  <c r="Q10" i="33" s="1"/>
  <c r="M11" i="33"/>
  <c r="Q11" i="33" s="1"/>
  <c r="M12" i="33"/>
  <c r="Q12" i="33" s="1"/>
  <c r="M13" i="33"/>
  <c r="S13" i="33" s="1"/>
  <c r="M14" i="33"/>
  <c r="Q14" i="33" s="1"/>
  <c r="M15" i="33"/>
  <c r="Q15" i="33" s="1"/>
  <c r="M16" i="33"/>
  <c r="Q16" i="33" s="1"/>
  <c r="M17" i="33"/>
  <c r="S17" i="33" s="1"/>
  <c r="M20" i="33"/>
  <c r="Q20" i="33" s="1"/>
  <c r="M21" i="33"/>
  <c r="M22" i="33"/>
  <c r="Q22" i="33" s="1"/>
  <c r="M23" i="33"/>
  <c r="S23" i="33" s="1"/>
  <c r="M24" i="33"/>
  <c r="S24" i="33" s="1"/>
  <c r="M25" i="33"/>
  <c r="M26" i="33"/>
  <c r="M27" i="33"/>
  <c r="M28" i="33"/>
  <c r="Q28" i="33" s="1"/>
  <c r="M29" i="33"/>
  <c r="S29" i="33" s="1"/>
  <c r="M30" i="33"/>
  <c r="S30" i="33" s="1"/>
  <c r="M31" i="33"/>
  <c r="Q31" i="33" s="1"/>
  <c r="M32" i="33"/>
  <c r="Q32" i="33" s="1"/>
  <c r="M33" i="33"/>
  <c r="S33" i="33" s="1"/>
  <c r="M34" i="33"/>
  <c r="S34" i="33" s="1"/>
  <c r="M35" i="33"/>
  <c r="Q35" i="33" s="1"/>
  <c r="M36" i="33"/>
  <c r="Q36" i="33" s="1"/>
  <c r="M37" i="33"/>
  <c r="S37" i="33" s="1"/>
  <c r="M40" i="33"/>
  <c r="S40" i="33" s="1"/>
  <c r="M41" i="33"/>
  <c r="Q41" i="33" s="1"/>
  <c r="M42" i="33"/>
  <c r="Q42" i="33" s="1"/>
  <c r="M43" i="33"/>
  <c r="S43" i="33" s="1"/>
  <c r="M44" i="33"/>
  <c r="S44" i="33" s="1"/>
  <c r="M45" i="33"/>
  <c r="Q45" i="33" s="1"/>
  <c r="M46" i="33"/>
  <c r="Q46" i="33" s="1"/>
  <c r="M47" i="33"/>
  <c r="S47" i="33" s="1"/>
  <c r="M48" i="33"/>
  <c r="S48" i="33" s="1"/>
  <c r="M49" i="33"/>
  <c r="Q49" i="33" s="1"/>
  <c r="M50" i="33"/>
  <c r="Q50" i="33" s="1"/>
  <c r="M51" i="33"/>
  <c r="S51" i="33" s="1"/>
  <c r="M52" i="33"/>
  <c r="S52" i="33" s="1"/>
  <c r="M53" i="33"/>
  <c r="Q53" i="33" s="1"/>
  <c r="M54" i="33"/>
  <c r="M57" i="33"/>
  <c r="S57" i="33" s="1"/>
  <c r="M58" i="33"/>
  <c r="S58" i="33" s="1"/>
  <c r="M59" i="33"/>
  <c r="Q59" i="33" s="1"/>
  <c r="M62" i="33"/>
  <c r="Q62" i="33" s="1"/>
  <c r="M63" i="33"/>
  <c r="S63" i="33" s="1"/>
  <c r="M64" i="33"/>
  <c r="S64" i="33" s="1"/>
  <c r="M65" i="33"/>
  <c r="Q65" i="33" s="1"/>
  <c r="M68" i="33"/>
  <c r="Q68" i="33" s="1"/>
  <c r="M69" i="33"/>
  <c r="S69" i="33" s="1"/>
  <c r="M70" i="33"/>
  <c r="S70" i="33" s="1"/>
  <c r="M73" i="33"/>
  <c r="Q73" i="33" s="1"/>
  <c r="M74" i="33"/>
  <c r="Q74" i="33" s="1"/>
  <c r="M75" i="33"/>
  <c r="S75" i="33" s="1"/>
  <c r="M76" i="33"/>
  <c r="S76" i="33" s="1"/>
  <c r="M77" i="33"/>
  <c r="Q77" i="33" s="1"/>
  <c r="M78" i="33"/>
  <c r="Q78" i="33" s="1"/>
  <c r="M81" i="33"/>
  <c r="S81" i="33" s="1"/>
  <c r="M82" i="33"/>
  <c r="S82" i="33" s="1"/>
  <c r="M83" i="33"/>
  <c r="Q83" i="33" s="1"/>
  <c r="M84" i="33"/>
  <c r="Q84" i="33" s="1"/>
  <c r="M85" i="33"/>
  <c r="S85" i="33" s="1"/>
  <c r="M88" i="33"/>
  <c r="S88" i="33" s="1"/>
  <c r="M89" i="33"/>
  <c r="Q89" i="33" s="1"/>
  <c r="M90" i="33"/>
  <c r="Q90" i="33" s="1"/>
  <c r="M91" i="33"/>
  <c r="S91" i="33" s="1"/>
  <c r="M94" i="33"/>
  <c r="S94" i="33" s="1"/>
  <c r="M95" i="33"/>
  <c r="Q95" i="33" s="1"/>
  <c r="M96" i="33"/>
  <c r="Q96" i="33" s="1"/>
  <c r="M97" i="33"/>
  <c r="S97" i="33" s="1"/>
  <c r="M98" i="33"/>
  <c r="S98" i="33" s="1"/>
  <c r="M99" i="33"/>
  <c r="Q99" i="33" s="1"/>
  <c r="M102" i="33"/>
  <c r="Q102" i="33" s="1"/>
  <c r="M103" i="33"/>
  <c r="S103" i="33" s="1"/>
  <c r="M104" i="33"/>
  <c r="S104" i="33" s="1"/>
  <c r="M105" i="33"/>
  <c r="Q105" i="33" s="1"/>
  <c r="M9" i="33"/>
  <c r="Q9" i="33" s="1"/>
  <c r="Q64" i="33" l="1"/>
  <c r="Q52" i="33"/>
  <c r="Q34" i="33"/>
  <c r="Q24" i="33"/>
  <c r="Q98" i="33"/>
  <c r="Q88" i="33"/>
  <c r="Q76" i="33"/>
  <c r="Q82" i="33"/>
  <c r="S9" i="33"/>
  <c r="Q103" i="33"/>
  <c r="Q97" i="33"/>
  <c r="Q91" i="33"/>
  <c r="Q85" i="33"/>
  <c r="Q81" i="33"/>
  <c r="Q75" i="33"/>
  <c r="Q69" i="33"/>
  <c r="Q63" i="33"/>
  <c r="Q57" i="33"/>
  <c r="Q51" i="33"/>
  <c r="Q47" i="33"/>
  <c r="Q43" i="33"/>
  <c r="Q37" i="33"/>
  <c r="Q33" i="33"/>
  <c r="Q29" i="33"/>
  <c r="Q23" i="33"/>
  <c r="Q13" i="33"/>
  <c r="S102" i="33"/>
  <c r="S96" i="33"/>
  <c r="S90" i="33"/>
  <c r="S84" i="33"/>
  <c r="S78" i="33"/>
  <c r="S74" i="33"/>
  <c r="S68" i="33"/>
  <c r="S62" i="33"/>
  <c r="S54" i="33"/>
  <c r="S50" i="33"/>
  <c r="S46" i="33"/>
  <c r="S42" i="33"/>
  <c r="S36" i="33"/>
  <c r="S32" i="33"/>
  <c r="S28" i="33"/>
  <c r="S22" i="33"/>
  <c r="S16" i="33"/>
  <c r="S12" i="33"/>
  <c r="Q94" i="33"/>
  <c r="Q58" i="33"/>
  <c r="Q48" i="33"/>
  <c r="Q40" i="33"/>
  <c r="Q104" i="33"/>
  <c r="Q70" i="33"/>
  <c r="Q30" i="33"/>
  <c r="S105" i="33"/>
  <c r="S99" i="33"/>
  <c r="S95" i="33"/>
  <c r="S89" i="33"/>
  <c r="S83" i="33"/>
  <c r="S77" i="33"/>
  <c r="S73" i="33"/>
  <c r="S65" i="33"/>
  <c r="S59" i="33"/>
  <c r="S53" i="33"/>
  <c r="S49" i="33"/>
  <c r="S45" i="33"/>
  <c r="S41" i="33"/>
  <c r="S35" i="33"/>
  <c r="S31" i="33"/>
  <c r="S25" i="33"/>
  <c r="S21" i="33"/>
  <c r="S15" i="33"/>
  <c r="S11" i="33"/>
  <c r="S20" i="33"/>
  <c r="S14" i="33"/>
  <c r="S10" i="33"/>
  <c r="B13" i="33" l="1"/>
  <c r="G88" i="39"/>
  <c r="G62" i="39"/>
  <c r="G35" i="39"/>
  <c r="G7" i="39"/>
  <c r="G150" i="11"/>
  <c r="G129" i="11"/>
  <c r="G110" i="11"/>
  <c r="G48" i="11"/>
  <c r="G25" i="11"/>
  <c r="G7" i="11"/>
  <c r="G140" i="24"/>
  <c r="G93" i="24"/>
  <c r="G47" i="24"/>
  <c r="G7" i="24"/>
  <c r="G108" i="1"/>
  <c r="G84" i="1"/>
  <c r="G58" i="1"/>
  <c r="G34" i="1"/>
  <c r="G7" i="1"/>
  <c r="G140" i="27"/>
  <c r="G116" i="27"/>
  <c r="G89" i="27"/>
  <c r="G60" i="27"/>
  <c r="G32" i="27"/>
  <c r="G7" i="27"/>
  <c r="G55" i="10"/>
  <c r="G31" i="10"/>
  <c r="G7" i="10"/>
  <c r="G80" i="26"/>
  <c r="G54" i="26"/>
  <c r="G31" i="26"/>
  <c r="G7" i="26"/>
  <c r="G73" i="25"/>
  <c r="G36" i="25"/>
  <c r="G8" i="25"/>
  <c r="G392" i="28"/>
  <c r="G363" i="28"/>
  <c r="G336" i="28"/>
  <c r="G307" i="28"/>
  <c r="G280" i="28"/>
  <c r="G255" i="28"/>
  <c r="G230" i="28"/>
  <c r="G203" i="28"/>
  <c r="G178" i="28"/>
  <c r="G148" i="28"/>
  <c r="G121" i="28"/>
  <c r="G93" i="28"/>
  <c r="G64" i="28"/>
  <c r="G35" i="28"/>
  <c r="G7" i="28"/>
  <c r="G277" i="29"/>
  <c r="G245" i="29"/>
  <c r="G211" i="29"/>
  <c r="G179" i="29"/>
  <c r="G151" i="29"/>
  <c r="G122" i="29"/>
  <c r="G93" i="29"/>
  <c r="G66" i="29"/>
  <c r="G36" i="29"/>
  <c r="G7" i="29"/>
  <c r="G131" i="23" l="1"/>
  <c r="G109" i="23"/>
  <c r="G81" i="23"/>
  <c r="G56" i="23"/>
  <c r="G30" i="23"/>
  <c r="G7" i="23"/>
  <c r="G191" i="22"/>
  <c r="G164" i="22"/>
  <c r="G142" i="22"/>
  <c r="G116" i="22"/>
  <c r="G87" i="22"/>
  <c r="H107" i="22" s="1"/>
  <c r="G64" i="22"/>
  <c r="G47" i="22"/>
  <c r="G31" i="22"/>
  <c r="G6" i="22"/>
  <c r="H22" i="22" s="1"/>
  <c r="F93" i="39" l="1"/>
  <c r="H93" i="39" s="1"/>
  <c r="I93" i="39" s="1"/>
  <c r="G20" i="24"/>
  <c r="G145" i="22" l="1"/>
  <c r="H105" i="39"/>
  <c r="H106" i="39" s="1"/>
  <c r="H79" i="39"/>
  <c r="H80" i="39" s="1"/>
  <c r="H51" i="39"/>
  <c r="H52" i="39" s="1"/>
  <c r="I34" i="39"/>
  <c r="I61" i="39" s="1"/>
  <c r="I87" i="39" s="1"/>
  <c r="H25" i="39"/>
  <c r="H26" i="39" s="1"/>
  <c r="H162" i="11"/>
  <c r="H163" i="11" s="1"/>
  <c r="H141" i="11"/>
  <c r="H142" i="11" s="1"/>
  <c r="H120" i="11"/>
  <c r="H121" i="11" s="1"/>
  <c r="H102" i="11"/>
  <c r="H103" i="11" s="1"/>
  <c r="H80" i="11"/>
  <c r="H81" i="11" s="1"/>
  <c r="H59" i="11"/>
  <c r="H60" i="11" s="1"/>
  <c r="H39" i="11"/>
  <c r="H40" i="11" s="1"/>
  <c r="I24" i="11"/>
  <c r="I47" i="11" s="1"/>
  <c r="I67" i="11" s="1"/>
  <c r="I109" i="11" s="1"/>
  <c r="I128" i="11" s="1"/>
  <c r="I149" i="11" s="1"/>
  <c r="H17" i="11"/>
  <c r="H18" i="11" s="1"/>
  <c r="H161" i="24"/>
  <c r="H162" i="24" s="1"/>
  <c r="H130" i="24"/>
  <c r="H131" i="24" s="1"/>
  <c r="H82" i="24"/>
  <c r="H83" i="24" s="1"/>
  <c r="I46" i="24"/>
  <c r="I92" i="24" s="1"/>
  <c r="I139" i="24" s="1"/>
  <c r="H37" i="24"/>
  <c r="H38" i="24" s="1"/>
  <c r="H124" i="1"/>
  <c r="H125" i="1" s="1"/>
  <c r="H98" i="1" l="1"/>
  <c r="H99" i="1" s="1"/>
  <c r="H74" i="1"/>
  <c r="H75" i="1" s="1"/>
  <c r="H48" i="1"/>
  <c r="H49" i="1" s="1"/>
  <c r="I33" i="1"/>
  <c r="I57" i="1" s="1"/>
  <c r="I83" i="1" s="1"/>
  <c r="I107" i="1" s="1"/>
  <c r="H159" i="27"/>
  <c r="H160" i="27" s="1"/>
  <c r="H131" i="27"/>
  <c r="H132" i="27" s="1"/>
  <c r="H106" i="27"/>
  <c r="H107" i="27" s="1"/>
  <c r="H79" i="27"/>
  <c r="H80" i="27" s="1"/>
  <c r="H51" i="27"/>
  <c r="H52" i="27" s="1"/>
  <c r="I31" i="27"/>
  <c r="I59" i="27" s="1"/>
  <c r="I88" i="27" s="1"/>
  <c r="I115" i="27" s="1"/>
  <c r="I139" i="27" s="1"/>
  <c r="H23" i="27"/>
  <c r="H24" i="27" s="1"/>
  <c r="H71" i="10"/>
  <c r="H72" i="10" s="1"/>
  <c r="H46" i="10"/>
  <c r="H47" i="10" s="1"/>
  <c r="I30" i="10"/>
  <c r="I54" i="10" s="1"/>
  <c r="H22" i="10"/>
  <c r="H23" i="10" s="1"/>
  <c r="H97" i="26"/>
  <c r="H98" i="26" s="1"/>
  <c r="H71" i="26"/>
  <c r="H72" i="26" s="1"/>
  <c r="H45" i="26"/>
  <c r="H46" i="26" s="1"/>
  <c r="I30" i="26"/>
  <c r="I53" i="26" s="1"/>
  <c r="I79" i="26" s="1"/>
  <c r="H22" i="26"/>
  <c r="H23" i="26" s="1"/>
  <c r="H98" i="25"/>
  <c r="H99" i="25" s="1"/>
  <c r="H62" i="25"/>
  <c r="H63" i="25" s="1"/>
  <c r="H27" i="25"/>
  <c r="H28" i="25" s="1"/>
  <c r="I35" i="25"/>
  <c r="I72" i="25" s="1"/>
  <c r="H406" i="28" l="1"/>
  <c r="H407" i="28" s="1"/>
  <c r="H353" i="28"/>
  <c r="H354" i="28" s="1"/>
  <c r="H326" i="28"/>
  <c r="H327" i="28" s="1"/>
  <c r="H298" i="28"/>
  <c r="H299" i="28" s="1"/>
  <c r="H271" i="28"/>
  <c r="H272" i="28" s="1"/>
  <c r="H245" i="28"/>
  <c r="H246" i="28" s="1"/>
  <c r="H220" i="28"/>
  <c r="H221" i="28" s="1"/>
  <c r="H192" i="28"/>
  <c r="H193" i="28" s="1"/>
  <c r="H167" i="28"/>
  <c r="H168" i="28" s="1"/>
  <c r="H139" i="28"/>
  <c r="H140" i="28" s="1"/>
  <c r="H110" i="28"/>
  <c r="H111" i="28" s="1"/>
  <c r="H83" i="28"/>
  <c r="H84" i="28" s="1"/>
  <c r="I34" i="28"/>
  <c r="I63" i="28" s="1"/>
  <c r="H54" i="28"/>
  <c r="H55" i="28" s="1"/>
  <c r="H26" i="28"/>
  <c r="H27" i="28" s="1"/>
  <c r="H298" i="29"/>
  <c r="H299" i="29" s="1"/>
  <c r="H267" i="29"/>
  <c r="H268" i="29" s="1"/>
  <c r="H234" i="29"/>
  <c r="H235" i="29" s="1"/>
  <c r="H201" i="29"/>
  <c r="H202" i="29" s="1"/>
  <c r="H170" i="29"/>
  <c r="H171" i="29" s="1"/>
  <c r="H141" i="29"/>
  <c r="H142" i="29" s="1"/>
  <c r="H114" i="29"/>
  <c r="H115" i="29" s="1"/>
  <c r="H84" i="29"/>
  <c r="H85" i="29" s="1"/>
  <c r="H55" i="29"/>
  <c r="H56" i="29" s="1"/>
  <c r="I35" i="29"/>
  <c r="I65" i="29" s="1"/>
  <c r="I92" i="29" s="1"/>
  <c r="I121" i="29" s="1"/>
  <c r="I150" i="29" s="1"/>
  <c r="I178" i="29" s="1"/>
  <c r="I210" i="29" s="1"/>
  <c r="I244" i="29" s="1"/>
  <c r="I276" i="29" s="1"/>
  <c r="H26" i="29"/>
  <c r="H27" i="29" s="1"/>
  <c r="I30" i="22"/>
  <c r="I46" i="22" s="1"/>
  <c r="I63" i="22" s="1"/>
  <c r="I86" i="22" s="1"/>
  <c r="I115" i="22" s="1"/>
  <c r="I29" i="23"/>
  <c r="I55" i="23" s="1"/>
  <c r="I80" i="23" s="1"/>
  <c r="I108" i="23" s="1"/>
  <c r="I130" i="23" s="1"/>
  <c r="H142" i="23"/>
  <c r="H143" i="23" s="1"/>
  <c r="H123" i="23"/>
  <c r="H99" i="23"/>
  <c r="H70" i="23"/>
  <c r="H71" i="23" s="1"/>
  <c r="I92" i="28" l="1"/>
  <c r="I177" i="28"/>
  <c r="I141" i="22"/>
  <c r="I163" i="22" s="1"/>
  <c r="I190" i="22" s="1"/>
  <c r="I202" i="28"/>
  <c r="I229" i="28" s="1"/>
  <c r="I254" i="28" s="1"/>
  <c r="I279" i="28" s="1"/>
  <c r="I306" i="28" s="1"/>
  <c r="I335" i="28" s="1"/>
  <c r="I362" i="28" s="1"/>
  <c r="I391" i="28" s="1"/>
  <c r="H47" i="23"/>
  <c r="H48" i="23" s="1"/>
  <c r="H23" i="23"/>
  <c r="H24" i="23" s="1"/>
  <c r="H202" i="22"/>
  <c r="H203" i="22" s="1"/>
  <c r="H182" i="22"/>
  <c r="H183" i="22" s="1"/>
  <c r="H154" i="22"/>
  <c r="H155" i="22" s="1"/>
  <c r="H131" i="22"/>
  <c r="H132" i="22" s="1"/>
  <c r="H108" i="22"/>
  <c r="H77" i="22"/>
  <c r="H78" i="22" s="1"/>
  <c r="H54" i="22"/>
  <c r="H55" i="22" s="1"/>
  <c r="H39" i="22"/>
  <c r="H40" i="22" s="1"/>
  <c r="H23" i="22"/>
  <c r="I120" i="28" l="1"/>
  <c r="I147" i="28"/>
  <c r="G101" i="39" l="1"/>
  <c r="G74" i="39"/>
  <c r="G13" i="39"/>
  <c r="G133" i="11"/>
  <c r="G29" i="11"/>
  <c r="G155" i="24"/>
  <c r="G63" i="10" l="1"/>
  <c r="G59" i="10"/>
  <c r="G19" i="10" l="1"/>
  <c r="G93" i="26" l="1"/>
  <c r="G85" i="26"/>
  <c r="G42" i="26"/>
  <c r="G41" i="26"/>
  <c r="G67" i="26" l="1"/>
  <c r="G60" i="26"/>
  <c r="G19" i="26" l="1"/>
  <c r="G79" i="25"/>
  <c r="G402" i="28" l="1"/>
  <c r="G401" i="28"/>
  <c r="G379" i="28"/>
  <c r="G377" i="28"/>
  <c r="G349" i="28"/>
  <c r="G347" i="28"/>
  <c r="G323" i="28"/>
  <c r="G319" i="28"/>
  <c r="G294" i="28"/>
  <c r="G292" i="28"/>
  <c r="G267" i="28"/>
  <c r="G265" i="28"/>
  <c r="G242" i="28"/>
  <c r="G216" i="28"/>
  <c r="G215" i="28"/>
  <c r="G188" i="28"/>
  <c r="G187" i="28"/>
  <c r="G164" i="28"/>
  <c r="G160" i="28"/>
  <c r="G135" i="28"/>
  <c r="G133" i="28"/>
  <c r="G107" i="28"/>
  <c r="G100" i="28"/>
  <c r="G80" i="28"/>
  <c r="G75" i="28"/>
  <c r="G51" i="28"/>
  <c r="G47" i="28"/>
  <c r="G21" i="28"/>
  <c r="G19" i="28"/>
  <c r="G286" i="29" l="1"/>
  <c r="G284" i="29"/>
  <c r="G254" i="29"/>
  <c r="G252" i="29"/>
  <c r="G222" i="29"/>
  <c r="G220" i="29"/>
  <c r="G189" i="29"/>
  <c r="G187" i="29"/>
  <c r="G159" i="29"/>
  <c r="G130" i="29"/>
  <c r="G103" i="29"/>
  <c r="G101" i="29"/>
  <c r="G77" i="29"/>
  <c r="G75" i="29"/>
  <c r="G44" i="29"/>
  <c r="G15" i="29"/>
  <c r="G65" i="23" l="1"/>
  <c r="G42" i="23"/>
  <c r="G17" i="23"/>
  <c r="H198" i="22"/>
  <c r="I198" i="22" s="1"/>
  <c r="G169" i="22"/>
  <c r="G120" i="22" l="1"/>
  <c r="G98" i="22" l="1"/>
  <c r="G17" i="22" l="1"/>
  <c r="G16" i="22"/>
  <c r="G14" i="22"/>
  <c r="G13" i="22"/>
  <c r="H85" i="25" l="1"/>
  <c r="I85" i="25" s="1"/>
  <c r="H86" i="25"/>
  <c r="I86" i="25" s="1"/>
  <c r="H87" i="25"/>
  <c r="I87" i="25" s="1"/>
  <c r="H88" i="25"/>
  <c r="I88" i="25" s="1"/>
  <c r="H89" i="25"/>
  <c r="I89" i="25" s="1"/>
  <c r="H90" i="25"/>
  <c r="I90" i="25" s="1"/>
  <c r="H91" i="25"/>
  <c r="I91" i="25" s="1"/>
  <c r="H92" i="25"/>
  <c r="I92" i="25" s="1"/>
  <c r="H93" i="25"/>
  <c r="I93" i="25" s="1"/>
  <c r="H94" i="25"/>
  <c r="I94" i="25" s="1"/>
  <c r="H95" i="25"/>
  <c r="I95" i="25" s="1"/>
  <c r="H48" i="25"/>
  <c r="I48" i="25" s="1"/>
  <c r="H49" i="25"/>
  <c r="I49" i="25" s="1"/>
  <c r="H50" i="25"/>
  <c r="I50" i="25" s="1"/>
  <c r="H51" i="25"/>
  <c r="I51" i="25" s="1"/>
  <c r="H52" i="25"/>
  <c r="I52" i="25" s="1"/>
  <c r="H53" i="25"/>
  <c r="I53" i="25" s="1"/>
  <c r="H54" i="25"/>
  <c r="I54" i="25" s="1"/>
  <c r="H55" i="25"/>
  <c r="I55" i="25" s="1"/>
  <c r="H56" i="25"/>
  <c r="I56" i="25" s="1"/>
  <c r="H57" i="25"/>
  <c r="I57" i="25" s="1"/>
  <c r="H58" i="25"/>
  <c r="I58" i="25" s="1"/>
  <c r="K103" i="33"/>
  <c r="K105" i="33"/>
  <c r="B105" i="33"/>
  <c r="K104" i="33"/>
  <c r="B104" i="33"/>
  <c r="L103" i="33"/>
  <c r="B103" i="33"/>
  <c r="L102" i="33"/>
  <c r="B102" i="33"/>
  <c r="H74" i="39"/>
  <c r="I74" i="39" s="1"/>
  <c r="H73" i="39"/>
  <c r="I73" i="39" s="1"/>
  <c r="H46" i="39"/>
  <c r="I46" i="39" s="1"/>
  <c r="H47" i="39"/>
  <c r="I47" i="39" s="1"/>
  <c r="N99" i="33"/>
  <c r="B99" i="33"/>
  <c r="B98" i="33"/>
  <c r="B97" i="33"/>
  <c r="B95" i="33"/>
  <c r="B94" i="33"/>
  <c r="H158" i="11"/>
  <c r="I158" i="11" s="1"/>
  <c r="H159" i="11"/>
  <c r="I159" i="11" s="1"/>
  <c r="H136" i="11"/>
  <c r="I136" i="11" s="1"/>
  <c r="H137" i="11"/>
  <c r="I137" i="11" s="1"/>
  <c r="H77" i="11"/>
  <c r="I77" i="11" s="1"/>
  <c r="H33" i="11"/>
  <c r="I33" i="11" s="1"/>
  <c r="H34" i="11"/>
  <c r="I34" i="11" s="1"/>
  <c r="H35" i="11"/>
  <c r="I35" i="11" s="1"/>
  <c r="H36" i="11"/>
  <c r="I36" i="11" s="1"/>
  <c r="B90" i="33"/>
  <c r="B91" i="33"/>
  <c r="B89" i="33"/>
  <c r="B88" i="33"/>
  <c r="H75" i="24"/>
  <c r="I75" i="24" s="1"/>
  <c r="H66" i="24"/>
  <c r="I66" i="24" s="1"/>
  <c r="H67" i="24"/>
  <c r="I67" i="24" s="1"/>
  <c r="H26" i="24"/>
  <c r="I26" i="24" s="1"/>
  <c r="H27" i="24"/>
  <c r="I27" i="24" s="1"/>
  <c r="H34" i="24"/>
  <c r="B85" i="33"/>
  <c r="B84" i="33"/>
  <c r="B83" i="33"/>
  <c r="B82" i="33"/>
  <c r="B81" i="33"/>
  <c r="I121" i="1"/>
  <c r="H118" i="1"/>
  <c r="I118" i="1" s="1"/>
  <c r="H120" i="1"/>
  <c r="I120" i="1" s="1"/>
  <c r="H94" i="1"/>
  <c r="I94" i="1" s="1"/>
  <c r="H95" i="1"/>
  <c r="I95" i="1" s="1"/>
  <c r="H67" i="1"/>
  <c r="I67" i="1" s="1"/>
  <c r="H68" i="1"/>
  <c r="I68" i="1" s="1"/>
  <c r="H69" i="1"/>
  <c r="I69" i="1" s="1"/>
  <c r="H71" i="1"/>
  <c r="I71" i="1" s="1"/>
  <c r="H45" i="1"/>
  <c r="I45" i="1" s="1"/>
  <c r="H19" i="1"/>
  <c r="I19" i="1" s="1"/>
  <c r="H20" i="1"/>
  <c r="I20" i="1" s="1"/>
  <c r="H21" i="1"/>
  <c r="I21" i="1" s="1"/>
  <c r="B78" i="33"/>
  <c r="B77" i="33"/>
  <c r="B76" i="33"/>
  <c r="B75" i="33"/>
  <c r="B74" i="33"/>
  <c r="B73" i="33"/>
  <c r="H152" i="27"/>
  <c r="I152" i="27" s="1"/>
  <c r="H153" i="27"/>
  <c r="I153" i="27" s="1"/>
  <c r="H154" i="27"/>
  <c r="I154" i="27" s="1"/>
  <c r="H155" i="27"/>
  <c r="I155" i="27" s="1"/>
  <c r="H156" i="27"/>
  <c r="I156" i="27" s="1"/>
  <c r="H126" i="27"/>
  <c r="I126" i="27" s="1"/>
  <c r="H127" i="27"/>
  <c r="I127" i="27" s="1"/>
  <c r="H128" i="27"/>
  <c r="I128" i="27" s="1"/>
  <c r="H101" i="27"/>
  <c r="I101" i="27" s="1"/>
  <c r="H102" i="27"/>
  <c r="I102" i="27" s="1"/>
  <c r="H103" i="27"/>
  <c r="I103" i="27" s="1"/>
  <c r="H43" i="27"/>
  <c r="I43" i="27" s="1"/>
  <c r="H44" i="27"/>
  <c r="I44" i="27" s="1"/>
  <c r="H45" i="27"/>
  <c r="I45" i="27" s="1"/>
  <c r="H46" i="27"/>
  <c r="I46" i="27" s="1"/>
  <c r="H47" i="27"/>
  <c r="I47" i="27" s="1"/>
  <c r="H48" i="27"/>
  <c r="I48" i="27" s="1"/>
  <c r="H19" i="27"/>
  <c r="I19" i="27" s="1"/>
  <c r="H20" i="27"/>
  <c r="I20" i="27" s="1"/>
  <c r="B70" i="33"/>
  <c r="B69" i="33"/>
  <c r="B68" i="33"/>
  <c r="L99" i="33" l="1"/>
  <c r="K102" i="33"/>
  <c r="N105" i="33"/>
  <c r="K99" i="33"/>
  <c r="N104" i="33"/>
  <c r="L105" i="33"/>
  <c r="N103" i="33"/>
  <c r="L104" i="33"/>
  <c r="N102" i="33"/>
  <c r="H64" i="10"/>
  <c r="I64" i="10" s="1"/>
  <c r="H65" i="10"/>
  <c r="I65" i="10" s="1"/>
  <c r="H66" i="10"/>
  <c r="I66" i="10" s="1"/>
  <c r="H67" i="10"/>
  <c r="I67" i="10" s="1"/>
  <c r="H68" i="10"/>
  <c r="I68" i="10" s="1"/>
  <c r="H63" i="10"/>
  <c r="I63" i="10" s="1"/>
  <c r="G35" i="10"/>
  <c r="H35" i="10" s="1"/>
  <c r="I35" i="10" s="1"/>
  <c r="H36" i="10"/>
  <c r="I36" i="10" s="1"/>
  <c r="H37" i="10"/>
  <c r="I37" i="10" s="1"/>
  <c r="H38" i="10"/>
  <c r="I38" i="10" s="1"/>
  <c r="H39" i="10"/>
  <c r="I39" i="10" s="1"/>
  <c r="H40" i="10"/>
  <c r="I40" i="10" s="1"/>
  <c r="H41" i="10"/>
  <c r="I41" i="10" s="1"/>
  <c r="H42" i="10"/>
  <c r="I42" i="10" s="1"/>
  <c r="H43" i="10"/>
  <c r="I43" i="10" s="1"/>
  <c r="H14" i="10"/>
  <c r="I14" i="10" s="1"/>
  <c r="H15" i="10"/>
  <c r="I15" i="10" s="1"/>
  <c r="H16" i="10"/>
  <c r="I16" i="10" s="1"/>
  <c r="H17" i="10"/>
  <c r="I17" i="10" s="1"/>
  <c r="H18" i="10"/>
  <c r="I18" i="10" s="1"/>
  <c r="H19" i="10"/>
  <c r="I19" i="10" s="1"/>
  <c r="B65" i="33"/>
  <c r="B64" i="33"/>
  <c r="B63" i="33"/>
  <c r="B62" i="33"/>
  <c r="W99" i="33" l="1"/>
  <c r="W102" i="33"/>
  <c r="W103" i="33"/>
  <c r="W104" i="33"/>
  <c r="W105" i="33"/>
  <c r="H94" i="26"/>
  <c r="I94" i="26" s="1"/>
  <c r="H93" i="26"/>
  <c r="I93" i="26" s="1"/>
  <c r="B59" i="33"/>
  <c r="B58" i="33"/>
  <c r="B57" i="33"/>
  <c r="N54" i="33" l="1"/>
  <c r="B54" i="33"/>
  <c r="F402" i="28"/>
  <c r="B53" i="33"/>
  <c r="N52" i="33"/>
  <c r="B52" i="33"/>
  <c r="L51" i="33"/>
  <c r="B51" i="33"/>
  <c r="N50" i="33"/>
  <c r="B50" i="33"/>
  <c r="L49" i="33"/>
  <c r="B49" i="33"/>
  <c r="N48" i="33"/>
  <c r="B48" i="33"/>
  <c r="B47" i="33"/>
  <c r="N46" i="33"/>
  <c r="B46" i="33"/>
  <c r="K45" i="33"/>
  <c r="B45" i="33"/>
  <c r="N44" i="33"/>
  <c r="B44" i="33"/>
  <c r="N43" i="33"/>
  <c r="B43" i="33"/>
  <c r="N42" i="33"/>
  <c r="B42" i="33"/>
  <c r="B41" i="33"/>
  <c r="B40" i="33"/>
  <c r="F379" i="28"/>
  <c r="H350" i="28"/>
  <c r="I350" i="28" s="1"/>
  <c r="L54" i="33" l="1"/>
  <c r="K54" i="33"/>
  <c r="H402" i="28"/>
  <c r="I402" i="28" s="1"/>
  <c r="K49" i="33"/>
  <c r="L50" i="33"/>
  <c r="L46" i="33"/>
  <c r="L43" i="33"/>
  <c r="L52" i="33"/>
  <c r="L48" i="33"/>
  <c r="L44" i="33"/>
  <c r="L42" i="33"/>
  <c r="L41" i="33"/>
  <c r="N41" i="33"/>
  <c r="L47" i="33"/>
  <c r="N47" i="33"/>
  <c r="N51" i="33"/>
  <c r="L45" i="33"/>
  <c r="N45" i="33"/>
  <c r="K51" i="33"/>
  <c r="K47" i="33"/>
  <c r="K41" i="33"/>
  <c r="N49" i="33"/>
  <c r="H379" i="28"/>
  <c r="I379" i="28" s="1"/>
  <c r="K52" i="33"/>
  <c r="W52" i="33" s="1"/>
  <c r="K50" i="33"/>
  <c r="K48" i="33"/>
  <c r="K46" i="33"/>
  <c r="W46" i="33" s="1"/>
  <c r="K44" i="33"/>
  <c r="W44" i="33" s="1"/>
  <c r="K43" i="33"/>
  <c r="K42" i="33"/>
  <c r="H323" i="28"/>
  <c r="I323" i="28" s="1"/>
  <c r="G289" i="28"/>
  <c r="G130" i="28"/>
  <c r="F80" i="28"/>
  <c r="F79" i="28"/>
  <c r="H79" i="28" s="1"/>
  <c r="F78" i="28"/>
  <c r="H78" i="28" s="1"/>
  <c r="I78" i="28" s="1"/>
  <c r="F77" i="28"/>
  <c r="H77" i="28" s="1"/>
  <c r="I77" i="28" s="1"/>
  <c r="F76" i="28"/>
  <c r="H76" i="28" s="1"/>
  <c r="I76" i="28" s="1"/>
  <c r="F75" i="28"/>
  <c r="F74" i="28"/>
  <c r="H74" i="28" s="1"/>
  <c r="I74" i="28" s="1"/>
  <c r="F73" i="28"/>
  <c r="H73" i="28" s="1"/>
  <c r="I73" i="28" s="1"/>
  <c r="F72" i="28"/>
  <c r="H72" i="28" s="1"/>
  <c r="I72" i="28" s="1"/>
  <c r="F71" i="28"/>
  <c r="H71" i="28" s="1"/>
  <c r="I71" i="28" s="1"/>
  <c r="F70" i="28"/>
  <c r="H70" i="28" s="1"/>
  <c r="I70" i="28" s="1"/>
  <c r="F69" i="28"/>
  <c r="H69" i="28" s="1"/>
  <c r="I69" i="28" s="1"/>
  <c r="F68" i="28"/>
  <c r="H68" i="28" s="1"/>
  <c r="I68" i="28" s="1"/>
  <c r="F67" i="28"/>
  <c r="H67" i="28" s="1"/>
  <c r="F51" i="28"/>
  <c r="F50" i="28"/>
  <c r="H50" i="28" s="1"/>
  <c r="I50" i="28" s="1"/>
  <c r="F49" i="28"/>
  <c r="H49" i="28" s="1"/>
  <c r="I49" i="28" s="1"/>
  <c r="F48" i="28"/>
  <c r="H48" i="28" s="1"/>
  <c r="I48" i="28" s="1"/>
  <c r="F47" i="28"/>
  <c r="H47" i="28" s="1"/>
  <c r="I47" i="28" s="1"/>
  <c r="F46" i="28"/>
  <c r="H46" i="28" s="1"/>
  <c r="I46" i="28" s="1"/>
  <c r="F45" i="28"/>
  <c r="H45" i="28" s="1"/>
  <c r="I45" i="28" s="1"/>
  <c r="F44" i="28"/>
  <c r="H44" i="28" s="1"/>
  <c r="I44" i="28" s="1"/>
  <c r="F43" i="28"/>
  <c r="H43" i="28" s="1"/>
  <c r="I43" i="28" s="1"/>
  <c r="F42" i="28"/>
  <c r="H42" i="28" s="1"/>
  <c r="I42" i="28" s="1"/>
  <c r="F41" i="28"/>
  <c r="H41" i="28" s="1"/>
  <c r="I41" i="28" s="1"/>
  <c r="F40" i="28"/>
  <c r="H40" i="28" s="1"/>
  <c r="I40" i="28" s="1"/>
  <c r="F39" i="28"/>
  <c r="H39" i="28" s="1"/>
  <c r="I39" i="28" s="1"/>
  <c r="F38" i="28"/>
  <c r="H38" i="28" s="1"/>
  <c r="I38" i="28" s="1"/>
  <c r="L37" i="33"/>
  <c r="B37" i="33"/>
  <c r="N36" i="33"/>
  <c r="B36" i="33"/>
  <c r="L35" i="33"/>
  <c r="W49" i="33" l="1"/>
  <c r="W42" i="33"/>
  <c r="W48" i="33"/>
  <c r="W43" i="33"/>
  <c r="W50" i="33"/>
  <c r="W47" i="33"/>
  <c r="W45" i="33"/>
  <c r="W51" i="33"/>
  <c r="W54" i="33"/>
  <c r="W41" i="33"/>
  <c r="L36" i="33"/>
  <c r="K37" i="33"/>
  <c r="K35" i="33"/>
  <c r="N37" i="33"/>
  <c r="N35" i="33"/>
  <c r="K36" i="33"/>
  <c r="H51" i="28"/>
  <c r="I51" i="28" s="1"/>
  <c r="I52" i="28" s="1"/>
  <c r="H80" i="28"/>
  <c r="I80" i="28" s="1"/>
  <c r="H75" i="28"/>
  <c r="I75" i="28" s="1"/>
  <c r="I79" i="28"/>
  <c r="I67" i="28"/>
  <c r="H52" i="28"/>
  <c r="H53" i="28" s="1"/>
  <c r="B35" i="33"/>
  <c r="B34" i="33"/>
  <c r="B33" i="33"/>
  <c r="B32" i="33"/>
  <c r="B31" i="33"/>
  <c r="B30" i="33"/>
  <c r="B29" i="33"/>
  <c r="G16" i="28"/>
  <c r="W35" i="33" l="1"/>
  <c r="W37" i="33"/>
  <c r="W36" i="33"/>
  <c r="P41" i="33"/>
  <c r="H56" i="28"/>
  <c r="H35" i="28" s="1"/>
  <c r="L33" i="33"/>
  <c r="N33" i="33"/>
  <c r="K33" i="33"/>
  <c r="N32" i="33"/>
  <c r="K32" i="33"/>
  <c r="L32" i="33"/>
  <c r="N34" i="33"/>
  <c r="K34" i="33"/>
  <c r="L34" i="33"/>
  <c r="I81" i="28"/>
  <c r="H81" i="28"/>
  <c r="H82" i="28" s="1"/>
  <c r="B28" i="33"/>
  <c r="B25" i="33"/>
  <c r="B24" i="33"/>
  <c r="B23" i="33"/>
  <c r="B22" i="33"/>
  <c r="B21" i="33"/>
  <c r="B20" i="33"/>
  <c r="X41" i="33" l="1"/>
  <c r="R41" i="33"/>
  <c r="T41" i="33"/>
  <c r="Y41" i="33" s="1"/>
  <c r="W33" i="33"/>
  <c r="W34" i="33"/>
  <c r="W32" i="33"/>
  <c r="I82" i="28"/>
  <c r="P42" i="33"/>
  <c r="H85" i="28"/>
  <c r="H64" i="28" s="1"/>
  <c r="G84" i="23"/>
  <c r="X42" i="33" l="1"/>
  <c r="R42" i="33"/>
  <c r="T42" i="33"/>
  <c r="Y42" i="33" s="1"/>
  <c r="L17" i="33"/>
  <c r="B17" i="33"/>
  <c r="N17" i="33"/>
  <c r="B16" i="33"/>
  <c r="F150" i="22"/>
  <c r="H150" i="22" s="1"/>
  <c r="I150" i="22" s="1"/>
  <c r="F151" i="22"/>
  <c r="H151" i="22" s="1"/>
  <c r="B15" i="33"/>
  <c r="B14" i="33"/>
  <c r="B12" i="33"/>
  <c r="B11" i="33"/>
  <c r="B10" i="33"/>
  <c r="B9" i="33"/>
  <c r="F51" i="22"/>
  <c r="H51" i="22" s="1"/>
  <c r="I51" i="22" s="1"/>
  <c r="F50" i="22"/>
  <c r="H50" i="22" s="1"/>
  <c r="I50" i="22" s="1"/>
  <c r="F49" i="22"/>
  <c r="H49" i="22" s="1"/>
  <c r="H98" i="22"/>
  <c r="I98" i="22" s="1"/>
  <c r="W17" i="33" l="1"/>
  <c r="K17" i="33"/>
  <c r="N16" i="33"/>
  <c r="L16" i="33"/>
  <c r="K16" i="33"/>
  <c r="H52" i="22"/>
  <c r="H53" i="22" s="1"/>
  <c r="I49" i="22"/>
  <c r="I52" i="22" s="1"/>
  <c r="G11" i="22"/>
  <c r="F62" i="10"/>
  <c r="F322" i="28"/>
  <c r="H322" i="28" s="1"/>
  <c r="I322" i="28" s="1"/>
  <c r="F321" i="28"/>
  <c r="H321" i="28" s="1"/>
  <c r="I321" i="28" s="1"/>
  <c r="F295" i="28"/>
  <c r="H295" i="28" s="1"/>
  <c r="I295" i="28" s="1"/>
  <c r="F294" i="28"/>
  <c r="H294" i="28" s="1"/>
  <c r="I294" i="28" s="1"/>
  <c r="F23" i="28"/>
  <c r="H23" i="28" s="1"/>
  <c r="I23" i="28" s="1"/>
  <c r="F22" i="28"/>
  <c r="H22" i="28" s="1"/>
  <c r="I22" i="28" s="1"/>
  <c r="F21" i="28"/>
  <c r="H21" i="28" s="1"/>
  <c r="I21" i="28" s="1"/>
  <c r="F20" i="28"/>
  <c r="H20" i="28" s="1"/>
  <c r="I20" i="28" s="1"/>
  <c r="F136" i="28"/>
  <c r="H136" i="28" s="1"/>
  <c r="I136" i="28" s="1"/>
  <c r="F135" i="28"/>
  <c r="H135" i="28" s="1"/>
  <c r="I135" i="28" s="1"/>
  <c r="F134" i="28"/>
  <c r="H134" i="28" s="1"/>
  <c r="I134" i="28" s="1"/>
  <c r="F44" i="23"/>
  <c r="H44" i="23" s="1"/>
  <c r="I44" i="23" s="1"/>
  <c r="F43" i="23"/>
  <c r="H43" i="23" s="1"/>
  <c r="I43" i="23" s="1"/>
  <c r="F42" i="23"/>
  <c r="H42" i="23" s="1"/>
  <c r="I42" i="23" s="1"/>
  <c r="F41" i="23"/>
  <c r="H41" i="23" s="1"/>
  <c r="I41" i="23" s="1"/>
  <c r="F19" i="23"/>
  <c r="H19" i="23" s="1"/>
  <c r="I19" i="23" s="1"/>
  <c r="F18" i="23"/>
  <c r="H18" i="23" s="1"/>
  <c r="I18" i="23" s="1"/>
  <c r="F17" i="23"/>
  <c r="H17" i="23" s="1"/>
  <c r="I17" i="23" s="1"/>
  <c r="F197" i="22"/>
  <c r="H197" i="22" s="1"/>
  <c r="I197" i="22" s="1"/>
  <c r="W16" i="33" l="1"/>
  <c r="I53" i="22"/>
  <c r="P11" i="33"/>
  <c r="H56" i="22"/>
  <c r="H47" i="22" s="1"/>
  <c r="F101" i="22"/>
  <c r="H101" i="22" s="1"/>
  <c r="I101" i="22" s="1"/>
  <c r="F16" i="22"/>
  <c r="F15" i="22"/>
  <c r="D14" i="22"/>
  <c r="F14" i="22" s="1"/>
  <c r="F13" i="22"/>
  <c r="F12" i="22"/>
  <c r="F11" i="22"/>
  <c r="F10" i="22"/>
  <c r="K10" i="22" s="1"/>
  <c r="F9" i="22"/>
  <c r="K9" i="22" s="1"/>
  <c r="X11" i="33" l="1"/>
  <c r="F217" i="28"/>
  <c r="H217" i="28" s="1"/>
  <c r="I217" i="28" s="1"/>
  <c r="F216" i="28"/>
  <c r="H216" i="28" s="1"/>
  <c r="I216" i="28" s="1"/>
  <c r="F215" i="28"/>
  <c r="H215" i="28" s="1"/>
  <c r="I215" i="28" s="1"/>
  <c r="F214" i="28"/>
  <c r="H214" i="28" s="1"/>
  <c r="I214" i="28" s="1"/>
  <c r="F213" i="28"/>
  <c r="H213" i="28" s="1"/>
  <c r="I213" i="28" s="1"/>
  <c r="F212" i="28"/>
  <c r="H212" i="28" s="1"/>
  <c r="I212" i="28" s="1"/>
  <c r="F211" i="28"/>
  <c r="H211" i="28" s="1"/>
  <c r="I211" i="28" s="1"/>
  <c r="F210" i="28"/>
  <c r="H210" i="28" s="1"/>
  <c r="I210" i="28" s="1"/>
  <c r="F209" i="28"/>
  <c r="H209" i="28" s="1"/>
  <c r="I209" i="28" s="1"/>
  <c r="F208" i="28"/>
  <c r="H208" i="28" s="1"/>
  <c r="I208" i="28" s="1"/>
  <c r="F207" i="28"/>
  <c r="H207" i="28" s="1"/>
  <c r="F206" i="28"/>
  <c r="H206" i="28" s="1"/>
  <c r="I206" i="28" s="1"/>
  <c r="I207" i="28" l="1"/>
  <c r="I218" i="28" s="1"/>
  <c r="H218" i="28"/>
  <c r="H219" i="28" s="1"/>
  <c r="F48" i="39"/>
  <c r="H48" i="39" s="1"/>
  <c r="I48" i="39" s="1"/>
  <c r="F11" i="39"/>
  <c r="H11" i="39" s="1"/>
  <c r="I11" i="39" s="1"/>
  <c r="F12" i="39"/>
  <c r="H12" i="39" s="1"/>
  <c r="I12" i="39" s="1"/>
  <c r="F101" i="39"/>
  <c r="H101" i="39" s="1"/>
  <c r="I101" i="39" s="1"/>
  <c r="F100" i="39"/>
  <c r="H100" i="39" s="1"/>
  <c r="I100" i="39" s="1"/>
  <c r="F99" i="39"/>
  <c r="H99" i="39" s="1"/>
  <c r="I99" i="39" s="1"/>
  <c r="F98" i="39"/>
  <c r="H98" i="39" s="1"/>
  <c r="I98" i="39" s="1"/>
  <c r="F97" i="39"/>
  <c r="H97" i="39" s="1"/>
  <c r="I97" i="39" s="1"/>
  <c r="F96" i="39"/>
  <c r="H96" i="39" s="1"/>
  <c r="I96" i="39" s="1"/>
  <c r="F95" i="39"/>
  <c r="H95" i="39" s="1"/>
  <c r="I95" i="39" s="1"/>
  <c r="F94" i="39"/>
  <c r="H94" i="39" s="1"/>
  <c r="I94" i="39" s="1"/>
  <c r="F92" i="39"/>
  <c r="H92" i="39" s="1"/>
  <c r="F76" i="39"/>
  <c r="H76" i="39" s="1"/>
  <c r="I76" i="39" s="1"/>
  <c r="F75" i="39"/>
  <c r="H75" i="39" s="1"/>
  <c r="I75" i="39" s="1"/>
  <c r="H72" i="39"/>
  <c r="I72" i="39" s="1"/>
  <c r="F71" i="39"/>
  <c r="H71" i="39" s="1"/>
  <c r="I71" i="39" s="1"/>
  <c r="F70" i="39"/>
  <c r="H70" i="39" s="1"/>
  <c r="I70" i="39" s="1"/>
  <c r="F69" i="39"/>
  <c r="H69" i="39" s="1"/>
  <c r="I69" i="39" s="1"/>
  <c r="F68" i="39"/>
  <c r="H68" i="39" s="1"/>
  <c r="I68" i="39" s="1"/>
  <c r="F67" i="39"/>
  <c r="H67" i="39" s="1"/>
  <c r="I67" i="39" s="1"/>
  <c r="F66" i="39"/>
  <c r="H66" i="39" s="1"/>
  <c r="F45" i="39"/>
  <c r="H45" i="39" s="1"/>
  <c r="I45" i="39" s="1"/>
  <c r="F44" i="39"/>
  <c r="H44" i="39" s="1"/>
  <c r="I44" i="39" s="1"/>
  <c r="F43" i="39"/>
  <c r="H43" i="39" s="1"/>
  <c r="I43" i="39" s="1"/>
  <c r="F42" i="39"/>
  <c r="H42" i="39" s="1"/>
  <c r="I42" i="39" s="1"/>
  <c r="F41" i="39"/>
  <c r="F40" i="39"/>
  <c r="F39" i="39"/>
  <c r="H39" i="39" s="1"/>
  <c r="I39" i="39" s="1"/>
  <c r="F38" i="39"/>
  <c r="H38" i="39" s="1"/>
  <c r="I38" i="39" s="1"/>
  <c r="F21" i="39"/>
  <c r="F20" i="39"/>
  <c r="H20" i="39" s="1"/>
  <c r="I20" i="39" s="1"/>
  <c r="H19" i="39"/>
  <c r="I19" i="39" s="1"/>
  <c r="H18" i="39"/>
  <c r="I18" i="39" s="1"/>
  <c r="F17" i="39"/>
  <c r="H17" i="39" s="1"/>
  <c r="I17" i="39" s="1"/>
  <c r="F16" i="39"/>
  <c r="H16" i="39" s="1"/>
  <c r="I16" i="39" s="1"/>
  <c r="F15" i="39"/>
  <c r="H15" i="39" s="1"/>
  <c r="I15" i="39" s="1"/>
  <c r="F14" i="39"/>
  <c r="F13" i="39"/>
  <c r="F10" i="39"/>
  <c r="H10" i="39" s="1"/>
  <c r="P47" i="33" l="1"/>
  <c r="H222" i="28"/>
  <c r="H203" i="28" s="1"/>
  <c r="H103" i="39"/>
  <c r="H104" i="39" s="1"/>
  <c r="H41" i="39"/>
  <c r="I41" i="39" s="1"/>
  <c r="H40" i="39"/>
  <c r="I40" i="39" s="1"/>
  <c r="H14" i="39"/>
  <c r="I14" i="39" s="1"/>
  <c r="H13" i="39"/>
  <c r="I13" i="39" s="1"/>
  <c r="I66" i="39"/>
  <c r="I10" i="39"/>
  <c r="I92" i="39"/>
  <c r="I103" i="39" s="1"/>
  <c r="X47" i="33" l="1"/>
  <c r="R47" i="33"/>
  <c r="T47" i="33"/>
  <c r="Y47" i="33" s="1"/>
  <c r="P105" i="33"/>
  <c r="H107" i="39"/>
  <c r="H88" i="39" s="1"/>
  <c r="H49" i="39"/>
  <c r="H50" i="39" s="1"/>
  <c r="I23" i="39"/>
  <c r="I49" i="39"/>
  <c r="H23" i="39"/>
  <c r="H24" i="39" s="1"/>
  <c r="H77" i="39"/>
  <c r="H78" i="39" s="1"/>
  <c r="I77" i="39"/>
  <c r="R105" i="33" l="1"/>
  <c r="X105" i="33"/>
  <c r="T105" i="33"/>
  <c r="Y105" i="33" s="1"/>
  <c r="P104" i="33"/>
  <c r="H81" i="39"/>
  <c r="H62" i="39" s="1"/>
  <c r="P102" i="33"/>
  <c r="H27" i="39"/>
  <c r="H7" i="39" s="1"/>
  <c r="P103" i="33"/>
  <c r="H53" i="39"/>
  <c r="H35" i="39" s="1"/>
  <c r="F97" i="11"/>
  <c r="F96" i="11"/>
  <c r="F95" i="11"/>
  <c r="F94" i="11"/>
  <c r="F93" i="11"/>
  <c r="F75" i="11"/>
  <c r="F74" i="11"/>
  <c r="F73" i="11"/>
  <c r="F72" i="11"/>
  <c r="F71" i="11"/>
  <c r="D77" i="11"/>
  <c r="F56" i="11"/>
  <c r="F55" i="11"/>
  <c r="F54" i="11"/>
  <c r="F53" i="11"/>
  <c r="F52" i="11"/>
  <c r="F51" i="11"/>
  <c r="F13" i="11"/>
  <c r="F12" i="11"/>
  <c r="F11" i="11"/>
  <c r="F10" i="11"/>
  <c r="X104" i="33" l="1"/>
  <c r="R104" i="33"/>
  <c r="T104" i="33"/>
  <c r="Y104" i="33" s="1"/>
  <c r="R102" i="33"/>
  <c r="T102" i="33"/>
  <c r="Y102" i="33" s="1"/>
  <c r="X103" i="33"/>
  <c r="R103" i="33"/>
  <c r="T103" i="33"/>
  <c r="Y103" i="33" s="1"/>
  <c r="X102" i="33"/>
  <c r="F152" i="24"/>
  <c r="H152" i="24" s="1"/>
  <c r="I152" i="24" s="1"/>
  <c r="F153" i="24"/>
  <c r="H153" i="24" s="1"/>
  <c r="I153" i="24" s="1"/>
  <c r="F126" i="24"/>
  <c r="F125" i="24"/>
  <c r="F124" i="24"/>
  <c r="F122" i="24"/>
  <c r="H122" i="24" s="1"/>
  <c r="I122" i="24" s="1"/>
  <c r="F121" i="24"/>
  <c r="H121" i="24" s="1"/>
  <c r="I121" i="24" s="1"/>
  <c r="F120" i="24"/>
  <c r="F119" i="24"/>
  <c r="F118" i="24"/>
  <c r="F116" i="24"/>
  <c r="H116" i="24" s="1"/>
  <c r="I116" i="24" s="1"/>
  <c r="F115" i="24"/>
  <c r="H115" i="24" s="1"/>
  <c r="I115" i="24" s="1"/>
  <c r="F114" i="24"/>
  <c r="H114" i="24" s="1"/>
  <c r="I114" i="24" s="1"/>
  <c r="F113" i="24"/>
  <c r="H113" i="24" s="1"/>
  <c r="I113" i="24" s="1"/>
  <c r="F112" i="24"/>
  <c r="F111" i="24"/>
  <c r="F110" i="24"/>
  <c r="F109" i="24"/>
  <c r="F108" i="24"/>
  <c r="F107" i="24"/>
  <c r="F103" i="24"/>
  <c r="F102" i="24"/>
  <c r="F101" i="24"/>
  <c r="F100" i="24"/>
  <c r="F99" i="24"/>
  <c r="F98" i="24"/>
  <c r="F97" i="24"/>
  <c r="F78" i="24"/>
  <c r="H78" i="24" s="1"/>
  <c r="I78" i="24" s="1"/>
  <c r="F77" i="24"/>
  <c r="H77" i="24" s="1"/>
  <c r="I77" i="24" s="1"/>
  <c r="F76" i="24"/>
  <c r="H76" i="24" s="1"/>
  <c r="I76" i="24" s="1"/>
  <c r="F74" i="24"/>
  <c r="H74" i="24" s="1"/>
  <c r="I74" i="24" s="1"/>
  <c r="F73" i="24"/>
  <c r="H73" i="24" s="1"/>
  <c r="I73" i="24" s="1"/>
  <c r="F72" i="24"/>
  <c r="H72" i="24" s="1"/>
  <c r="I72" i="24" s="1"/>
  <c r="F71" i="24"/>
  <c r="H71" i="24" s="1"/>
  <c r="I71" i="24" s="1"/>
  <c r="F70" i="24"/>
  <c r="H70" i="24" s="1"/>
  <c r="I70" i="24" s="1"/>
  <c r="F69" i="24"/>
  <c r="H69" i="24" s="1"/>
  <c r="I69" i="24" s="1"/>
  <c r="F68" i="24"/>
  <c r="H68" i="24" s="1"/>
  <c r="I68" i="24" s="1"/>
  <c r="F65" i="24"/>
  <c r="H65" i="24" s="1"/>
  <c r="I65" i="24" s="1"/>
  <c r="F64" i="24"/>
  <c r="H64" i="24" s="1"/>
  <c r="I64" i="24" s="1"/>
  <c r="F63" i="24"/>
  <c r="H63" i="24" s="1"/>
  <c r="I63" i="24" s="1"/>
  <c r="F62" i="24"/>
  <c r="H62" i="24" s="1"/>
  <c r="I62" i="24" s="1"/>
  <c r="F61" i="24"/>
  <c r="H61" i="24" s="1"/>
  <c r="I61" i="24" s="1"/>
  <c r="F60" i="24"/>
  <c r="H60" i="24" s="1"/>
  <c r="I60" i="24" s="1"/>
  <c r="F57" i="24"/>
  <c r="F56" i="24"/>
  <c r="F55" i="24"/>
  <c r="F54" i="24"/>
  <c r="F53" i="24"/>
  <c r="F52" i="24"/>
  <c r="F51" i="24"/>
  <c r="F50" i="24"/>
  <c r="F33" i="24"/>
  <c r="H33" i="24" s="1"/>
  <c r="I33" i="24" s="1"/>
  <c r="F32" i="24"/>
  <c r="H32" i="24" s="1"/>
  <c r="I32" i="24" s="1"/>
  <c r="F31" i="24"/>
  <c r="H31" i="24" s="1"/>
  <c r="I31" i="24" s="1"/>
  <c r="F30" i="24"/>
  <c r="H30" i="24" s="1"/>
  <c r="I30" i="24" s="1"/>
  <c r="F29" i="24"/>
  <c r="H29" i="24" s="1"/>
  <c r="I29" i="24" s="1"/>
  <c r="F28" i="24"/>
  <c r="H28" i="24" s="1"/>
  <c r="I28" i="24" s="1"/>
  <c r="F25" i="24"/>
  <c r="H25" i="24" s="1"/>
  <c r="I25" i="24" s="1"/>
  <c r="F24" i="24"/>
  <c r="H24" i="24" s="1"/>
  <c r="I24" i="24" s="1"/>
  <c r="F23" i="24"/>
  <c r="H23" i="24" s="1"/>
  <c r="I23" i="24" s="1"/>
  <c r="F22" i="24"/>
  <c r="H22" i="24" s="1"/>
  <c r="I22" i="24" s="1"/>
  <c r="F21" i="24"/>
  <c r="H21" i="24" s="1"/>
  <c r="I21" i="24" s="1"/>
  <c r="F20" i="24"/>
  <c r="F17" i="24"/>
  <c r="F16" i="24"/>
  <c r="F15" i="24"/>
  <c r="F14" i="24"/>
  <c r="F13" i="24"/>
  <c r="F12" i="24"/>
  <c r="F11" i="24"/>
  <c r="F10" i="24"/>
  <c r="F119" i="1" l="1"/>
  <c r="H119" i="1" s="1"/>
  <c r="I119" i="1" s="1"/>
  <c r="F116" i="1"/>
  <c r="H116" i="1" s="1"/>
  <c r="I116" i="1" s="1"/>
  <c r="F115" i="1"/>
  <c r="H115" i="1" s="1"/>
  <c r="I115" i="1" s="1"/>
  <c r="F114" i="1"/>
  <c r="H114" i="1" s="1"/>
  <c r="I114" i="1" s="1"/>
  <c r="F113" i="1"/>
  <c r="H113" i="1" s="1"/>
  <c r="I113" i="1" s="1"/>
  <c r="F112" i="1"/>
  <c r="H112" i="1" s="1"/>
  <c r="I112" i="1" s="1"/>
  <c r="F111" i="1"/>
  <c r="H111" i="1" s="1"/>
  <c r="D63" i="1"/>
  <c r="I111" i="1" l="1"/>
  <c r="I122" i="1" s="1"/>
  <c r="H122" i="1"/>
  <c r="H123" i="1" s="1"/>
  <c r="H126" i="1" l="1"/>
  <c r="H108" i="1" s="1"/>
  <c r="P85" i="33"/>
  <c r="D96" i="27"/>
  <c r="X85" i="33" l="1"/>
  <c r="F403" i="28"/>
  <c r="H403" i="28" s="1"/>
  <c r="I403" i="28" s="1"/>
  <c r="F401" i="28"/>
  <c r="H401" i="28" s="1"/>
  <c r="I401" i="28" s="1"/>
  <c r="F400" i="28"/>
  <c r="H400" i="28" s="1"/>
  <c r="I400" i="28" s="1"/>
  <c r="F399" i="28"/>
  <c r="H399" i="28" s="1"/>
  <c r="I399" i="28" s="1"/>
  <c r="F398" i="28"/>
  <c r="H398" i="28" s="1"/>
  <c r="F397" i="28"/>
  <c r="H397" i="28" s="1"/>
  <c r="I397" i="28" s="1"/>
  <c r="F396" i="28"/>
  <c r="H396" i="28" s="1"/>
  <c r="I396" i="28" s="1"/>
  <c r="F395" i="28"/>
  <c r="H395" i="28" s="1"/>
  <c r="F377" i="28"/>
  <c r="H377" i="28" s="1"/>
  <c r="I377" i="28" s="1"/>
  <c r="F378" i="28"/>
  <c r="H378" i="28" s="1"/>
  <c r="I378" i="28" s="1"/>
  <c r="F376" i="28"/>
  <c r="H376" i="28" s="1"/>
  <c r="F375" i="28"/>
  <c r="F374" i="28"/>
  <c r="H374" i="28" s="1"/>
  <c r="I374" i="28" s="1"/>
  <c r="F373" i="28"/>
  <c r="H373" i="28" s="1"/>
  <c r="I373" i="28" s="1"/>
  <c r="F372" i="28"/>
  <c r="H372" i="28" s="1"/>
  <c r="I372" i="28" s="1"/>
  <c r="F371" i="28"/>
  <c r="H371" i="28" s="1"/>
  <c r="I371" i="28" s="1"/>
  <c r="F370" i="28"/>
  <c r="H370" i="28" s="1"/>
  <c r="I370" i="28" s="1"/>
  <c r="F369" i="28"/>
  <c r="H369" i="28" s="1"/>
  <c r="I369" i="28" s="1"/>
  <c r="F368" i="28"/>
  <c r="H368" i="28" s="1"/>
  <c r="I368" i="28" s="1"/>
  <c r="F367" i="28"/>
  <c r="H367" i="28" s="1"/>
  <c r="I367" i="28" s="1"/>
  <c r="F366" i="28"/>
  <c r="H366" i="28" s="1"/>
  <c r="F349" i="28"/>
  <c r="H349" i="28" s="1"/>
  <c r="I349" i="28" s="1"/>
  <c r="F348" i="28"/>
  <c r="F347" i="28"/>
  <c r="H347" i="28" s="1"/>
  <c r="I347" i="28" s="1"/>
  <c r="F346" i="28"/>
  <c r="H346" i="28" s="1"/>
  <c r="I346" i="28" s="1"/>
  <c r="F345" i="28"/>
  <c r="H345" i="28" s="1"/>
  <c r="I345" i="28" s="1"/>
  <c r="F344" i="28"/>
  <c r="H344" i="28" s="1"/>
  <c r="I344" i="28" s="1"/>
  <c r="F343" i="28"/>
  <c r="H343" i="28" s="1"/>
  <c r="I343" i="28" s="1"/>
  <c r="F342" i="28"/>
  <c r="H342" i="28" s="1"/>
  <c r="I342" i="28" s="1"/>
  <c r="F341" i="28"/>
  <c r="H341" i="28" s="1"/>
  <c r="I341" i="28" s="1"/>
  <c r="F340" i="28"/>
  <c r="H340" i="28" s="1"/>
  <c r="I340" i="28" s="1"/>
  <c r="F339" i="28"/>
  <c r="H339" i="28" s="1"/>
  <c r="F320" i="28"/>
  <c r="H320" i="28" s="1"/>
  <c r="I320" i="28" s="1"/>
  <c r="F319" i="28"/>
  <c r="F318" i="28"/>
  <c r="H318" i="28" s="1"/>
  <c r="I318" i="28" s="1"/>
  <c r="F317" i="28"/>
  <c r="H317" i="28" s="1"/>
  <c r="I317" i="28" s="1"/>
  <c r="F316" i="28"/>
  <c r="H316" i="28" s="1"/>
  <c r="I316" i="28" s="1"/>
  <c r="F315" i="28"/>
  <c r="H315" i="28" s="1"/>
  <c r="I315" i="28" s="1"/>
  <c r="F314" i="28"/>
  <c r="H314" i="28" s="1"/>
  <c r="I314" i="28" s="1"/>
  <c r="F313" i="28"/>
  <c r="H313" i="28" s="1"/>
  <c r="I313" i="28" s="1"/>
  <c r="F312" i="28"/>
  <c r="H312" i="28" s="1"/>
  <c r="I312" i="28" s="1"/>
  <c r="F311" i="28"/>
  <c r="H311" i="28" s="1"/>
  <c r="I311" i="28" s="1"/>
  <c r="F310" i="28"/>
  <c r="H310" i="28" s="1"/>
  <c r="F293" i="28"/>
  <c r="H293" i="28" s="1"/>
  <c r="I293" i="28" s="1"/>
  <c r="F292" i="28"/>
  <c r="F291" i="28"/>
  <c r="H291" i="28" s="1"/>
  <c r="I291" i="28" s="1"/>
  <c r="F290" i="28"/>
  <c r="H290" i="28" s="1"/>
  <c r="I290" i="28" s="1"/>
  <c r="F289" i="28"/>
  <c r="H289" i="28" s="1"/>
  <c r="I289" i="28" s="1"/>
  <c r="F288" i="28"/>
  <c r="H288" i="28" s="1"/>
  <c r="I288" i="28" s="1"/>
  <c r="F287" i="28"/>
  <c r="H287" i="28" s="1"/>
  <c r="I287" i="28" s="1"/>
  <c r="F286" i="28"/>
  <c r="H286" i="28" s="1"/>
  <c r="I286" i="28" s="1"/>
  <c r="F285" i="28"/>
  <c r="H285" i="28" s="1"/>
  <c r="I285" i="28" s="1"/>
  <c r="F284" i="28"/>
  <c r="H284" i="28" s="1"/>
  <c r="I284" i="28" s="1"/>
  <c r="F283" i="28"/>
  <c r="H283" i="28" s="1"/>
  <c r="F268" i="28"/>
  <c r="H268" i="28" s="1"/>
  <c r="I268" i="28" s="1"/>
  <c r="F267" i="28"/>
  <c r="F266" i="28"/>
  <c r="H266" i="28" s="1"/>
  <c r="I266" i="28" s="1"/>
  <c r="F265" i="28"/>
  <c r="H265" i="28" s="1"/>
  <c r="I265" i="28" s="1"/>
  <c r="F264" i="28"/>
  <c r="H264" i="28" s="1"/>
  <c r="I264" i="28" s="1"/>
  <c r="F263" i="28"/>
  <c r="H263" i="28" s="1"/>
  <c r="I263" i="28" s="1"/>
  <c r="F262" i="28"/>
  <c r="H262" i="28" s="1"/>
  <c r="I262" i="28" s="1"/>
  <c r="F261" i="28"/>
  <c r="H261" i="28" s="1"/>
  <c r="I261" i="28" s="1"/>
  <c r="F260" i="28"/>
  <c r="H260" i="28" s="1"/>
  <c r="I260" i="28" s="1"/>
  <c r="F259" i="28"/>
  <c r="H259" i="28" s="1"/>
  <c r="I259" i="28" s="1"/>
  <c r="F258" i="28"/>
  <c r="H258" i="28" s="1"/>
  <c r="F107" i="28"/>
  <c r="H107" i="28" s="1"/>
  <c r="I107" i="28" s="1"/>
  <c r="F106" i="28"/>
  <c r="H106" i="28" s="1"/>
  <c r="F105" i="28"/>
  <c r="F104" i="28"/>
  <c r="H104" i="28" s="1"/>
  <c r="I104" i="28" s="1"/>
  <c r="F103" i="28"/>
  <c r="H103" i="28" s="1"/>
  <c r="I103" i="28" s="1"/>
  <c r="F102" i="28"/>
  <c r="H102" i="28" s="1"/>
  <c r="I102" i="28" s="1"/>
  <c r="F101" i="28"/>
  <c r="H101" i="28" s="1"/>
  <c r="I101" i="28" s="1"/>
  <c r="F100" i="28"/>
  <c r="H100" i="28" s="1"/>
  <c r="I100" i="28" s="1"/>
  <c r="F99" i="28"/>
  <c r="H99" i="28" s="1"/>
  <c r="I99" i="28" s="1"/>
  <c r="F98" i="28"/>
  <c r="H98" i="28" s="1"/>
  <c r="I98" i="28" s="1"/>
  <c r="F97" i="28"/>
  <c r="H97" i="28" s="1"/>
  <c r="I97" i="28" s="1"/>
  <c r="F96" i="28"/>
  <c r="H96" i="28" s="1"/>
  <c r="I96" i="28" s="1"/>
  <c r="I398" i="28" l="1"/>
  <c r="H404" i="28"/>
  <c r="H405" i="28" s="1"/>
  <c r="I376" i="28"/>
  <c r="I106" i="28"/>
  <c r="H105" i="28"/>
  <c r="I105" i="28" s="1"/>
  <c r="H267" i="28"/>
  <c r="I267" i="28" s="1"/>
  <c r="H319" i="28"/>
  <c r="I319" i="28" s="1"/>
  <c r="H292" i="28"/>
  <c r="I292" i="28" s="1"/>
  <c r="H348" i="28"/>
  <c r="I348" i="28" s="1"/>
  <c r="H375" i="28"/>
  <c r="I375" i="28" s="1"/>
  <c r="I395" i="28"/>
  <c r="I366" i="28"/>
  <c r="I339" i="28"/>
  <c r="I310" i="28"/>
  <c r="I283" i="28"/>
  <c r="I258" i="28"/>
  <c r="P54" i="33" l="1"/>
  <c r="H408" i="28"/>
  <c r="H392" i="28" s="1"/>
  <c r="I324" i="28"/>
  <c r="I404" i="28"/>
  <c r="H380" i="28"/>
  <c r="H381" i="28" s="1"/>
  <c r="I108" i="28"/>
  <c r="H108" i="28"/>
  <c r="H109" i="28" s="1"/>
  <c r="H269" i="28"/>
  <c r="H270" i="28" s="1"/>
  <c r="I269" i="28"/>
  <c r="H296" i="28"/>
  <c r="H297" i="28" s="1"/>
  <c r="H324" i="28"/>
  <c r="H325" i="28" s="1"/>
  <c r="I351" i="28"/>
  <c r="I296" i="28"/>
  <c r="I380" i="28"/>
  <c r="H351" i="28"/>
  <c r="H352" i="28" s="1"/>
  <c r="F19" i="28"/>
  <c r="F18" i="28"/>
  <c r="H18" i="28" s="1"/>
  <c r="I18" i="28" s="1"/>
  <c r="F17" i="28"/>
  <c r="H17" i="28" s="1"/>
  <c r="I17" i="28" s="1"/>
  <c r="F16" i="28"/>
  <c r="H16" i="28" s="1"/>
  <c r="I16" i="28" s="1"/>
  <c r="F15" i="28"/>
  <c r="H15" i="28" s="1"/>
  <c r="I15" i="28" s="1"/>
  <c r="F14" i="28"/>
  <c r="H14" i="28" s="1"/>
  <c r="I14" i="28" s="1"/>
  <c r="F13" i="28"/>
  <c r="H13" i="28" s="1"/>
  <c r="I13" i="28" s="1"/>
  <c r="F12" i="28"/>
  <c r="H12" i="28" s="1"/>
  <c r="I12" i="28" s="1"/>
  <c r="F11" i="28"/>
  <c r="H11" i="28" s="1"/>
  <c r="I11" i="28" s="1"/>
  <c r="F10" i="28"/>
  <c r="H10" i="28" s="1"/>
  <c r="F175" i="22"/>
  <c r="H175" i="22" s="1"/>
  <c r="F176" i="22"/>
  <c r="H176" i="22" s="1"/>
  <c r="F126" i="22"/>
  <c r="H126" i="22" s="1"/>
  <c r="I126" i="22" s="1"/>
  <c r="F127" i="22"/>
  <c r="H127" i="22" s="1"/>
  <c r="I127" i="22" s="1"/>
  <c r="X54" i="33" l="1"/>
  <c r="R54" i="33"/>
  <c r="T54" i="33"/>
  <c r="Y54" i="33" s="1"/>
  <c r="P43" i="33"/>
  <c r="H112" i="28"/>
  <c r="H93" i="28" s="1"/>
  <c r="P51" i="33"/>
  <c r="H328" i="28"/>
  <c r="H307" i="28" s="1"/>
  <c r="P49" i="33"/>
  <c r="H273" i="28"/>
  <c r="H255" i="28" s="1"/>
  <c r="P53" i="33"/>
  <c r="P52" i="33"/>
  <c r="H355" i="28"/>
  <c r="H336" i="28" s="1"/>
  <c r="P50" i="33"/>
  <c r="H300" i="28"/>
  <c r="H280" i="28" s="1"/>
  <c r="H19" i="28"/>
  <c r="I19" i="28" s="1"/>
  <c r="I10" i="28"/>
  <c r="X51" i="33" l="1"/>
  <c r="R51" i="33"/>
  <c r="T51" i="33"/>
  <c r="Y51" i="33" s="1"/>
  <c r="X50" i="33"/>
  <c r="R50" i="33"/>
  <c r="T50" i="33"/>
  <c r="Y50" i="33" s="1"/>
  <c r="X43" i="33"/>
  <c r="R43" i="33"/>
  <c r="T43" i="33"/>
  <c r="X53" i="33"/>
  <c r="R52" i="33"/>
  <c r="X52" i="33"/>
  <c r="T52" i="33"/>
  <c r="Y52" i="33" s="1"/>
  <c r="R49" i="33"/>
  <c r="X49" i="33"/>
  <c r="T49" i="33"/>
  <c r="Y49" i="33" s="1"/>
  <c r="Y43" i="33"/>
  <c r="H24" i="28"/>
  <c r="H25" i="28" s="1"/>
  <c r="I24" i="28"/>
  <c r="P40" i="33" l="1"/>
  <c r="H28" i="28"/>
  <c r="H7" i="28" s="1"/>
  <c r="F71" i="22"/>
  <c r="F70" i="22"/>
  <c r="F69" i="22"/>
  <c r="F68" i="22"/>
  <c r="F67" i="22"/>
  <c r="F36" i="22"/>
  <c r="F35" i="22"/>
  <c r="F34" i="22"/>
  <c r="X40" i="33" l="1"/>
  <c r="L40" i="33" l="1"/>
  <c r="K40" i="33"/>
  <c r="F60" i="26"/>
  <c r="H60" i="26" s="1"/>
  <c r="I60" i="26" s="1"/>
  <c r="F128" i="22" l="1"/>
  <c r="H128" i="22" s="1"/>
  <c r="I128" i="22" s="1"/>
  <c r="G136" i="23"/>
  <c r="G99" i="27" l="1"/>
  <c r="F73" i="22" l="1"/>
  <c r="H73" i="22" s="1"/>
  <c r="I73" i="22" s="1"/>
  <c r="F72" i="22"/>
  <c r="H72" i="22" s="1"/>
  <c r="I72" i="22" s="1"/>
  <c r="K78" i="33" l="1"/>
  <c r="L78" i="33"/>
  <c r="N78" i="33"/>
  <c r="W78" i="33" l="1"/>
  <c r="K15" i="33"/>
  <c r="L15" i="33"/>
  <c r="N15" i="33"/>
  <c r="W15" i="33" l="1"/>
  <c r="F242" i="28"/>
  <c r="H242" i="28" s="1"/>
  <c r="I242" i="28" s="1"/>
  <c r="F241" i="28"/>
  <c r="H241" i="28" s="1"/>
  <c r="I241" i="28" s="1"/>
  <c r="F240" i="28"/>
  <c r="H240" i="28" s="1"/>
  <c r="I240" i="28" s="1"/>
  <c r="F239" i="28"/>
  <c r="H239" i="28" s="1"/>
  <c r="I239" i="28" s="1"/>
  <c r="F238" i="28"/>
  <c r="H238" i="28" s="1"/>
  <c r="I238" i="28" s="1"/>
  <c r="F237" i="28"/>
  <c r="H237" i="28" s="1"/>
  <c r="I237" i="28" s="1"/>
  <c r="F236" i="28"/>
  <c r="H236" i="28" s="1"/>
  <c r="I236" i="28" s="1"/>
  <c r="F235" i="28"/>
  <c r="H235" i="28" s="1"/>
  <c r="I235" i="28" s="1"/>
  <c r="F234" i="28"/>
  <c r="H234" i="28" s="1"/>
  <c r="I234" i="28" s="1"/>
  <c r="F233" i="28"/>
  <c r="H233" i="28" s="1"/>
  <c r="K28" i="33"/>
  <c r="H243" i="28" l="1"/>
  <c r="H244" i="28" s="1"/>
  <c r="I233" i="28"/>
  <c r="I243" i="28" s="1"/>
  <c r="L28" i="33"/>
  <c r="N28" i="33"/>
  <c r="W28" i="33" l="1"/>
  <c r="P48" i="33"/>
  <c r="H247" i="28"/>
  <c r="H230" i="28" s="1"/>
  <c r="F189" i="28"/>
  <c r="H189" i="28" s="1"/>
  <c r="I189" i="28" s="1"/>
  <c r="F188" i="28"/>
  <c r="H188" i="28" s="1"/>
  <c r="I188" i="28" s="1"/>
  <c r="F187" i="28"/>
  <c r="H187" i="28" s="1"/>
  <c r="I187" i="28" s="1"/>
  <c r="F186" i="28"/>
  <c r="H186" i="28" s="1"/>
  <c r="I186" i="28" s="1"/>
  <c r="F185" i="28"/>
  <c r="H185" i="28" s="1"/>
  <c r="I185" i="28" s="1"/>
  <c r="F184" i="28"/>
  <c r="H184" i="28" s="1"/>
  <c r="I184" i="28" s="1"/>
  <c r="F183" i="28"/>
  <c r="H183" i="28" s="1"/>
  <c r="I183" i="28" s="1"/>
  <c r="F182" i="28"/>
  <c r="H182" i="28" s="1"/>
  <c r="I182" i="28" s="1"/>
  <c r="F181" i="28"/>
  <c r="H181" i="28" s="1"/>
  <c r="R48" i="33" l="1"/>
  <c r="X48" i="33"/>
  <c r="T48" i="33"/>
  <c r="Y48" i="33" s="1"/>
  <c r="H190" i="28"/>
  <c r="H191" i="28" s="1"/>
  <c r="I181" i="28"/>
  <c r="I190" i="28" s="1"/>
  <c r="F148" i="22"/>
  <c r="H148" i="22" s="1"/>
  <c r="F147" i="22"/>
  <c r="H147" i="22" s="1"/>
  <c r="I147" i="22" s="1"/>
  <c r="F146" i="22"/>
  <c r="H146" i="22" s="1"/>
  <c r="I146" i="22" s="1"/>
  <c r="H145" i="22"/>
  <c r="I145" i="22" s="1"/>
  <c r="F149" i="22"/>
  <c r="H149" i="22" s="1"/>
  <c r="I149" i="22" s="1"/>
  <c r="P46" i="33" l="1"/>
  <c r="H194" i="28"/>
  <c r="H178" i="28" s="1"/>
  <c r="I148" i="22"/>
  <c r="H152" i="22"/>
  <c r="H16" i="24"/>
  <c r="I16" i="24" s="1"/>
  <c r="X46" i="33" l="1"/>
  <c r="R46" i="33"/>
  <c r="T46" i="33"/>
  <c r="Y46" i="33" s="1"/>
  <c r="I152" i="22"/>
  <c r="H153" i="22"/>
  <c r="P15" i="33" l="1"/>
  <c r="H156" i="22"/>
  <c r="H142" i="22" s="1"/>
  <c r="X15" i="33" l="1"/>
  <c r="R15" i="33"/>
  <c r="T15" i="33"/>
  <c r="Y15" i="33" s="1"/>
  <c r="F257" i="29"/>
  <c r="H257" i="29" s="1"/>
  <c r="I257" i="29" s="1"/>
  <c r="F258" i="29"/>
  <c r="H258" i="29" s="1"/>
  <c r="I258" i="29" s="1"/>
  <c r="F253" i="29" l="1"/>
  <c r="H253" i="29" s="1"/>
  <c r="I253" i="29" s="1"/>
  <c r="H221" i="29"/>
  <c r="H231" i="29"/>
  <c r="H188" i="29"/>
  <c r="H198" i="29"/>
  <c r="F76" i="29"/>
  <c r="H76" i="29" s="1"/>
  <c r="I76" i="29" s="1"/>
  <c r="F35" i="27" l="1"/>
  <c r="H35" i="27" l="1"/>
  <c r="I35" i="27" s="1"/>
  <c r="F114" i="23"/>
  <c r="H114" i="23" s="1"/>
  <c r="I114" i="23" s="1"/>
  <c r="F91" i="23"/>
  <c r="H91" i="23" s="1"/>
  <c r="I91" i="23" s="1"/>
  <c r="F66" i="23"/>
  <c r="H66" i="23" s="1"/>
  <c r="I66" i="23" s="1"/>
  <c r="H15" i="22"/>
  <c r="I15" i="22" s="1"/>
  <c r="F199" i="22" l="1"/>
  <c r="H199" i="22" s="1"/>
  <c r="I199" i="22" s="1"/>
  <c r="F196" i="22"/>
  <c r="H196" i="22" s="1"/>
  <c r="I196" i="22" s="1"/>
  <c r="F195" i="22"/>
  <c r="H195" i="22" s="1"/>
  <c r="I195" i="22" s="1"/>
  <c r="F194" i="22"/>
  <c r="H194" i="22" s="1"/>
  <c r="F193" i="22"/>
  <c r="I175" i="22"/>
  <c r="I176" i="22"/>
  <c r="F179" i="22"/>
  <c r="H179" i="22" s="1"/>
  <c r="I179" i="22" s="1"/>
  <c r="F178" i="22"/>
  <c r="H178" i="22" s="1"/>
  <c r="I178" i="22" s="1"/>
  <c r="F177" i="22"/>
  <c r="H177" i="22" s="1"/>
  <c r="I177" i="22" s="1"/>
  <c r="F174" i="22"/>
  <c r="H174" i="22" s="1"/>
  <c r="I174" i="22" s="1"/>
  <c r="F173" i="22"/>
  <c r="H173" i="22" s="1"/>
  <c r="I173" i="22" s="1"/>
  <c r="F172" i="22"/>
  <c r="H172" i="22" s="1"/>
  <c r="I172" i="22" s="1"/>
  <c r="F171" i="22"/>
  <c r="H171" i="22" s="1"/>
  <c r="I171" i="22" s="1"/>
  <c r="F170" i="22"/>
  <c r="H170" i="22" s="1"/>
  <c r="I170" i="22" s="1"/>
  <c r="F169" i="22"/>
  <c r="H169" i="22" s="1"/>
  <c r="I169" i="22" s="1"/>
  <c r="F168" i="22"/>
  <c r="H167" i="22"/>
  <c r="I167" i="22" s="1"/>
  <c r="F117" i="11"/>
  <c r="H117" i="11" s="1"/>
  <c r="I117" i="11" s="1"/>
  <c r="F116" i="11"/>
  <c r="H116" i="11" s="1"/>
  <c r="I116" i="11" s="1"/>
  <c r="F115" i="11"/>
  <c r="H115" i="11" s="1"/>
  <c r="I115" i="11" s="1"/>
  <c r="F114" i="11"/>
  <c r="H114" i="11" s="1"/>
  <c r="I114" i="11" s="1"/>
  <c r="F113" i="11"/>
  <c r="H113" i="11" s="1"/>
  <c r="H193" i="22" l="1"/>
  <c r="I193" i="22" s="1"/>
  <c r="K193" i="22"/>
  <c r="H200" i="22"/>
  <c r="H201" i="22" s="1"/>
  <c r="I194" i="22"/>
  <c r="H118" i="11"/>
  <c r="H119" i="11" s="1"/>
  <c r="H180" i="22"/>
  <c r="H181" i="22" s="1"/>
  <c r="I168" i="22"/>
  <c r="I180" i="22" s="1"/>
  <c r="I113" i="11"/>
  <c r="I118" i="11" s="1"/>
  <c r="P17" i="33" l="1"/>
  <c r="H204" i="22"/>
  <c r="H191" i="22" s="1"/>
  <c r="P97" i="33"/>
  <c r="H122" i="11"/>
  <c r="H110" i="11" s="1"/>
  <c r="P16" i="33"/>
  <c r="H184" i="22"/>
  <c r="H164" i="22" s="1"/>
  <c r="I200" i="22"/>
  <c r="X97" i="33" l="1"/>
  <c r="X16" i="33"/>
  <c r="R16" i="33"/>
  <c r="T16" i="33"/>
  <c r="Y16" i="33" s="1"/>
  <c r="X17" i="33"/>
  <c r="R17" i="33"/>
  <c r="T17" i="33"/>
  <c r="Y17" i="33" s="1"/>
  <c r="F293" i="29" l="1"/>
  <c r="H293" i="29" s="1"/>
  <c r="I293" i="29" s="1"/>
  <c r="F291" i="29"/>
  <c r="H291" i="29" s="1"/>
  <c r="I291" i="29" s="1"/>
  <c r="F294" i="29"/>
  <c r="H294" i="29" s="1"/>
  <c r="I294" i="29" s="1"/>
  <c r="F292" i="29"/>
  <c r="H292" i="29" s="1"/>
  <c r="I292" i="29" s="1"/>
  <c r="F290" i="29"/>
  <c r="H290" i="29" s="1"/>
  <c r="I290" i="29" s="1"/>
  <c r="F289" i="29"/>
  <c r="H289" i="29" s="1"/>
  <c r="I289" i="29" s="1"/>
  <c r="F288" i="29"/>
  <c r="H288" i="29" s="1"/>
  <c r="I288" i="29" s="1"/>
  <c r="F287" i="29"/>
  <c r="H287" i="29" s="1"/>
  <c r="I287" i="29" s="1"/>
  <c r="F286" i="29"/>
  <c r="H286" i="29" s="1"/>
  <c r="I286" i="29" s="1"/>
  <c r="H285" i="29"/>
  <c r="I285" i="29" s="1"/>
  <c r="F284" i="29"/>
  <c r="H284" i="29" s="1"/>
  <c r="I284" i="29" s="1"/>
  <c r="F283" i="29"/>
  <c r="H283" i="29" s="1"/>
  <c r="I283" i="29" s="1"/>
  <c r="F282" i="29"/>
  <c r="H282" i="29" s="1"/>
  <c r="I282" i="29" s="1"/>
  <c r="F281" i="29"/>
  <c r="H281" i="29" s="1"/>
  <c r="I281" i="29" s="1"/>
  <c r="F280" i="29"/>
  <c r="H280" i="29" s="1"/>
  <c r="I280" i="29" s="1"/>
  <c r="F260" i="29"/>
  <c r="H260" i="29" s="1"/>
  <c r="I260" i="29" s="1"/>
  <c r="F263" i="29"/>
  <c r="H263" i="29" s="1"/>
  <c r="I263" i="29" s="1"/>
  <c r="F262" i="29"/>
  <c r="H262" i="29" s="1"/>
  <c r="I262" i="29" s="1"/>
  <c r="F261" i="29"/>
  <c r="H261" i="29" s="1"/>
  <c r="I261" i="29" s="1"/>
  <c r="F259" i="29"/>
  <c r="H259" i="29" s="1"/>
  <c r="I259" i="29" s="1"/>
  <c r="F256" i="29"/>
  <c r="H256" i="29" s="1"/>
  <c r="I256" i="29" s="1"/>
  <c r="F255" i="29"/>
  <c r="H255" i="29" s="1"/>
  <c r="I255" i="29" s="1"/>
  <c r="F254" i="29"/>
  <c r="H254" i="29" s="1"/>
  <c r="F252" i="29"/>
  <c r="H252" i="29" s="1"/>
  <c r="I252" i="29" s="1"/>
  <c r="F251" i="29"/>
  <c r="H251" i="29" s="1"/>
  <c r="I251" i="29" s="1"/>
  <c r="F250" i="29"/>
  <c r="H250" i="29" s="1"/>
  <c r="I250" i="29" s="1"/>
  <c r="F249" i="29"/>
  <c r="H249" i="29" s="1"/>
  <c r="I249" i="29" s="1"/>
  <c r="F248" i="29"/>
  <c r="H248" i="29" s="1"/>
  <c r="I248" i="29" s="1"/>
  <c r="F230" i="29"/>
  <c r="F229" i="29"/>
  <c r="F228" i="29"/>
  <c r="F227" i="29"/>
  <c r="F226" i="29"/>
  <c r="F225" i="29"/>
  <c r="F224" i="29"/>
  <c r="F223" i="29"/>
  <c r="F222" i="29"/>
  <c r="I221" i="29"/>
  <c r="F220" i="29"/>
  <c r="F219" i="29"/>
  <c r="F218" i="29"/>
  <c r="F217" i="29"/>
  <c r="F216" i="29"/>
  <c r="F215" i="29"/>
  <c r="F214" i="29"/>
  <c r="H214" i="29" s="1"/>
  <c r="F197" i="29"/>
  <c r="F196" i="29"/>
  <c r="F195" i="29"/>
  <c r="F194" i="29"/>
  <c r="F193" i="29"/>
  <c r="F192" i="29"/>
  <c r="F191" i="29"/>
  <c r="F190" i="29"/>
  <c r="F189" i="29"/>
  <c r="I188" i="29"/>
  <c r="F187" i="29"/>
  <c r="F186" i="29"/>
  <c r="F185" i="29"/>
  <c r="F184" i="29"/>
  <c r="F183" i="29"/>
  <c r="F182" i="29"/>
  <c r="H182" i="29" s="1"/>
  <c r="I254" i="29" l="1"/>
  <c r="I265" i="29" s="1"/>
  <c r="H265" i="29"/>
  <c r="H266" i="29" s="1"/>
  <c r="I296" i="29"/>
  <c r="H185" i="29"/>
  <c r="I185" i="29" s="1"/>
  <c r="H189" i="29"/>
  <c r="I189" i="29" s="1"/>
  <c r="H193" i="29"/>
  <c r="I193" i="29" s="1"/>
  <c r="H197" i="29"/>
  <c r="I197" i="29" s="1"/>
  <c r="H216" i="29"/>
  <c r="I216" i="29" s="1"/>
  <c r="H220" i="29"/>
  <c r="I220" i="29" s="1"/>
  <c r="H222" i="29"/>
  <c r="I222" i="29" s="1"/>
  <c r="H226" i="29"/>
  <c r="I226" i="29" s="1"/>
  <c r="H230" i="29"/>
  <c r="I230" i="29" s="1"/>
  <c r="H183" i="29"/>
  <c r="I183" i="29" s="1"/>
  <c r="H186" i="29"/>
  <c r="I186" i="29" s="1"/>
  <c r="H190" i="29"/>
  <c r="I190" i="29" s="1"/>
  <c r="H192" i="29"/>
  <c r="I192" i="29" s="1"/>
  <c r="H194" i="29"/>
  <c r="I194" i="29" s="1"/>
  <c r="H196" i="29"/>
  <c r="I196" i="29" s="1"/>
  <c r="H215" i="29"/>
  <c r="I215" i="29" s="1"/>
  <c r="H217" i="29"/>
  <c r="I217" i="29" s="1"/>
  <c r="H219" i="29"/>
  <c r="I219" i="29" s="1"/>
  <c r="H223" i="29"/>
  <c r="I223" i="29" s="1"/>
  <c r="H225" i="29"/>
  <c r="I225" i="29" s="1"/>
  <c r="H227" i="29"/>
  <c r="I227" i="29" s="1"/>
  <c r="H229" i="29"/>
  <c r="I229" i="29" s="1"/>
  <c r="H184" i="29"/>
  <c r="I184" i="29" s="1"/>
  <c r="H187" i="29"/>
  <c r="I187" i="29" s="1"/>
  <c r="H191" i="29"/>
  <c r="I191" i="29" s="1"/>
  <c r="H195" i="29"/>
  <c r="I195" i="29" s="1"/>
  <c r="H218" i="29"/>
  <c r="I218" i="29" s="1"/>
  <c r="H224" i="29"/>
  <c r="I224" i="29" s="1"/>
  <c r="H228" i="29"/>
  <c r="I228" i="29" s="1"/>
  <c r="H296" i="29"/>
  <c r="H297" i="29" s="1"/>
  <c r="I214" i="29"/>
  <c r="I182" i="29"/>
  <c r="P37" i="33" l="1"/>
  <c r="H300" i="29"/>
  <c r="H277" i="29" s="1"/>
  <c r="P36" i="33"/>
  <c r="H269" i="29"/>
  <c r="H245" i="29" s="1"/>
  <c r="H199" i="29"/>
  <c r="H232" i="29"/>
  <c r="H233" i="29" s="1"/>
  <c r="I232" i="29"/>
  <c r="I199" i="29"/>
  <c r="X36" i="33" l="1"/>
  <c r="R36" i="33"/>
  <c r="T36" i="33"/>
  <c r="X37" i="33"/>
  <c r="R37" i="33"/>
  <c r="T37" i="33"/>
  <c r="Y37" i="33" s="1"/>
  <c r="Y36" i="33"/>
  <c r="P35" i="33"/>
  <c r="H236" i="29"/>
  <c r="H211" i="29" s="1"/>
  <c r="H200" i="29"/>
  <c r="R35" i="33" l="1"/>
  <c r="X35" i="33"/>
  <c r="T35" i="33"/>
  <c r="Y35" i="33" s="1"/>
  <c r="H203" i="29"/>
  <c r="H179" i="29" s="1"/>
  <c r="P34" i="33"/>
  <c r="R34" i="33" l="1"/>
  <c r="X34" i="33"/>
  <c r="T34" i="33"/>
  <c r="Y34" i="33" s="1"/>
  <c r="K14" i="33"/>
  <c r="K10" i="33"/>
  <c r="K9" i="33"/>
  <c r="K95" i="33"/>
  <c r="K96" i="33"/>
  <c r="K97" i="33"/>
  <c r="K98" i="33"/>
  <c r="K94" i="33"/>
  <c r="K88" i="33"/>
  <c r="K89" i="33"/>
  <c r="K90" i="33"/>
  <c r="K91" i="33"/>
  <c r="K82" i="33"/>
  <c r="K83" i="33"/>
  <c r="K84" i="33"/>
  <c r="K85" i="33"/>
  <c r="K74" i="33"/>
  <c r="K75" i="33"/>
  <c r="K77" i="33"/>
  <c r="K73" i="33"/>
  <c r="K69" i="33"/>
  <c r="K70" i="33"/>
  <c r="K68" i="33"/>
  <c r="K62" i="33"/>
  <c r="K63" i="33"/>
  <c r="K64" i="33"/>
  <c r="K65" i="33"/>
  <c r="K57" i="33"/>
  <c r="K58" i="33"/>
  <c r="K59" i="33"/>
  <c r="K29" i="33"/>
  <c r="K30" i="33"/>
  <c r="K31" i="33"/>
  <c r="K21" i="33"/>
  <c r="K22" i="33"/>
  <c r="K23" i="33"/>
  <c r="K24" i="33"/>
  <c r="K25" i="33"/>
  <c r="K20" i="33"/>
  <c r="K11" i="33"/>
  <c r="K12" i="33"/>
  <c r="K13" i="33"/>
  <c r="N98" i="33" l="1"/>
  <c r="L98" i="33"/>
  <c r="N97" i="33"/>
  <c r="L97" i="33"/>
  <c r="N96" i="33"/>
  <c r="L96" i="33"/>
  <c r="N95" i="33"/>
  <c r="L95" i="33"/>
  <c r="N94" i="33"/>
  <c r="L94" i="33"/>
  <c r="N91" i="33"/>
  <c r="L91" i="33"/>
  <c r="N90" i="33"/>
  <c r="L90" i="33"/>
  <c r="N89" i="33"/>
  <c r="L89" i="33"/>
  <c r="N88" i="33"/>
  <c r="L88" i="33"/>
  <c r="N85" i="33"/>
  <c r="L85" i="33"/>
  <c r="N84" i="33"/>
  <c r="L84" i="33"/>
  <c r="N83" i="33"/>
  <c r="L83" i="33"/>
  <c r="N82" i="33"/>
  <c r="L82" i="33"/>
  <c r="N77" i="33"/>
  <c r="L77" i="33"/>
  <c r="N75" i="33"/>
  <c r="L75" i="33"/>
  <c r="N74" i="33"/>
  <c r="L74" i="33"/>
  <c r="N73" i="33"/>
  <c r="L73" i="33"/>
  <c r="N70" i="33"/>
  <c r="L70" i="33"/>
  <c r="N69" i="33"/>
  <c r="L69" i="33"/>
  <c r="N68" i="33"/>
  <c r="L68" i="33"/>
  <c r="N65" i="33"/>
  <c r="L65" i="33"/>
  <c r="N64" i="33"/>
  <c r="L64" i="33"/>
  <c r="N63" i="33"/>
  <c r="L63" i="33"/>
  <c r="N62" i="33"/>
  <c r="L62" i="33"/>
  <c r="N59" i="33"/>
  <c r="L59" i="33"/>
  <c r="N58" i="33"/>
  <c r="L58" i="33"/>
  <c r="N57" i="33"/>
  <c r="L57" i="33"/>
  <c r="N40" i="33"/>
  <c r="N31" i="33"/>
  <c r="L31" i="33"/>
  <c r="N30" i="33"/>
  <c r="L30" i="33"/>
  <c r="N29" i="33"/>
  <c r="L29" i="33"/>
  <c r="N25" i="33"/>
  <c r="L25" i="33"/>
  <c r="N24" i="33"/>
  <c r="L24" i="33"/>
  <c r="N23" i="33"/>
  <c r="L23" i="33"/>
  <c r="N22" i="33"/>
  <c r="L22" i="33"/>
  <c r="N21" i="33"/>
  <c r="L21" i="33"/>
  <c r="N20" i="33"/>
  <c r="L20" i="33"/>
  <c r="N14" i="33"/>
  <c r="L14" i="33"/>
  <c r="N13" i="33"/>
  <c r="L13" i="33"/>
  <c r="N12" i="33"/>
  <c r="L12" i="33"/>
  <c r="N11" i="33"/>
  <c r="L11" i="33"/>
  <c r="N10" i="33"/>
  <c r="L10" i="33"/>
  <c r="N9" i="33"/>
  <c r="L9" i="33"/>
  <c r="W11" i="33" l="1"/>
  <c r="T11" i="33"/>
  <c r="Y11" i="33" s="1"/>
  <c r="R11" i="33"/>
  <c r="W25" i="33"/>
  <c r="W40" i="33"/>
  <c r="T40" i="33"/>
  <c r="Y40" i="33" s="1"/>
  <c r="R40" i="33"/>
  <c r="W13" i="33"/>
  <c r="W12" i="33"/>
  <c r="T85" i="33"/>
  <c r="Y85" i="33" s="1"/>
  <c r="R85" i="33"/>
  <c r="T97" i="33"/>
  <c r="Y97" i="33" s="1"/>
  <c r="R97" i="33"/>
  <c r="W10" i="33"/>
  <c r="W14" i="33"/>
  <c r="W9" i="33"/>
  <c r="W20" i="33"/>
  <c r="W21" i="33"/>
  <c r="W22" i="33"/>
  <c r="W23" i="33"/>
  <c r="W24" i="33"/>
  <c r="W29" i="33"/>
  <c r="W30" i="33"/>
  <c r="W31" i="33"/>
  <c r="W57" i="33"/>
  <c r="W58" i="33"/>
  <c r="W59" i="33"/>
  <c r="W62" i="33"/>
  <c r="W63" i="33"/>
  <c r="W64" i="33"/>
  <c r="W65" i="33"/>
  <c r="W68" i="33"/>
  <c r="W69" i="33"/>
  <c r="W70" i="33"/>
  <c r="W73" i="33"/>
  <c r="W74" i="33"/>
  <c r="W75" i="33"/>
  <c r="W77" i="33"/>
  <c r="W82" i="33"/>
  <c r="W83" i="33"/>
  <c r="W84" i="33"/>
  <c r="W85" i="33"/>
  <c r="W88" i="33"/>
  <c r="W89" i="33"/>
  <c r="W90" i="33"/>
  <c r="W91" i="33"/>
  <c r="W94" i="33"/>
  <c r="W95" i="33"/>
  <c r="W96" i="33"/>
  <c r="W97" i="33"/>
  <c r="W98" i="33"/>
  <c r="F137" i="29"/>
  <c r="H137" i="29" s="1"/>
  <c r="I137" i="29" s="1"/>
  <c r="D136" i="29"/>
  <c r="F136" i="29" s="1"/>
  <c r="H136" i="29" s="1"/>
  <c r="I136" i="29" s="1"/>
  <c r="F135" i="29"/>
  <c r="H135" i="29" s="1"/>
  <c r="I135" i="29" s="1"/>
  <c r="D134" i="29"/>
  <c r="F134" i="29" s="1"/>
  <c r="H134" i="29" s="1"/>
  <c r="I134" i="29" s="1"/>
  <c r="D133" i="29"/>
  <c r="F133" i="29" s="1"/>
  <c r="H133" i="29" s="1"/>
  <c r="I133" i="29" s="1"/>
  <c r="F132" i="29"/>
  <c r="H132" i="29" s="1"/>
  <c r="I132" i="29" s="1"/>
  <c r="F131" i="29"/>
  <c r="H131" i="29" s="1"/>
  <c r="I131" i="29" s="1"/>
  <c r="F130" i="29"/>
  <c r="H130" i="29" s="1"/>
  <c r="I130" i="29" s="1"/>
  <c r="F129" i="29"/>
  <c r="H129" i="29" s="1"/>
  <c r="I129" i="29" s="1"/>
  <c r="F128" i="29"/>
  <c r="H128" i="29" s="1"/>
  <c r="I128" i="29" s="1"/>
  <c r="F127" i="29"/>
  <c r="H127" i="29" s="1"/>
  <c r="I127" i="29" s="1"/>
  <c r="F126" i="29"/>
  <c r="H126" i="29" s="1"/>
  <c r="I126" i="29" s="1"/>
  <c r="F125" i="29"/>
  <c r="H125" i="29" s="1"/>
  <c r="F166" i="29"/>
  <c r="H166" i="29" s="1"/>
  <c r="I166" i="29" s="1"/>
  <c r="D165" i="29"/>
  <c r="F165" i="29" s="1"/>
  <c r="H165" i="29" s="1"/>
  <c r="I165" i="29" s="1"/>
  <c r="F164" i="29"/>
  <c r="H164" i="29" s="1"/>
  <c r="I164" i="29" s="1"/>
  <c r="D163" i="29"/>
  <c r="F163" i="29" s="1"/>
  <c r="H163" i="29" s="1"/>
  <c r="I163" i="29" s="1"/>
  <c r="D162" i="29"/>
  <c r="F162" i="29" s="1"/>
  <c r="H162" i="29" s="1"/>
  <c r="I162" i="29" s="1"/>
  <c r="F161" i="29"/>
  <c r="H161" i="29" s="1"/>
  <c r="I161" i="29" s="1"/>
  <c r="F160" i="29"/>
  <c r="H160" i="29" s="1"/>
  <c r="I160" i="29" s="1"/>
  <c r="F159" i="29"/>
  <c r="H159" i="29" s="1"/>
  <c r="I159" i="29" s="1"/>
  <c r="F158" i="29"/>
  <c r="H158" i="29" s="1"/>
  <c r="I158" i="29" s="1"/>
  <c r="F157" i="29"/>
  <c r="H157" i="29" s="1"/>
  <c r="I157" i="29" s="1"/>
  <c r="F156" i="29"/>
  <c r="H156" i="29" s="1"/>
  <c r="I156" i="29" s="1"/>
  <c r="F155" i="29"/>
  <c r="H155" i="29" s="1"/>
  <c r="I155" i="29" s="1"/>
  <c r="F154" i="29"/>
  <c r="H154" i="29" s="1"/>
  <c r="H139" i="29" l="1"/>
  <c r="I125" i="29"/>
  <c r="I139" i="29" s="1"/>
  <c r="H168" i="29"/>
  <c r="I154" i="29"/>
  <c r="I168" i="29" s="1"/>
  <c r="H140" i="29" l="1"/>
  <c r="H169" i="29"/>
  <c r="P33" i="33" l="1"/>
  <c r="H172" i="29"/>
  <c r="H151" i="29" s="1"/>
  <c r="P32" i="33"/>
  <c r="H143" i="29"/>
  <c r="H122" i="29" s="1"/>
  <c r="X33" i="33" l="1"/>
  <c r="R33" i="33"/>
  <c r="T33" i="33"/>
  <c r="Y33" i="33" s="1"/>
  <c r="X32" i="33"/>
  <c r="R32" i="33"/>
  <c r="T32" i="33"/>
  <c r="Y32" i="33" s="1"/>
  <c r="H70" i="1"/>
  <c r="I70" i="1" s="1"/>
  <c r="F116" i="23" l="1"/>
  <c r="H116" i="23" s="1"/>
  <c r="F157" i="11" l="1"/>
  <c r="H157" i="11" s="1"/>
  <c r="I157" i="11" s="1"/>
  <c r="F156" i="11"/>
  <c r="H156" i="11" s="1"/>
  <c r="I156" i="11" s="1"/>
  <c r="F155" i="11"/>
  <c r="H155" i="11" s="1"/>
  <c r="I155" i="11" s="1"/>
  <c r="F154" i="11"/>
  <c r="H154" i="11" s="1"/>
  <c r="I154" i="11" s="1"/>
  <c r="F153" i="11"/>
  <c r="H153" i="11" s="1"/>
  <c r="F135" i="11"/>
  <c r="H135" i="11" s="1"/>
  <c r="I135" i="11" s="1"/>
  <c r="F134" i="11"/>
  <c r="H134" i="11" s="1"/>
  <c r="I134" i="11" s="1"/>
  <c r="F133" i="11"/>
  <c r="H133" i="11" s="1"/>
  <c r="I133" i="11" s="1"/>
  <c r="F132" i="11"/>
  <c r="H132" i="11" s="1"/>
  <c r="I132" i="11" s="1"/>
  <c r="H97" i="11"/>
  <c r="I97" i="11" s="1"/>
  <c r="H96" i="11"/>
  <c r="I96" i="11" s="1"/>
  <c r="H95" i="11"/>
  <c r="I95" i="11" s="1"/>
  <c r="H94" i="11"/>
  <c r="I94" i="11" s="1"/>
  <c r="H93" i="11"/>
  <c r="F76" i="11"/>
  <c r="H76" i="11" s="1"/>
  <c r="I76" i="11" s="1"/>
  <c r="H75" i="11"/>
  <c r="I75" i="11" s="1"/>
  <c r="H74" i="11"/>
  <c r="I74" i="11" s="1"/>
  <c r="H73" i="11"/>
  <c r="I73" i="11" s="1"/>
  <c r="H72" i="11"/>
  <c r="I72" i="11" s="1"/>
  <c r="H71" i="11"/>
  <c r="H56" i="11"/>
  <c r="I56" i="11" s="1"/>
  <c r="H55" i="11"/>
  <c r="I55" i="11" s="1"/>
  <c r="H54" i="11"/>
  <c r="I54" i="11" s="1"/>
  <c r="H53" i="11"/>
  <c r="I53" i="11" s="1"/>
  <c r="H52" i="11"/>
  <c r="I52" i="11" s="1"/>
  <c r="H51" i="11"/>
  <c r="F32" i="11"/>
  <c r="H32" i="11" s="1"/>
  <c r="I32" i="11" s="1"/>
  <c r="F31" i="11"/>
  <c r="H31" i="11" s="1"/>
  <c r="I31" i="11" s="1"/>
  <c r="F30" i="11"/>
  <c r="H30" i="11" s="1"/>
  <c r="I30" i="11" s="1"/>
  <c r="F29" i="11"/>
  <c r="H29" i="11" s="1"/>
  <c r="I29" i="11" s="1"/>
  <c r="F28" i="11"/>
  <c r="H28" i="11" s="1"/>
  <c r="F14" i="11"/>
  <c r="I14" i="11" s="1"/>
  <c r="H13" i="11"/>
  <c r="I13" i="11" s="1"/>
  <c r="H12" i="11"/>
  <c r="I12" i="11" s="1"/>
  <c r="H11" i="11"/>
  <c r="I11" i="11" s="1"/>
  <c r="H10" i="11"/>
  <c r="F93" i="1"/>
  <c r="H93" i="1" s="1"/>
  <c r="I93" i="1" s="1"/>
  <c r="F92" i="1"/>
  <c r="H92" i="1" s="1"/>
  <c r="I92" i="1" s="1"/>
  <c r="F91" i="1"/>
  <c r="H91" i="1" s="1"/>
  <c r="I91" i="1" s="1"/>
  <c r="F90" i="1"/>
  <c r="H90" i="1" s="1"/>
  <c r="I90" i="1" s="1"/>
  <c r="F89" i="1"/>
  <c r="H89" i="1" s="1"/>
  <c r="I89" i="1" s="1"/>
  <c r="F88" i="1"/>
  <c r="H88" i="1" s="1"/>
  <c r="I88" i="1" s="1"/>
  <c r="F87" i="1"/>
  <c r="H87" i="1" s="1"/>
  <c r="F66" i="1"/>
  <c r="H66" i="1" s="1"/>
  <c r="I66" i="1" s="1"/>
  <c r="F65" i="1"/>
  <c r="H65" i="1" s="1"/>
  <c r="I65" i="1" s="1"/>
  <c r="F64" i="1"/>
  <c r="H64" i="1" s="1"/>
  <c r="I64" i="1" s="1"/>
  <c r="F63" i="1"/>
  <c r="H63" i="1" s="1"/>
  <c r="I63" i="1" s="1"/>
  <c r="F62" i="1"/>
  <c r="H62" i="1" s="1"/>
  <c r="I62" i="1" s="1"/>
  <c r="F61" i="1"/>
  <c r="H61" i="1" s="1"/>
  <c r="F44" i="1"/>
  <c r="H44" i="1" s="1"/>
  <c r="I44" i="1" s="1"/>
  <c r="F43" i="1"/>
  <c r="H43" i="1" s="1"/>
  <c r="I43" i="1" s="1"/>
  <c r="F42" i="1"/>
  <c r="H42" i="1" s="1"/>
  <c r="I42" i="1" s="1"/>
  <c r="F41" i="1"/>
  <c r="H41" i="1" s="1"/>
  <c r="I41" i="1" s="1"/>
  <c r="F40" i="1"/>
  <c r="H40" i="1" s="1"/>
  <c r="I40" i="1" s="1"/>
  <c r="F39" i="1"/>
  <c r="H39" i="1" s="1"/>
  <c r="I39" i="1" s="1"/>
  <c r="F38" i="1"/>
  <c r="H38" i="1" s="1"/>
  <c r="I38" i="1" s="1"/>
  <c r="F37" i="1"/>
  <c r="H37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F110" i="29"/>
  <c r="H110" i="29" s="1"/>
  <c r="I110" i="29" s="1"/>
  <c r="F109" i="29"/>
  <c r="H109" i="29" s="1"/>
  <c r="I109" i="29" s="1"/>
  <c r="F108" i="29"/>
  <c r="H108" i="29" s="1"/>
  <c r="I108" i="29" s="1"/>
  <c r="F107" i="29"/>
  <c r="H107" i="29" s="1"/>
  <c r="I107" i="29" s="1"/>
  <c r="F106" i="29"/>
  <c r="H106" i="29" s="1"/>
  <c r="I106" i="29" s="1"/>
  <c r="F105" i="29"/>
  <c r="H105" i="29" s="1"/>
  <c r="I105" i="29" s="1"/>
  <c r="F104" i="29"/>
  <c r="H104" i="29" s="1"/>
  <c r="I104" i="29" s="1"/>
  <c r="F103" i="29"/>
  <c r="H103" i="29" s="1"/>
  <c r="I103" i="29" s="1"/>
  <c r="H102" i="29"/>
  <c r="I102" i="29" s="1"/>
  <c r="F101" i="29"/>
  <c r="H101" i="29" s="1"/>
  <c r="I101" i="29" s="1"/>
  <c r="F100" i="29"/>
  <c r="H100" i="29" s="1"/>
  <c r="I100" i="29" s="1"/>
  <c r="F99" i="29"/>
  <c r="H99" i="29" s="1"/>
  <c r="I99" i="29" s="1"/>
  <c r="F98" i="29"/>
  <c r="H98" i="29" s="1"/>
  <c r="I98" i="29" s="1"/>
  <c r="F97" i="29"/>
  <c r="H97" i="29" s="1"/>
  <c r="I97" i="29" s="1"/>
  <c r="F96" i="29"/>
  <c r="H96" i="29" s="1"/>
  <c r="F80" i="29"/>
  <c r="H80" i="29" s="1"/>
  <c r="I80" i="29" s="1"/>
  <c r="F79" i="29"/>
  <c r="H79" i="29" s="1"/>
  <c r="I79" i="29" s="1"/>
  <c r="F78" i="29"/>
  <c r="H78" i="29" s="1"/>
  <c r="I78" i="29" s="1"/>
  <c r="F77" i="29"/>
  <c r="H77" i="29" s="1"/>
  <c r="I77" i="29" s="1"/>
  <c r="F75" i="29"/>
  <c r="H75" i="29" s="1"/>
  <c r="I75" i="29" s="1"/>
  <c r="F74" i="29"/>
  <c r="H74" i="29" s="1"/>
  <c r="I74" i="29" s="1"/>
  <c r="F73" i="29"/>
  <c r="H73" i="29" s="1"/>
  <c r="I73" i="29" s="1"/>
  <c r="F72" i="29"/>
  <c r="H72" i="29" s="1"/>
  <c r="I72" i="29" s="1"/>
  <c r="F71" i="29"/>
  <c r="H71" i="29" s="1"/>
  <c r="I71" i="29" s="1"/>
  <c r="F70" i="29"/>
  <c r="H70" i="29" s="1"/>
  <c r="I70" i="29" s="1"/>
  <c r="F69" i="29"/>
  <c r="H69" i="29" s="1"/>
  <c r="I69" i="29" s="1"/>
  <c r="F51" i="29"/>
  <c r="H51" i="29" s="1"/>
  <c r="I51" i="29" s="1"/>
  <c r="F50" i="29"/>
  <c r="H50" i="29" s="1"/>
  <c r="I50" i="29" s="1"/>
  <c r="F49" i="29"/>
  <c r="H49" i="29" s="1"/>
  <c r="I49" i="29" s="1"/>
  <c r="D48" i="29"/>
  <c r="F48" i="29" s="1"/>
  <c r="H48" i="29" s="1"/>
  <c r="I48" i="29" s="1"/>
  <c r="D47" i="29"/>
  <c r="F47" i="29" s="1"/>
  <c r="H47" i="29" s="1"/>
  <c r="I47" i="29" s="1"/>
  <c r="F46" i="29"/>
  <c r="H46" i="29" s="1"/>
  <c r="I46" i="29" s="1"/>
  <c r="F45" i="29"/>
  <c r="H45" i="29" s="1"/>
  <c r="I45" i="29" s="1"/>
  <c r="F44" i="29"/>
  <c r="H44" i="29" s="1"/>
  <c r="I44" i="29" s="1"/>
  <c r="F43" i="29"/>
  <c r="H43" i="29" s="1"/>
  <c r="I43" i="29" s="1"/>
  <c r="F42" i="29"/>
  <c r="H42" i="29" s="1"/>
  <c r="I42" i="29" s="1"/>
  <c r="F41" i="29"/>
  <c r="H41" i="29" s="1"/>
  <c r="I41" i="29" s="1"/>
  <c r="F40" i="29"/>
  <c r="H40" i="29" s="1"/>
  <c r="I40" i="29" s="1"/>
  <c r="H39" i="29"/>
  <c r="F22" i="29"/>
  <c r="H22" i="29" s="1"/>
  <c r="I22" i="29" s="1"/>
  <c r="F21" i="29"/>
  <c r="H21" i="29" s="1"/>
  <c r="I21" i="29" s="1"/>
  <c r="F20" i="29"/>
  <c r="H20" i="29" s="1"/>
  <c r="I20" i="29" s="1"/>
  <c r="D19" i="29"/>
  <c r="F19" i="29" s="1"/>
  <c r="H19" i="29" s="1"/>
  <c r="I19" i="29" s="1"/>
  <c r="F18" i="29"/>
  <c r="H18" i="29" s="1"/>
  <c r="I18" i="29" s="1"/>
  <c r="F17" i="29"/>
  <c r="H17" i="29" s="1"/>
  <c r="I17" i="29" s="1"/>
  <c r="F16" i="29"/>
  <c r="H16" i="29" s="1"/>
  <c r="I16" i="29" s="1"/>
  <c r="F15" i="29"/>
  <c r="H15" i="29" s="1"/>
  <c r="I15" i="29" s="1"/>
  <c r="F14" i="29"/>
  <c r="H14" i="29" s="1"/>
  <c r="I14" i="29" s="1"/>
  <c r="F13" i="29"/>
  <c r="H13" i="29" s="1"/>
  <c r="I13" i="29" s="1"/>
  <c r="F12" i="29"/>
  <c r="H12" i="29" s="1"/>
  <c r="I12" i="29" s="1"/>
  <c r="F11" i="29"/>
  <c r="H11" i="29" s="1"/>
  <c r="I11" i="29" s="1"/>
  <c r="F10" i="29"/>
  <c r="H10" i="29" s="1"/>
  <c r="F84" i="25"/>
  <c r="H84" i="25" s="1"/>
  <c r="I84" i="25" s="1"/>
  <c r="F83" i="25"/>
  <c r="H83" i="25" s="1"/>
  <c r="I83" i="25" s="1"/>
  <c r="F82" i="25"/>
  <c r="H82" i="25" s="1"/>
  <c r="I82" i="25" s="1"/>
  <c r="F81" i="25"/>
  <c r="H81" i="25" s="1"/>
  <c r="I81" i="25" s="1"/>
  <c r="F80" i="25"/>
  <c r="H80" i="25" s="1"/>
  <c r="I80" i="25" s="1"/>
  <c r="F79" i="25"/>
  <c r="H79" i="25" s="1"/>
  <c r="I79" i="25" s="1"/>
  <c r="F78" i="25"/>
  <c r="H78" i="25" s="1"/>
  <c r="I78" i="25" s="1"/>
  <c r="F77" i="25"/>
  <c r="H77" i="25" s="1"/>
  <c r="I77" i="25" s="1"/>
  <c r="F76" i="25"/>
  <c r="H76" i="25" s="1"/>
  <c r="F47" i="25"/>
  <c r="H47" i="25" s="1"/>
  <c r="I47" i="25" s="1"/>
  <c r="F46" i="25"/>
  <c r="H46" i="25" s="1"/>
  <c r="I46" i="25" s="1"/>
  <c r="F45" i="25"/>
  <c r="H45" i="25" s="1"/>
  <c r="I45" i="25" s="1"/>
  <c r="F44" i="25"/>
  <c r="H44" i="25" s="1"/>
  <c r="I44" i="25" s="1"/>
  <c r="F43" i="25"/>
  <c r="H43" i="25" s="1"/>
  <c r="I43" i="25" s="1"/>
  <c r="F42" i="25"/>
  <c r="H42" i="25" s="1"/>
  <c r="F41" i="25"/>
  <c r="H41" i="25" s="1"/>
  <c r="I41" i="25" s="1"/>
  <c r="F40" i="25"/>
  <c r="H40" i="25" s="1"/>
  <c r="I40" i="25" s="1"/>
  <c r="F39" i="25"/>
  <c r="H39" i="25" s="1"/>
  <c r="I39" i="25" s="1"/>
  <c r="F23" i="25"/>
  <c r="H23" i="25" s="1"/>
  <c r="I23" i="25" s="1"/>
  <c r="F22" i="25"/>
  <c r="H22" i="25" s="1"/>
  <c r="I22" i="25" s="1"/>
  <c r="F21" i="25"/>
  <c r="H21" i="25" s="1"/>
  <c r="I21" i="25" s="1"/>
  <c r="F20" i="25"/>
  <c r="H20" i="25" s="1"/>
  <c r="I20" i="25" s="1"/>
  <c r="F19" i="25"/>
  <c r="H19" i="25" s="1"/>
  <c r="I19" i="25" s="1"/>
  <c r="F18" i="25"/>
  <c r="H18" i="25" s="1"/>
  <c r="I18" i="25" s="1"/>
  <c r="F17" i="25"/>
  <c r="H17" i="25" s="1"/>
  <c r="I17" i="25" s="1"/>
  <c r="F16" i="25"/>
  <c r="H16" i="25" s="1"/>
  <c r="I16" i="25" s="1"/>
  <c r="F15" i="25"/>
  <c r="H15" i="25" s="1"/>
  <c r="I15" i="25" s="1"/>
  <c r="F14" i="25"/>
  <c r="H14" i="25" s="1"/>
  <c r="I14" i="25" s="1"/>
  <c r="F13" i="25"/>
  <c r="H13" i="25" s="1"/>
  <c r="I13" i="25" s="1"/>
  <c r="F12" i="25"/>
  <c r="H12" i="25" s="1"/>
  <c r="F11" i="25"/>
  <c r="H11" i="25" s="1"/>
  <c r="F151" i="27"/>
  <c r="H151" i="27" s="1"/>
  <c r="I151" i="27" s="1"/>
  <c r="F150" i="27"/>
  <c r="H150" i="27" s="1"/>
  <c r="I150" i="27" s="1"/>
  <c r="F149" i="27"/>
  <c r="H149" i="27" s="1"/>
  <c r="I149" i="27" s="1"/>
  <c r="F148" i="27"/>
  <c r="H148" i="27" s="1"/>
  <c r="I148" i="27" s="1"/>
  <c r="F147" i="27"/>
  <c r="H147" i="27" s="1"/>
  <c r="F146" i="27"/>
  <c r="H146" i="27" s="1"/>
  <c r="I146" i="27" s="1"/>
  <c r="F145" i="27"/>
  <c r="H145" i="27" s="1"/>
  <c r="I145" i="27" s="1"/>
  <c r="F144" i="27"/>
  <c r="H144" i="27" s="1"/>
  <c r="I144" i="27" s="1"/>
  <c r="F143" i="27"/>
  <c r="H143" i="27" s="1"/>
  <c r="F125" i="27"/>
  <c r="H125" i="27" s="1"/>
  <c r="I125" i="27" s="1"/>
  <c r="F124" i="27"/>
  <c r="H124" i="27" s="1"/>
  <c r="I124" i="27" s="1"/>
  <c r="F123" i="27"/>
  <c r="H123" i="27" s="1"/>
  <c r="I123" i="27" s="1"/>
  <c r="F122" i="27"/>
  <c r="H122" i="27" s="1"/>
  <c r="I122" i="27" s="1"/>
  <c r="F121" i="27"/>
  <c r="H121" i="27" s="1"/>
  <c r="I121" i="27" s="1"/>
  <c r="F120" i="27"/>
  <c r="H120" i="27" s="1"/>
  <c r="I120" i="27" s="1"/>
  <c r="F119" i="27"/>
  <c r="H119" i="27" s="1"/>
  <c r="F100" i="27"/>
  <c r="H100" i="27" s="1"/>
  <c r="I100" i="27" s="1"/>
  <c r="F99" i="27"/>
  <c r="H99" i="27" s="1"/>
  <c r="I99" i="27" s="1"/>
  <c r="F98" i="27"/>
  <c r="H98" i="27" s="1"/>
  <c r="I98" i="27" s="1"/>
  <c r="F97" i="27"/>
  <c r="H97" i="27" s="1"/>
  <c r="I97" i="27" s="1"/>
  <c r="F96" i="27"/>
  <c r="H96" i="27" s="1"/>
  <c r="I96" i="27" s="1"/>
  <c r="F95" i="27"/>
  <c r="H95" i="27" s="1"/>
  <c r="I95" i="27" s="1"/>
  <c r="F94" i="27"/>
  <c r="H94" i="27" s="1"/>
  <c r="I94" i="27" s="1"/>
  <c r="F93" i="27"/>
  <c r="H93" i="27" s="1"/>
  <c r="I93" i="27" s="1"/>
  <c r="F92" i="27"/>
  <c r="H92" i="27" s="1"/>
  <c r="F75" i="27"/>
  <c r="H75" i="27" s="1"/>
  <c r="I75" i="27" s="1"/>
  <c r="F74" i="27"/>
  <c r="H74" i="27" s="1"/>
  <c r="F73" i="27"/>
  <c r="H73" i="27" s="1"/>
  <c r="I73" i="27" s="1"/>
  <c r="F72" i="27"/>
  <c r="H72" i="27" s="1"/>
  <c r="I72" i="27" s="1"/>
  <c r="F71" i="27"/>
  <c r="H71" i="27" s="1"/>
  <c r="I71" i="27" s="1"/>
  <c r="F70" i="27"/>
  <c r="H70" i="27" s="1"/>
  <c r="I70" i="27" s="1"/>
  <c r="F69" i="27"/>
  <c r="H69" i="27" s="1"/>
  <c r="I69" i="27" s="1"/>
  <c r="F68" i="27"/>
  <c r="H68" i="27" s="1"/>
  <c r="I68" i="27" s="1"/>
  <c r="F67" i="27"/>
  <c r="H67" i="27" s="1"/>
  <c r="I67" i="27" s="1"/>
  <c r="F66" i="27"/>
  <c r="H66" i="27" s="1"/>
  <c r="I66" i="27" s="1"/>
  <c r="F65" i="27"/>
  <c r="H65" i="27" s="1"/>
  <c r="I65" i="27" s="1"/>
  <c r="F64" i="27"/>
  <c r="H64" i="27" s="1"/>
  <c r="I64" i="27" s="1"/>
  <c r="F63" i="27"/>
  <c r="H63" i="27" s="1"/>
  <c r="F42" i="27"/>
  <c r="H42" i="27" s="1"/>
  <c r="I42" i="27" s="1"/>
  <c r="F41" i="27"/>
  <c r="H41" i="27" s="1"/>
  <c r="I41" i="27" s="1"/>
  <c r="F40" i="27"/>
  <c r="H40" i="27" s="1"/>
  <c r="I40" i="27" s="1"/>
  <c r="F39" i="27"/>
  <c r="H39" i="27" s="1"/>
  <c r="I39" i="27" s="1"/>
  <c r="F38" i="27"/>
  <c r="H38" i="27" s="1"/>
  <c r="F37" i="27"/>
  <c r="H37" i="27" s="1"/>
  <c r="I37" i="27" s="1"/>
  <c r="F36" i="27"/>
  <c r="H36" i="27" s="1"/>
  <c r="I36" i="27" s="1"/>
  <c r="F18" i="27"/>
  <c r="H18" i="27" s="1"/>
  <c r="I18" i="27" s="1"/>
  <c r="F17" i="27"/>
  <c r="H17" i="27" s="1"/>
  <c r="I17" i="27" s="1"/>
  <c r="F16" i="27"/>
  <c r="H16" i="27" s="1"/>
  <c r="I16" i="27" s="1"/>
  <c r="F15" i="27"/>
  <c r="H15" i="27" s="1"/>
  <c r="I15" i="27" s="1"/>
  <c r="F14" i="27"/>
  <c r="H14" i="27" s="1"/>
  <c r="I14" i="27" s="1"/>
  <c r="F13" i="27"/>
  <c r="H13" i="27" s="1"/>
  <c r="F12" i="27"/>
  <c r="H12" i="27" s="1"/>
  <c r="I12" i="27" s="1"/>
  <c r="H11" i="27"/>
  <c r="I11" i="27" s="1"/>
  <c r="F10" i="27"/>
  <c r="H10" i="27" s="1"/>
  <c r="F92" i="26"/>
  <c r="F91" i="26"/>
  <c r="H91" i="26" s="1"/>
  <c r="I91" i="26" s="1"/>
  <c r="F90" i="26"/>
  <c r="H90" i="26" s="1"/>
  <c r="I90" i="26" s="1"/>
  <c r="F89" i="26"/>
  <c r="H89" i="26" s="1"/>
  <c r="I89" i="26" s="1"/>
  <c r="F88" i="26"/>
  <c r="H88" i="26" s="1"/>
  <c r="I88" i="26" s="1"/>
  <c r="F87" i="26"/>
  <c r="H87" i="26" s="1"/>
  <c r="I87" i="26" s="1"/>
  <c r="F86" i="26"/>
  <c r="H86" i="26" s="1"/>
  <c r="I86" i="26" s="1"/>
  <c r="F85" i="26"/>
  <c r="H85" i="26" s="1"/>
  <c r="I85" i="26" s="1"/>
  <c r="F84" i="26"/>
  <c r="H84" i="26" s="1"/>
  <c r="I84" i="26" s="1"/>
  <c r="F83" i="26"/>
  <c r="H83" i="26" s="1"/>
  <c r="F68" i="26"/>
  <c r="H68" i="26" s="1"/>
  <c r="I68" i="26" s="1"/>
  <c r="F67" i="26"/>
  <c r="H67" i="26" s="1"/>
  <c r="I67" i="26" s="1"/>
  <c r="F66" i="26"/>
  <c r="H66" i="26" s="1"/>
  <c r="I66" i="26" s="1"/>
  <c r="F65" i="26"/>
  <c r="H65" i="26" s="1"/>
  <c r="I65" i="26" s="1"/>
  <c r="F64" i="26"/>
  <c r="H64" i="26" s="1"/>
  <c r="I64" i="26" s="1"/>
  <c r="F63" i="26"/>
  <c r="H63" i="26" s="1"/>
  <c r="I63" i="26" s="1"/>
  <c r="F62" i="26"/>
  <c r="H62" i="26" s="1"/>
  <c r="I62" i="26" s="1"/>
  <c r="F61" i="26"/>
  <c r="H61" i="26" s="1"/>
  <c r="I61" i="26" s="1"/>
  <c r="F59" i="26"/>
  <c r="H59" i="26" s="1"/>
  <c r="I59" i="26" s="1"/>
  <c r="F58" i="26"/>
  <c r="H58" i="26" s="1"/>
  <c r="I58" i="26" s="1"/>
  <c r="F57" i="26"/>
  <c r="H57" i="26" s="1"/>
  <c r="F42" i="26"/>
  <c r="H42" i="26" s="1"/>
  <c r="I42" i="26" s="1"/>
  <c r="F41" i="26"/>
  <c r="H41" i="26" s="1"/>
  <c r="I41" i="26" s="1"/>
  <c r="F40" i="26"/>
  <c r="H40" i="26" s="1"/>
  <c r="I40" i="26" s="1"/>
  <c r="F39" i="26"/>
  <c r="H39" i="26" s="1"/>
  <c r="I39" i="26" s="1"/>
  <c r="F38" i="26"/>
  <c r="H38" i="26" s="1"/>
  <c r="I38" i="26" s="1"/>
  <c r="F37" i="26"/>
  <c r="H37" i="26" s="1"/>
  <c r="I37" i="26" s="1"/>
  <c r="F36" i="26"/>
  <c r="H36" i="26" s="1"/>
  <c r="I36" i="26" s="1"/>
  <c r="F35" i="26"/>
  <c r="H35" i="26" s="1"/>
  <c r="I35" i="26" s="1"/>
  <c r="F34" i="26"/>
  <c r="H34" i="26" s="1"/>
  <c r="F19" i="26"/>
  <c r="H19" i="26" s="1"/>
  <c r="I19" i="26" s="1"/>
  <c r="F18" i="26"/>
  <c r="H18" i="26" s="1"/>
  <c r="I18" i="26" s="1"/>
  <c r="F17" i="26"/>
  <c r="H17" i="26" s="1"/>
  <c r="I17" i="26" s="1"/>
  <c r="F16" i="26"/>
  <c r="H16" i="26" s="1"/>
  <c r="I16" i="26" s="1"/>
  <c r="F15" i="26"/>
  <c r="H15" i="26" s="1"/>
  <c r="I15" i="26" s="1"/>
  <c r="F14" i="26"/>
  <c r="H14" i="26" s="1"/>
  <c r="I14" i="26" s="1"/>
  <c r="F13" i="26"/>
  <c r="H13" i="26" s="1"/>
  <c r="I13" i="26" s="1"/>
  <c r="F12" i="26"/>
  <c r="H12" i="26" s="1"/>
  <c r="I12" i="26" s="1"/>
  <c r="F11" i="26"/>
  <c r="H11" i="26" s="1"/>
  <c r="I11" i="26" s="1"/>
  <c r="F10" i="26"/>
  <c r="H10" i="26" s="1"/>
  <c r="F164" i="28"/>
  <c r="H164" i="28" s="1"/>
  <c r="I164" i="28" s="1"/>
  <c r="F163" i="28"/>
  <c r="H163" i="28" s="1"/>
  <c r="I163" i="28" s="1"/>
  <c r="F162" i="28"/>
  <c r="H162" i="28" s="1"/>
  <c r="I162" i="28" s="1"/>
  <c r="F161" i="28"/>
  <c r="H161" i="28" s="1"/>
  <c r="I161" i="28" s="1"/>
  <c r="F160" i="28"/>
  <c r="H160" i="28" s="1"/>
  <c r="I160" i="28" s="1"/>
  <c r="F159" i="28"/>
  <c r="H159" i="28" s="1"/>
  <c r="I159" i="28" s="1"/>
  <c r="F158" i="28"/>
  <c r="H158" i="28" s="1"/>
  <c r="I158" i="28" s="1"/>
  <c r="F157" i="28"/>
  <c r="H157" i="28" s="1"/>
  <c r="I157" i="28" s="1"/>
  <c r="F156" i="28"/>
  <c r="H156" i="28" s="1"/>
  <c r="I156" i="28" s="1"/>
  <c r="F155" i="28"/>
  <c r="H155" i="28" s="1"/>
  <c r="I155" i="28" s="1"/>
  <c r="F154" i="28"/>
  <c r="H154" i="28" s="1"/>
  <c r="I154" i="28" s="1"/>
  <c r="F153" i="28"/>
  <c r="H153" i="28" s="1"/>
  <c r="I153" i="28" s="1"/>
  <c r="F152" i="28"/>
  <c r="H152" i="28" s="1"/>
  <c r="I152" i="28" s="1"/>
  <c r="F151" i="28"/>
  <c r="H151" i="28" s="1"/>
  <c r="F133" i="28"/>
  <c r="H133" i="28" s="1"/>
  <c r="I133" i="28" s="1"/>
  <c r="F132" i="28"/>
  <c r="H132" i="28" s="1"/>
  <c r="I132" i="28" s="1"/>
  <c r="F131" i="28"/>
  <c r="H131" i="28" s="1"/>
  <c r="I131" i="28" s="1"/>
  <c r="F130" i="28"/>
  <c r="H130" i="28" s="1"/>
  <c r="I130" i="28" s="1"/>
  <c r="F129" i="28"/>
  <c r="H129" i="28" s="1"/>
  <c r="I129" i="28" s="1"/>
  <c r="F128" i="28"/>
  <c r="H128" i="28" s="1"/>
  <c r="I128" i="28" s="1"/>
  <c r="F127" i="28"/>
  <c r="H127" i="28" s="1"/>
  <c r="I127" i="28" s="1"/>
  <c r="F126" i="28"/>
  <c r="H126" i="28" s="1"/>
  <c r="I126" i="28" s="1"/>
  <c r="F125" i="28"/>
  <c r="H125" i="28" s="1"/>
  <c r="I125" i="28" s="1"/>
  <c r="F124" i="28"/>
  <c r="H124" i="28" s="1"/>
  <c r="F157" i="24"/>
  <c r="H157" i="24" s="1"/>
  <c r="I157" i="24" s="1"/>
  <c r="F156" i="24"/>
  <c r="H156" i="24" s="1"/>
  <c r="I156" i="24" s="1"/>
  <c r="F155" i="24"/>
  <c r="H155" i="24" s="1"/>
  <c r="I155" i="24" s="1"/>
  <c r="F154" i="24"/>
  <c r="H154" i="24" s="1"/>
  <c r="I154" i="24" s="1"/>
  <c r="F151" i="24"/>
  <c r="H151" i="24" s="1"/>
  <c r="I151" i="24" s="1"/>
  <c r="F150" i="24"/>
  <c r="H150" i="24" s="1"/>
  <c r="I150" i="24" s="1"/>
  <c r="F149" i="24"/>
  <c r="H149" i="24" s="1"/>
  <c r="I149" i="24" s="1"/>
  <c r="F148" i="24"/>
  <c r="H148" i="24" s="1"/>
  <c r="I148" i="24" s="1"/>
  <c r="F147" i="24"/>
  <c r="H147" i="24" s="1"/>
  <c r="I147" i="24" s="1"/>
  <c r="F146" i="24"/>
  <c r="H146" i="24" s="1"/>
  <c r="I146" i="24" s="1"/>
  <c r="F145" i="24"/>
  <c r="H145" i="24" s="1"/>
  <c r="I145" i="24" s="1"/>
  <c r="F144" i="24"/>
  <c r="H144" i="24" s="1"/>
  <c r="H126" i="24"/>
  <c r="I126" i="24" s="1"/>
  <c r="H125" i="24"/>
  <c r="I125" i="24" s="1"/>
  <c r="H124" i="24"/>
  <c r="I124" i="24" s="1"/>
  <c r="H120" i="24"/>
  <c r="I120" i="24" s="1"/>
  <c r="H119" i="24"/>
  <c r="I119" i="24" s="1"/>
  <c r="H118" i="24"/>
  <c r="I118" i="24" s="1"/>
  <c r="H117" i="24"/>
  <c r="I117" i="24" s="1"/>
  <c r="H112" i="24"/>
  <c r="I112" i="24" s="1"/>
  <c r="H111" i="24"/>
  <c r="I111" i="24" s="1"/>
  <c r="H110" i="24"/>
  <c r="I110" i="24" s="1"/>
  <c r="H109" i="24"/>
  <c r="I109" i="24" s="1"/>
  <c r="H108" i="24"/>
  <c r="I108" i="24" s="1"/>
  <c r="H107" i="24"/>
  <c r="H104" i="24"/>
  <c r="I104" i="24" s="1"/>
  <c r="H103" i="24"/>
  <c r="I103" i="24" s="1"/>
  <c r="H102" i="24"/>
  <c r="I102" i="24" s="1"/>
  <c r="H101" i="24"/>
  <c r="I101" i="24" s="1"/>
  <c r="H100" i="24"/>
  <c r="I100" i="24" s="1"/>
  <c r="H99" i="24"/>
  <c r="I99" i="24" s="1"/>
  <c r="H98" i="24"/>
  <c r="I98" i="24" s="1"/>
  <c r="H97" i="24"/>
  <c r="H59" i="24"/>
  <c r="I59" i="24" s="1"/>
  <c r="H58" i="24"/>
  <c r="I58" i="24" s="1"/>
  <c r="H57" i="24"/>
  <c r="I57" i="24" s="1"/>
  <c r="H56" i="24"/>
  <c r="I56" i="24" s="1"/>
  <c r="H55" i="24"/>
  <c r="I55" i="24" s="1"/>
  <c r="H54" i="24"/>
  <c r="I54" i="24" s="1"/>
  <c r="H53" i="24"/>
  <c r="I53" i="24" s="1"/>
  <c r="H52" i="24"/>
  <c r="I52" i="24" s="1"/>
  <c r="H51" i="24"/>
  <c r="I51" i="24" s="1"/>
  <c r="H50" i="24"/>
  <c r="H20" i="24"/>
  <c r="I20" i="24" s="1"/>
  <c r="H19" i="24"/>
  <c r="I19" i="24" s="1"/>
  <c r="H18" i="24"/>
  <c r="I18" i="24" s="1"/>
  <c r="H17" i="24"/>
  <c r="I17" i="24" s="1"/>
  <c r="H15" i="24"/>
  <c r="I15" i="24" s="1"/>
  <c r="H14" i="24"/>
  <c r="I14" i="24" s="1"/>
  <c r="H13" i="24"/>
  <c r="I13" i="24" s="1"/>
  <c r="H12" i="24"/>
  <c r="I12" i="24" s="1"/>
  <c r="H11" i="24"/>
  <c r="I11" i="24" s="1"/>
  <c r="H10" i="24"/>
  <c r="F139" i="23"/>
  <c r="H139" i="23" s="1"/>
  <c r="I139" i="23" s="1"/>
  <c r="F138" i="23"/>
  <c r="F137" i="23"/>
  <c r="H137" i="23" s="1"/>
  <c r="I137" i="23" s="1"/>
  <c r="F136" i="23"/>
  <c r="H136" i="23" s="1"/>
  <c r="I136" i="23" s="1"/>
  <c r="H135" i="23"/>
  <c r="I135" i="23" s="1"/>
  <c r="F134" i="23"/>
  <c r="H134" i="23" s="1"/>
  <c r="F118" i="23"/>
  <c r="H118" i="23" s="1"/>
  <c r="I118" i="23" s="1"/>
  <c r="F117" i="23"/>
  <c r="H117" i="23" s="1"/>
  <c r="I117" i="23" s="1"/>
  <c r="I116" i="23"/>
  <c r="F115" i="23"/>
  <c r="F113" i="23"/>
  <c r="H113" i="23" s="1"/>
  <c r="I113" i="23" s="1"/>
  <c r="F112" i="23"/>
  <c r="H112" i="23" s="1"/>
  <c r="F94" i="23"/>
  <c r="H94" i="23" s="1"/>
  <c r="I94" i="23" s="1"/>
  <c r="F93" i="23"/>
  <c r="H93" i="23" s="1"/>
  <c r="I93" i="23" s="1"/>
  <c r="F92" i="23"/>
  <c r="H92" i="23" s="1"/>
  <c r="I92" i="23" s="1"/>
  <c r="F90" i="23"/>
  <c r="H90" i="23" s="1"/>
  <c r="I90" i="23" s="1"/>
  <c r="F89" i="23"/>
  <c r="H89" i="23" s="1"/>
  <c r="I89" i="23" s="1"/>
  <c r="F88" i="23"/>
  <c r="H88" i="23" s="1"/>
  <c r="I88" i="23" s="1"/>
  <c r="F87" i="23"/>
  <c r="H87" i="23" s="1"/>
  <c r="I87" i="23" s="1"/>
  <c r="F86" i="23"/>
  <c r="H86" i="23" s="1"/>
  <c r="I86" i="23" s="1"/>
  <c r="D85" i="23"/>
  <c r="F85" i="23" s="1"/>
  <c r="H85" i="23" s="1"/>
  <c r="I85" i="23" s="1"/>
  <c r="F84" i="23"/>
  <c r="H84" i="23" s="1"/>
  <c r="F40" i="23"/>
  <c r="H40" i="23" s="1"/>
  <c r="I40" i="23" s="1"/>
  <c r="F39" i="23"/>
  <c r="H39" i="23" s="1"/>
  <c r="I39" i="23" s="1"/>
  <c r="F38" i="23"/>
  <c r="H38" i="23" s="1"/>
  <c r="I38" i="23" s="1"/>
  <c r="F37" i="23"/>
  <c r="H37" i="23" s="1"/>
  <c r="I37" i="23" s="1"/>
  <c r="F36" i="23"/>
  <c r="H36" i="23" s="1"/>
  <c r="I36" i="23" s="1"/>
  <c r="F35" i="23"/>
  <c r="H35" i="23" s="1"/>
  <c r="I35" i="23" s="1"/>
  <c r="F34" i="23"/>
  <c r="H34" i="23" s="1"/>
  <c r="I34" i="23" s="1"/>
  <c r="F33" i="23"/>
  <c r="H33" i="23" s="1"/>
  <c r="F67" i="23"/>
  <c r="H67" i="23" s="1"/>
  <c r="I67" i="23" s="1"/>
  <c r="F65" i="23"/>
  <c r="H65" i="23" s="1"/>
  <c r="I65" i="23" s="1"/>
  <c r="F64" i="23"/>
  <c r="H64" i="23" s="1"/>
  <c r="I64" i="23" s="1"/>
  <c r="F63" i="23"/>
  <c r="H63" i="23" s="1"/>
  <c r="I63" i="23" s="1"/>
  <c r="F62" i="23"/>
  <c r="H62" i="23" s="1"/>
  <c r="I62" i="23" s="1"/>
  <c r="F61" i="23"/>
  <c r="H61" i="23" s="1"/>
  <c r="I61" i="23" s="1"/>
  <c r="F60" i="23"/>
  <c r="H60" i="23" s="1"/>
  <c r="I60" i="23" s="1"/>
  <c r="F59" i="23"/>
  <c r="H59" i="23" s="1"/>
  <c r="F16" i="23"/>
  <c r="H16" i="23" s="1"/>
  <c r="I16" i="23" s="1"/>
  <c r="F15" i="23"/>
  <c r="H15" i="23" s="1"/>
  <c r="I15" i="23" s="1"/>
  <c r="F14" i="23"/>
  <c r="H14" i="23" s="1"/>
  <c r="I14" i="23" s="1"/>
  <c r="F13" i="23"/>
  <c r="H13" i="23" s="1"/>
  <c r="I13" i="23" s="1"/>
  <c r="F12" i="23"/>
  <c r="H12" i="23" s="1"/>
  <c r="I12" i="23" s="1"/>
  <c r="F11" i="23"/>
  <c r="H11" i="23" s="1"/>
  <c r="I11" i="23" s="1"/>
  <c r="F10" i="23"/>
  <c r="H10" i="23" s="1"/>
  <c r="H92" i="26" l="1"/>
  <c r="I92" i="26" s="1"/>
  <c r="H165" i="28"/>
  <c r="H166" i="28" s="1"/>
  <c r="H95" i="26"/>
  <c r="H96" i="26" s="1"/>
  <c r="H24" i="29"/>
  <c r="H25" i="29" s="1"/>
  <c r="H53" i="29"/>
  <c r="H54" i="29" s="1"/>
  <c r="H96" i="25"/>
  <c r="H43" i="26"/>
  <c r="H44" i="26" s="1"/>
  <c r="H137" i="28"/>
  <c r="H138" i="28" s="1"/>
  <c r="H69" i="26"/>
  <c r="H70" i="26" s="1"/>
  <c r="I11" i="25"/>
  <c r="H25" i="25"/>
  <c r="H26" i="25" s="1"/>
  <c r="H15" i="11"/>
  <c r="H16" i="11" s="1"/>
  <c r="I96" i="29"/>
  <c r="I112" i="29" s="1"/>
  <c r="H112" i="29"/>
  <c r="H113" i="29" s="1"/>
  <c r="I42" i="25"/>
  <c r="I60" i="25" s="1"/>
  <c r="H60" i="25"/>
  <c r="H61" i="25" s="1"/>
  <c r="I147" i="27"/>
  <c r="H157" i="27"/>
  <c r="H158" i="27" s="1"/>
  <c r="H129" i="27"/>
  <c r="H130" i="27" s="1"/>
  <c r="I74" i="27"/>
  <c r="H77" i="27"/>
  <c r="H78" i="27" s="1"/>
  <c r="I38" i="27"/>
  <c r="I49" i="27" s="1"/>
  <c r="H49" i="27"/>
  <c r="H50" i="27" s="1"/>
  <c r="I13" i="27"/>
  <c r="H21" i="27"/>
  <c r="H22" i="27" s="1"/>
  <c r="I107" i="24"/>
  <c r="H128" i="24"/>
  <c r="H129" i="24" s="1"/>
  <c r="H96" i="23"/>
  <c r="I33" i="23"/>
  <c r="H45" i="23"/>
  <c r="H46" i="23" s="1"/>
  <c r="I59" i="23"/>
  <c r="I68" i="23" s="1"/>
  <c r="H68" i="23"/>
  <c r="H69" i="23" s="1"/>
  <c r="H21" i="23"/>
  <c r="H22" i="23" s="1"/>
  <c r="H20" i="26"/>
  <c r="H21" i="26" s="1"/>
  <c r="H35" i="24"/>
  <c r="H36" i="24" s="1"/>
  <c r="I139" i="11"/>
  <c r="I82" i="29"/>
  <c r="H160" i="11"/>
  <c r="H161" i="11" s="1"/>
  <c r="H96" i="1"/>
  <c r="H97" i="1" s="1"/>
  <c r="H57" i="11"/>
  <c r="H78" i="11"/>
  <c r="H100" i="11"/>
  <c r="H139" i="11"/>
  <c r="H140" i="11" s="1"/>
  <c r="I10" i="11"/>
  <c r="I15" i="11" s="1"/>
  <c r="I28" i="11"/>
  <c r="H37" i="11"/>
  <c r="I51" i="11"/>
  <c r="I71" i="11"/>
  <c r="I93" i="11"/>
  <c r="I153" i="11"/>
  <c r="H22" i="1"/>
  <c r="H23" i="1" s="1"/>
  <c r="I11" i="1"/>
  <c r="I22" i="1" s="1"/>
  <c r="H46" i="1"/>
  <c r="H47" i="1" s="1"/>
  <c r="I37" i="1"/>
  <c r="I61" i="1"/>
  <c r="H72" i="1"/>
  <c r="H73" i="1" s="1"/>
  <c r="I87" i="1"/>
  <c r="I39" i="29"/>
  <c r="I10" i="29"/>
  <c r="H82" i="29"/>
  <c r="H83" i="29" s="1"/>
  <c r="I12" i="25"/>
  <c r="I76" i="25"/>
  <c r="I96" i="25" s="1"/>
  <c r="I63" i="27"/>
  <c r="H104" i="27"/>
  <c r="H105" i="27" s="1"/>
  <c r="I119" i="27"/>
  <c r="I10" i="27"/>
  <c r="I92" i="27"/>
  <c r="I143" i="27"/>
  <c r="I34" i="26"/>
  <c r="I10" i="26"/>
  <c r="I57" i="26"/>
  <c r="I83" i="26"/>
  <c r="I124" i="28"/>
  <c r="I151" i="28"/>
  <c r="I10" i="24"/>
  <c r="I35" i="24" s="1"/>
  <c r="H138" i="23"/>
  <c r="I138" i="23" s="1"/>
  <c r="I97" i="24"/>
  <c r="I144" i="24"/>
  <c r="H159" i="24"/>
  <c r="H160" i="24" s="1"/>
  <c r="H80" i="24"/>
  <c r="I50" i="24"/>
  <c r="I80" i="24" s="1"/>
  <c r="H115" i="23"/>
  <c r="I115" i="23" s="1"/>
  <c r="I10" i="23"/>
  <c r="I84" i="23"/>
  <c r="I112" i="23"/>
  <c r="I134" i="23"/>
  <c r="I95" i="26" l="1"/>
  <c r="P76" i="33"/>
  <c r="P83" i="33"/>
  <c r="P82" i="33"/>
  <c r="P62" i="33"/>
  <c r="P73" i="33"/>
  <c r="P84" i="33"/>
  <c r="P65" i="33"/>
  <c r="P77" i="33"/>
  <c r="H133" i="27"/>
  <c r="H116" i="27" s="1"/>
  <c r="P81" i="33"/>
  <c r="P78" i="33"/>
  <c r="H161" i="27"/>
  <c r="P64" i="33"/>
  <c r="H73" i="26"/>
  <c r="H54" i="26" s="1"/>
  <c r="P45" i="33"/>
  <c r="H169" i="28"/>
  <c r="H148" i="28" s="1"/>
  <c r="P75" i="33"/>
  <c r="H81" i="27"/>
  <c r="H60" i="27" s="1"/>
  <c r="P99" i="33"/>
  <c r="H164" i="11"/>
  <c r="H150" i="11" s="1"/>
  <c r="P98" i="33"/>
  <c r="H143" i="11"/>
  <c r="H129" i="11" s="1"/>
  <c r="P91" i="33"/>
  <c r="H163" i="24"/>
  <c r="H140" i="24" s="1"/>
  <c r="P88" i="33"/>
  <c r="H39" i="24"/>
  <c r="H7" i="24" s="1"/>
  <c r="P30" i="33"/>
  <c r="H86" i="29"/>
  <c r="H66" i="29" s="1"/>
  <c r="P29" i="33"/>
  <c r="H57" i="29"/>
  <c r="H36" i="29" s="1"/>
  <c r="P90" i="33"/>
  <c r="H132" i="24"/>
  <c r="H93" i="24" s="1"/>
  <c r="P58" i="33"/>
  <c r="H64" i="25"/>
  <c r="H36" i="25" s="1"/>
  <c r="P57" i="33"/>
  <c r="H29" i="25"/>
  <c r="H8" i="25" s="1"/>
  <c r="I138" i="28"/>
  <c r="P44" i="33"/>
  <c r="H141" i="28"/>
  <c r="H121" i="28" s="1"/>
  <c r="P22" i="33"/>
  <c r="H72" i="23"/>
  <c r="H56" i="23" s="1"/>
  <c r="I50" i="27"/>
  <c r="P74" i="33"/>
  <c r="H53" i="27"/>
  <c r="H32" i="27" s="1"/>
  <c r="P63" i="33"/>
  <c r="H47" i="26"/>
  <c r="H31" i="26" s="1"/>
  <c r="P31" i="33"/>
  <c r="H116" i="29"/>
  <c r="H93" i="29" s="1"/>
  <c r="P28" i="33"/>
  <c r="H28" i="29"/>
  <c r="H7" i="29" s="1"/>
  <c r="P21" i="33"/>
  <c r="H49" i="23"/>
  <c r="H30" i="23" s="1"/>
  <c r="P20" i="33"/>
  <c r="H25" i="23"/>
  <c r="H7" i="23" s="1"/>
  <c r="H76" i="1"/>
  <c r="H58" i="1" s="1"/>
  <c r="H50" i="1"/>
  <c r="H34" i="1" s="1"/>
  <c r="H100" i="1"/>
  <c r="H84" i="1" s="1"/>
  <c r="H108" i="27"/>
  <c r="H89" i="27" s="1"/>
  <c r="H25" i="27"/>
  <c r="H7" i="27" s="1"/>
  <c r="H99" i="26"/>
  <c r="H80" i="26" s="1"/>
  <c r="H24" i="26"/>
  <c r="H7" i="26" s="1"/>
  <c r="I128" i="24"/>
  <c r="I45" i="23"/>
  <c r="I25" i="25"/>
  <c r="H120" i="23"/>
  <c r="H121" i="23" s="1"/>
  <c r="I140" i="23"/>
  <c r="I120" i="23"/>
  <c r="I96" i="23"/>
  <c r="I21" i="23"/>
  <c r="H97" i="23"/>
  <c r="I159" i="24"/>
  <c r="I165" i="28"/>
  <c r="I137" i="28"/>
  <c r="I69" i="26"/>
  <c r="I20" i="26"/>
  <c r="I43" i="26"/>
  <c r="I157" i="27"/>
  <c r="I104" i="27"/>
  <c r="I21" i="27"/>
  <c r="I129" i="27"/>
  <c r="I77" i="27"/>
  <c r="H97" i="25"/>
  <c r="I53" i="29"/>
  <c r="I96" i="1"/>
  <c r="I72" i="1"/>
  <c r="I46" i="1"/>
  <c r="I160" i="11"/>
  <c r="I100" i="11"/>
  <c r="I78" i="11"/>
  <c r="I57" i="11"/>
  <c r="I37" i="11"/>
  <c r="H101" i="11"/>
  <c r="H104" i="11" s="1"/>
  <c r="H79" i="11"/>
  <c r="H82" i="11" s="1"/>
  <c r="H68" i="11" s="1"/>
  <c r="H58" i="11"/>
  <c r="I24" i="29"/>
  <c r="H38" i="11"/>
  <c r="H81" i="24"/>
  <c r="I161" i="11"/>
  <c r="H140" i="23"/>
  <c r="H141" i="23" s="1"/>
  <c r="X31" i="33" l="1"/>
  <c r="R31" i="33"/>
  <c r="T31" i="33"/>
  <c r="Y31" i="33" s="1"/>
  <c r="X90" i="33"/>
  <c r="R90" i="33"/>
  <c r="T90" i="33"/>
  <c r="Y90" i="33" s="1"/>
  <c r="X91" i="33"/>
  <c r="R91" i="33"/>
  <c r="T91" i="33"/>
  <c r="Y91" i="33" s="1"/>
  <c r="R45" i="33"/>
  <c r="X45" i="33"/>
  <c r="T45" i="33"/>
  <c r="Y45" i="33" s="1"/>
  <c r="X65" i="33"/>
  <c r="R65" i="33"/>
  <c r="T65" i="33"/>
  <c r="Y65" i="33" s="1"/>
  <c r="R44" i="33"/>
  <c r="X44" i="33"/>
  <c r="T44" i="33"/>
  <c r="X84" i="33"/>
  <c r="R84" i="33"/>
  <c r="T84" i="33"/>
  <c r="Y84" i="33" s="1"/>
  <c r="R20" i="33"/>
  <c r="T20" i="33"/>
  <c r="Y20" i="33" s="1"/>
  <c r="X63" i="33"/>
  <c r="R63" i="33"/>
  <c r="T63" i="33"/>
  <c r="Y63" i="33" s="1"/>
  <c r="X29" i="33"/>
  <c r="R29" i="33"/>
  <c r="T29" i="33"/>
  <c r="Y29" i="33" s="1"/>
  <c r="R98" i="33"/>
  <c r="X98" i="33"/>
  <c r="T98" i="33"/>
  <c r="Y98" i="33" s="1"/>
  <c r="R64" i="33"/>
  <c r="X64" i="33"/>
  <c r="T64" i="33"/>
  <c r="Y64" i="33" s="1"/>
  <c r="R73" i="33"/>
  <c r="T73" i="33"/>
  <c r="Y73" i="33" s="1"/>
  <c r="X22" i="33"/>
  <c r="R22" i="33"/>
  <c r="T22" i="33"/>
  <c r="Y22" i="33" s="1"/>
  <c r="R62" i="33"/>
  <c r="T62" i="33"/>
  <c r="Y62" i="33" s="1"/>
  <c r="X21" i="33"/>
  <c r="R21" i="33"/>
  <c r="T21" i="33"/>
  <c r="Y21" i="33" s="1"/>
  <c r="R74" i="33"/>
  <c r="X74" i="33"/>
  <c r="T74" i="33"/>
  <c r="Y74" i="33" s="1"/>
  <c r="R57" i="33"/>
  <c r="T57" i="33"/>
  <c r="Y57" i="33" s="1"/>
  <c r="R30" i="33"/>
  <c r="X30" i="33"/>
  <c r="T30" i="33"/>
  <c r="Y30" i="33" s="1"/>
  <c r="R99" i="33"/>
  <c r="X99" i="33"/>
  <c r="T99" i="33"/>
  <c r="Y99" i="33" s="1"/>
  <c r="X78" i="33"/>
  <c r="R78" i="33"/>
  <c r="T78" i="33"/>
  <c r="Y78" i="33" s="1"/>
  <c r="R82" i="33"/>
  <c r="X82" i="33"/>
  <c r="T82" i="33"/>
  <c r="Y82" i="33" s="1"/>
  <c r="X77" i="33"/>
  <c r="R77" i="33"/>
  <c r="T77" i="33"/>
  <c r="Y77" i="33" s="1"/>
  <c r="R83" i="33"/>
  <c r="X83" i="33"/>
  <c r="T83" i="33"/>
  <c r="Y83" i="33" s="1"/>
  <c r="R28" i="33"/>
  <c r="T28" i="33"/>
  <c r="Y28" i="33" s="1"/>
  <c r="X58" i="33"/>
  <c r="R58" i="33"/>
  <c r="T58" i="33"/>
  <c r="Y58" i="33" s="1"/>
  <c r="R88" i="33"/>
  <c r="T88" i="33"/>
  <c r="Y88" i="33" s="1"/>
  <c r="X75" i="33"/>
  <c r="R75" i="33"/>
  <c r="T75" i="33"/>
  <c r="Y75" i="33" s="1"/>
  <c r="X76" i="33"/>
  <c r="Y44" i="33"/>
  <c r="X81" i="33"/>
  <c r="X62" i="33"/>
  <c r="X20" i="33"/>
  <c r="X28" i="33"/>
  <c r="X57" i="33"/>
  <c r="X88" i="33"/>
  <c r="X73" i="33"/>
  <c r="P25" i="33"/>
  <c r="H19" i="11"/>
  <c r="H7" i="11" s="1"/>
  <c r="P94" i="33"/>
  <c r="P24" i="33"/>
  <c r="H124" i="23"/>
  <c r="H109" i="23" s="1"/>
  <c r="P95" i="33"/>
  <c r="H41" i="11"/>
  <c r="H25" i="11" s="1"/>
  <c r="P96" i="33"/>
  <c r="H61" i="11"/>
  <c r="H48" i="11" s="1"/>
  <c r="P89" i="33"/>
  <c r="H84" i="24"/>
  <c r="H47" i="24" s="1"/>
  <c r="H144" i="23"/>
  <c r="H131" i="23" s="1"/>
  <c r="P23" i="33"/>
  <c r="H100" i="23"/>
  <c r="H81" i="23" s="1"/>
  <c r="P59" i="33"/>
  <c r="H100" i="25"/>
  <c r="H73" i="25" s="1"/>
  <c r="K76" i="33"/>
  <c r="L76" i="33"/>
  <c r="N76" i="33"/>
  <c r="T76" i="33" s="1"/>
  <c r="Y76" i="33" s="1"/>
  <c r="R25" i="33" l="1"/>
  <c r="X25" i="33"/>
  <c r="T25" i="33"/>
  <c r="X96" i="33"/>
  <c r="R96" i="33"/>
  <c r="T96" i="33"/>
  <c r="Y96" i="33" s="1"/>
  <c r="X59" i="33"/>
  <c r="R59" i="33"/>
  <c r="T59" i="33"/>
  <c r="Y59" i="33" s="1"/>
  <c r="X23" i="33"/>
  <c r="R23" i="33"/>
  <c r="T23" i="33"/>
  <c r="Y23" i="33" s="1"/>
  <c r="X89" i="33"/>
  <c r="R89" i="33"/>
  <c r="T89" i="33"/>
  <c r="Y89" i="33" s="1"/>
  <c r="R24" i="33"/>
  <c r="R106" i="33" s="1"/>
  <c r="X24" i="33"/>
  <c r="T24" i="33"/>
  <c r="Y24" i="33" s="1"/>
  <c r="X95" i="33"/>
  <c r="R95" i="33"/>
  <c r="T95" i="33"/>
  <c r="Y95" i="33" s="1"/>
  <c r="R94" i="33"/>
  <c r="T94" i="33"/>
  <c r="Y94" i="33" s="1"/>
  <c r="R76" i="33"/>
  <c r="W76" i="33"/>
  <c r="X94" i="33"/>
  <c r="Y25" i="33"/>
  <c r="F125" i="22" l="1"/>
  <c r="H125" i="22" s="1"/>
  <c r="I125" i="22" s="1"/>
  <c r="F124" i="22"/>
  <c r="H124" i="22" s="1"/>
  <c r="I124" i="22" s="1"/>
  <c r="F123" i="22"/>
  <c r="H123" i="22" s="1"/>
  <c r="I123" i="22" s="1"/>
  <c r="F122" i="22"/>
  <c r="H122" i="22" s="1"/>
  <c r="I122" i="22" s="1"/>
  <c r="F121" i="22"/>
  <c r="H121" i="22" s="1"/>
  <c r="I121" i="22" s="1"/>
  <c r="F120" i="22"/>
  <c r="H120" i="22" s="1"/>
  <c r="I120" i="22" s="1"/>
  <c r="F104" i="22"/>
  <c r="H104" i="22" s="1"/>
  <c r="I104" i="22" s="1"/>
  <c r="F103" i="22"/>
  <c r="H103" i="22" s="1"/>
  <c r="I103" i="22" s="1"/>
  <c r="F102" i="22"/>
  <c r="H102" i="22" s="1"/>
  <c r="I102" i="22" s="1"/>
  <c r="F99" i="22"/>
  <c r="H99" i="22" s="1"/>
  <c r="I99" i="22" s="1"/>
  <c r="F100" i="22"/>
  <c r="F97" i="22"/>
  <c r="H97" i="22" s="1"/>
  <c r="I97" i="22" s="1"/>
  <c r="F96" i="22"/>
  <c r="H96" i="22" s="1"/>
  <c r="F95" i="22"/>
  <c r="H95" i="22" s="1"/>
  <c r="I95" i="22" s="1"/>
  <c r="F94" i="22"/>
  <c r="H94" i="22" s="1"/>
  <c r="I94" i="22" s="1"/>
  <c r="F93" i="22"/>
  <c r="H93" i="22" s="1"/>
  <c r="I93" i="22" s="1"/>
  <c r="F92" i="22"/>
  <c r="H92" i="22" s="1"/>
  <c r="I92" i="22" s="1"/>
  <c r="F91" i="22"/>
  <c r="H91" i="22" l="1"/>
  <c r="I91" i="22" s="1"/>
  <c r="H100" i="22"/>
  <c r="I100" i="22" s="1"/>
  <c r="I96" i="22"/>
  <c r="I105" i="22" l="1"/>
  <c r="H105" i="22"/>
  <c r="H71" i="22" l="1"/>
  <c r="I71" i="22" s="1"/>
  <c r="H62" i="10" l="1"/>
  <c r="F61" i="10"/>
  <c r="F60" i="10"/>
  <c r="H60" i="10" s="1"/>
  <c r="F59" i="10"/>
  <c r="H59" i="10" s="1"/>
  <c r="F58" i="10"/>
  <c r="H58" i="10" s="1"/>
  <c r="F13" i="10"/>
  <c r="H13" i="10" s="1"/>
  <c r="F12" i="10"/>
  <c r="H12" i="10" s="1"/>
  <c r="F11" i="10"/>
  <c r="H11" i="10" s="1"/>
  <c r="F10" i="10"/>
  <c r="H10" i="10" s="1"/>
  <c r="H34" i="10"/>
  <c r="F119" i="22" l="1"/>
  <c r="H68" i="22"/>
  <c r="H12" i="22"/>
  <c r="H9" i="22" l="1"/>
  <c r="H10" i="22"/>
  <c r="I12" i="22"/>
  <c r="F17" i="22"/>
  <c r="F18" i="22"/>
  <c r="H18" i="22" s="1"/>
  <c r="H36" i="22"/>
  <c r="H67" i="22"/>
  <c r="I68" i="22"/>
  <c r="H69" i="22"/>
  <c r="H70" i="22"/>
  <c r="H119" i="22"/>
  <c r="H129" i="22" s="1"/>
  <c r="H17" i="22" l="1"/>
  <c r="I17" i="22" s="1"/>
  <c r="H11" i="22"/>
  <c r="I10" i="22"/>
  <c r="I9" i="22"/>
  <c r="H16" i="22"/>
  <c r="I16" i="22" s="1"/>
  <c r="H14" i="22"/>
  <c r="I14" i="22" s="1"/>
  <c r="H35" i="22"/>
  <c r="I35" i="22" s="1"/>
  <c r="H34" i="22"/>
  <c r="I34" i="22" s="1"/>
  <c r="H13" i="22"/>
  <c r="I13" i="22" s="1"/>
  <c r="I70" i="22"/>
  <c r="I69" i="22"/>
  <c r="I18" i="22"/>
  <c r="I119" i="22"/>
  <c r="I129" i="22" s="1"/>
  <c r="I67" i="22"/>
  <c r="I36" i="22"/>
  <c r="I11" i="22" l="1"/>
  <c r="I20" i="22" s="1"/>
  <c r="H20" i="22"/>
  <c r="I75" i="22"/>
  <c r="I37" i="22"/>
  <c r="H75" i="22"/>
  <c r="H37" i="22"/>
  <c r="H130" i="22" l="1"/>
  <c r="H21" i="22"/>
  <c r="H38" i="22"/>
  <c r="H76" i="22"/>
  <c r="H106" i="22"/>
  <c r="H133" i="22" l="1"/>
  <c r="H116" i="22" s="1"/>
  <c r="P10" i="33"/>
  <c r="H41" i="22"/>
  <c r="H31" i="22" s="1"/>
  <c r="P13" i="33"/>
  <c r="H109" i="22"/>
  <c r="H87" i="22" s="1"/>
  <c r="P9" i="33"/>
  <c r="H24" i="22"/>
  <c r="H6" i="22" s="1"/>
  <c r="I76" i="22"/>
  <c r="P14" i="33"/>
  <c r="P12" i="33"/>
  <c r="H79" i="22"/>
  <c r="H64" i="22" s="1"/>
  <c r="I130" i="22"/>
  <c r="I106" i="22"/>
  <c r="I38" i="22"/>
  <c r="R9" i="33" l="1"/>
  <c r="T9" i="33"/>
  <c r="Y9" i="33" s="1"/>
  <c r="X13" i="33"/>
  <c r="R13" i="33"/>
  <c r="T13" i="33"/>
  <c r="Y13" i="33" s="1"/>
  <c r="X12" i="33"/>
  <c r="R12" i="33"/>
  <c r="T12" i="33"/>
  <c r="Y12" i="33" s="1"/>
  <c r="R10" i="33"/>
  <c r="X10" i="33"/>
  <c r="T10" i="33"/>
  <c r="Y10" i="33" s="1"/>
  <c r="R14" i="33"/>
  <c r="X14" i="33"/>
  <c r="T14" i="33"/>
  <c r="Y14" i="33" s="1"/>
  <c r="X9" i="33"/>
  <c r="H61" i="10"/>
  <c r="I62" i="10" l="1"/>
  <c r="I61" i="10"/>
  <c r="I60" i="10"/>
  <c r="I59" i="10"/>
  <c r="I58" i="10"/>
  <c r="I13" i="10"/>
  <c r="I12" i="10"/>
  <c r="I11" i="10"/>
  <c r="I10" i="10"/>
  <c r="I34" i="10"/>
  <c r="I44" i="10" s="1"/>
  <c r="I69" i="10" l="1"/>
  <c r="I20" i="10"/>
  <c r="H20" i="10"/>
  <c r="H44" i="10"/>
  <c r="H69" i="10"/>
  <c r="H70" i="10" l="1"/>
  <c r="H21" i="10"/>
  <c r="H45" i="10"/>
  <c r="P70" i="33" l="1"/>
  <c r="H73" i="10"/>
  <c r="H55" i="10" s="1"/>
  <c r="P69" i="33"/>
  <c r="H48" i="10"/>
  <c r="H31" i="10" s="1"/>
  <c r="P68" i="33"/>
  <c r="H24" i="10"/>
  <c r="H7" i="10" s="1"/>
  <c r="R68" i="33" l="1"/>
  <c r="T68" i="33"/>
  <c r="Y68" i="33" s="1"/>
  <c r="X69" i="33"/>
  <c r="R69" i="33"/>
  <c r="T69" i="33"/>
  <c r="Y69" i="33" s="1"/>
  <c r="R70" i="33"/>
  <c r="X70" i="33"/>
  <c r="T70" i="33"/>
  <c r="Y70" i="33" s="1"/>
  <c r="X68" i="33"/>
  <c r="L53" i="33" l="1"/>
  <c r="H382" i="28"/>
  <c r="H383" i="28" s="1"/>
  <c r="H384" i="28" s="1"/>
  <c r="H363" i="28" s="1"/>
  <c r="K53" i="33" l="1"/>
  <c r="N53" i="33"/>
  <c r="T53" i="33" l="1"/>
  <c r="Y53" i="33" s="1"/>
  <c r="R53" i="33"/>
  <c r="W53" i="33"/>
  <c r="K81" i="33" l="1"/>
  <c r="H24" i="1"/>
  <c r="H25" i="1" s="1"/>
  <c r="H26" i="1" s="1"/>
  <c r="H7" i="1" s="1"/>
  <c r="N81" i="33" l="1"/>
  <c r="L81" i="33"/>
  <c r="T81" i="33" l="1"/>
  <c r="Y81" i="33" s="1"/>
  <c r="R81" i="33"/>
  <c r="W81" i="33"/>
</calcChain>
</file>

<file path=xl/sharedStrings.xml><?xml version="1.0" encoding="utf-8"?>
<sst xmlns="http://schemas.openxmlformats.org/spreadsheetml/2006/main" count="7480" uniqueCount="970">
  <si>
    <t>STANDARD COST RECIPE CARD</t>
  </si>
  <si>
    <t>LOCATION :</t>
  </si>
  <si>
    <t>DATE            :</t>
  </si>
  <si>
    <t>No.Portion</t>
  </si>
  <si>
    <t>Total Cost</t>
  </si>
  <si>
    <t>COST/PORTION</t>
  </si>
  <si>
    <t>SALES</t>
  </si>
  <si>
    <t>COST %</t>
  </si>
  <si>
    <t>QTY</t>
  </si>
  <si>
    <t>UNIT</t>
  </si>
  <si>
    <t>INGREDIENTS</t>
  </si>
  <si>
    <t>AT AMOUNT</t>
  </si>
  <si>
    <t>TOTAL AMOUNT</t>
  </si>
  <si>
    <t>nos</t>
  </si>
  <si>
    <t>Portion Price</t>
  </si>
  <si>
    <t>Actual Sales Pirce</t>
  </si>
  <si>
    <t>Percentage Cost%</t>
  </si>
  <si>
    <t>EXECUTIVE CHEF</t>
  </si>
  <si>
    <t>Pcs</t>
  </si>
  <si>
    <t>Nos</t>
  </si>
  <si>
    <t>Bdl</t>
  </si>
  <si>
    <t>pcs</t>
  </si>
  <si>
    <t>Kg</t>
  </si>
  <si>
    <t>kg</t>
  </si>
  <si>
    <t>TOTAL AMOUNT KS</t>
  </si>
  <si>
    <t>TOTAL AMOUNT $</t>
  </si>
  <si>
    <t>Tin</t>
  </si>
  <si>
    <t>pkt</t>
  </si>
  <si>
    <t>No.</t>
  </si>
  <si>
    <t>Menu Item Name</t>
  </si>
  <si>
    <t>Hotel Code</t>
  </si>
  <si>
    <t>Menu Type</t>
  </si>
  <si>
    <t>Category</t>
  </si>
  <si>
    <t>Unit</t>
  </si>
  <si>
    <t>Svc 10 %</t>
  </si>
  <si>
    <t xml:space="preserve">        Apptizer</t>
  </si>
  <si>
    <t>Appetizers &amp; Salad</t>
  </si>
  <si>
    <t>Food</t>
  </si>
  <si>
    <t>1 Portion</t>
  </si>
  <si>
    <t>Soups</t>
  </si>
  <si>
    <t>XANADU</t>
  </si>
  <si>
    <t>As on  15/08/2019</t>
  </si>
  <si>
    <t>Rate List</t>
  </si>
  <si>
    <t>---------------------------------------------------------------------------------------------------------------------------------------------------------------------------------------------------------------------------------</t>
  </si>
  <si>
    <t>Code</t>
  </si>
  <si>
    <t>Name</t>
  </si>
  <si>
    <t>Portions</t>
  </si>
  <si>
    <t>Quantity</t>
  </si>
  <si>
    <t>U.O.M</t>
  </si>
  <si>
    <t>Cur</t>
  </si>
  <si>
    <t>Rate</t>
  </si>
  <si>
    <t>Tax</t>
  </si>
  <si>
    <t>Discount</t>
  </si>
  <si>
    <t>NC %</t>
  </si>
  <si>
    <t>Last Updated</t>
  </si>
  <si>
    <t>User</t>
  </si>
  <si>
    <t>FOOD</t>
  </si>
  <si>
    <t xml:space="preserve">        Others</t>
  </si>
  <si>
    <t>CANDLE LIGHT DINNER DECORATION CHARGES</t>
  </si>
  <si>
    <t>...</t>
  </si>
  <si>
    <t>1.000</t>
  </si>
  <si>
    <t>PK</t>
  </si>
  <si>
    <t>USD</t>
  </si>
  <si>
    <t>150.000</t>
  </si>
  <si>
    <t>Yes</t>
  </si>
  <si>
    <t>0.000</t>
  </si>
  <si>
    <t>17-JUL-2019</t>
  </si>
  <si>
    <t>COSTSUP</t>
  </si>
  <si>
    <t xml:space="preserve">        Appetizersalad</t>
  </si>
  <si>
    <t>ASIAN DELIGHTS</t>
  </si>
  <si>
    <t>POR</t>
  </si>
  <si>
    <t>11.000</t>
  </si>
  <si>
    <t>20.000</t>
  </si>
  <si>
    <t>18-MAR-2019</t>
  </si>
  <si>
    <t>CARPACCIO OF  BEEF</t>
  </si>
  <si>
    <t>14.000</t>
  </si>
  <si>
    <t>32.000</t>
  </si>
  <si>
    <t>12-JAN-2019</t>
  </si>
  <si>
    <t>Alacarte Cost Recipe</t>
  </si>
  <si>
    <t>CEASAR SALAD</t>
  </si>
  <si>
    <t>12.000</t>
  </si>
  <si>
    <t>26.000</t>
  </si>
  <si>
    <t>14-JAN-2019</t>
  </si>
  <si>
    <t>CHEF'S GOURMET SALAD</t>
  </si>
  <si>
    <t>31.000</t>
  </si>
  <si>
    <t>22-JAN-2019</t>
  </si>
  <si>
    <t>FNB2</t>
  </si>
  <si>
    <t>CHICKEN SALAD</t>
  </si>
  <si>
    <t>10.000</t>
  </si>
  <si>
    <t>CREAM CRACKER</t>
  </si>
  <si>
    <t>3.000</t>
  </si>
  <si>
    <t>8.000</t>
  </si>
  <si>
    <t>28-JUN-2019</t>
  </si>
  <si>
    <t>GREEN TOMATO SALAD</t>
  </si>
  <si>
    <t>6.000</t>
  </si>
  <si>
    <t>9.000</t>
  </si>
  <si>
    <t>GRILLIED PORK SALAD ( LAO )</t>
  </si>
  <si>
    <t>19.000</t>
  </si>
  <si>
    <t>MARINATED SMOKED SALMON</t>
  </si>
  <si>
    <t>15.000</t>
  </si>
  <si>
    <t>ORGANIC GARDEN SALAD</t>
  </si>
  <si>
    <t>7.000</t>
  </si>
  <si>
    <t>23.000</t>
  </si>
  <si>
    <t>PRAWN TEMPURA</t>
  </si>
  <si>
    <t>33.000</t>
  </si>
  <si>
    <t>SALMON TARTAR</t>
  </si>
  <si>
    <t>16.000</t>
  </si>
  <si>
    <t>25.000</t>
  </si>
  <si>
    <t>SOM TAM</t>
  </si>
  <si>
    <t>TEA LEAF  SALAD</t>
  </si>
  <si>
    <t>TOMATO &amp; MOZARELLA</t>
  </si>
  <si>
    <t>21.000</t>
  </si>
  <si>
    <t>TUNA TARTARE</t>
  </si>
  <si>
    <t>28.000</t>
  </si>
  <si>
    <t>VITELLO TONNATO</t>
  </si>
  <si>
    <t>30.000</t>
  </si>
  <si>
    <t>CHEF SPECIALTY APPETIZER</t>
  </si>
  <si>
    <t>FISH CRACKER</t>
  </si>
  <si>
    <t>FISH FINGER</t>
  </si>
  <si>
    <t>FRENCH FRIES</t>
  </si>
  <si>
    <t>5.000</t>
  </si>
  <si>
    <t>4.000</t>
  </si>
  <si>
    <t>FRESH SHRIMP SPRING ROLLS</t>
  </si>
  <si>
    <t>....</t>
  </si>
  <si>
    <t>FRIED EGG</t>
  </si>
  <si>
    <t>MIXED DIM SUM</t>
  </si>
  <si>
    <t>PRAWN CAKE</t>
  </si>
  <si>
    <t>VEGE SPRING ROLL</t>
  </si>
  <si>
    <t>VEGETABLE TEMPURA</t>
  </si>
  <si>
    <t>24.000</t>
  </si>
  <si>
    <t xml:space="preserve">        breakfast</t>
  </si>
  <si>
    <t>BUFFET B/F (IN HOUSE)</t>
  </si>
  <si>
    <t>19-APR-2019</t>
  </si>
  <si>
    <t>EXTRA B'FAST FOR CHILD</t>
  </si>
  <si>
    <t>29.000</t>
  </si>
  <si>
    <t>INTERNATIONAL BUFFET B/F</t>
  </si>
  <si>
    <t xml:space="preserve">        C.Helthy/Vegetable/Bean</t>
  </si>
  <si>
    <t xml:space="preserve">EGGPLANT LASAGNA	</t>
  </si>
  <si>
    <t>FETTUCCINE ZUCCHINI</t>
  </si>
  <si>
    <t>17.000</t>
  </si>
  <si>
    <t>FRIED WATERCRASS</t>
  </si>
  <si>
    <t>MUJADARRAH</t>
  </si>
  <si>
    <t xml:space="preserve">MUSHROOM RISOTTO	</t>
  </si>
  <si>
    <t>PEANUT NOODLES</t>
  </si>
  <si>
    <t>RATATOUILLE PROVENCALE</t>
  </si>
  <si>
    <t>SAUTÉED MIX VEGETABLES</t>
  </si>
  <si>
    <t xml:space="preserve">SMOKY VEGGIE CHILI 	</t>
  </si>
  <si>
    <t>SPINACH ENCHILADAS</t>
  </si>
  <si>
    <t>TOFU PARMIGIANA</t>
  </si>
  <si>
    <t>VEGETABLE BIRYANI</t>
  </si>
  <si>
    <t>VEGGIE SHEPHERD’S PIE</t>
  </si>
  <si>
    <t xml:space="preserve">        Chef special</t>
  </si>
  <si>
    <t>ITALIAN SET MENU 2</t>
  </si>
  <si>
    <t>29-MAY-2018</t>
  </si>
  <si>
    <t>MINN</t>
  </si>
  <si>
    <t>MYANMAR SET MENU 1</t>
  </si>
  <si>
    <t xml:space="preserve">        Coffee</t>
  </si>
  <si>
    <t>AMERICANO</t>
  </si>
  <si>
    <t>CUP</t>
  </si>
  <si>
    <t xml:space="preserve">BREWED POT  OF COFFEE	</t>
  </si>
  <si>
    <t>POT</t>
  </si>
  <si>
    <t>CAPPUCCINO</t>
  </si>
  <si>
    <t>COFFEE LATTE</t>
  </si>
  <si>
    <t>DECAFFEINATED</t>
  </si>
  <si>
    <t>ESPRESSO</t>
  </si>
  <si>
    <t>ESPRESSO, DOUBLE</t>
  </si>
  <si>
    <t>HOT CHOCOLATE</t>
  </si>
  <si>
    <t>29-JUL-2019</t>
  </si>
  <si>
    <t>HOT MILK</t>
  </si>
  <si>
    <t>ICED COFFEE</t>
  </si>
  <si>
    <t>IRISH COFFEE</t>
  </si>
  <si>
    <t xml:space="preserve">MACCHIATO	</t>
  </si>
  <si>
    <t>MOCHA</t>
  </si>
  <si>
    <t>VIENNA</t>
  </si>
  <si>
    <t xml:space="preserve">        Dessert</t>
  </si>
  <si>
    <t>ANNIVERSARY CAKE</t>
  </si>
  <si>
    <t>18.000</t>
  </si>
  <si>
    <t>15-JUN-2019</t>
  </si>
  <si>
    <t>APPLE PIE</t>
  </si>
  <si>
    <t>BANANA FLAMBÉ</t>
  </si>
  <si>
    <t>BIRTHDAY CAKE</t>
  </si>
  <si>
    <t>CAPPUCCINO CHEESE CAKE</t>
  </si>
  <si>
    <t>19-MAR-2019</t>
  </si>
  <si>
    <t>CHOCOLATE CAKE</t>
  </si>
  <si>
    <t>CHOCOLATE ICE CREAM</t>
  </si>
  <si>
    <t>2.000</t>
  </si>
  <si>
    <t>03-MAY-2019</t>
  </si>
  <si>
    <t>COCONUT &amp; MANGO MOUSSE CAKE</t>
  </si>
  <si>
    <t>36.000</t>
  </si>
  <si>
    <t>COCONUT ICE CREAM</t>
  </si>
  <si>
    <t>CREAM BRULEE</t>
  </si>
  <si>
    <t>CREPE SUZETTE</t>
  </si>
  <si>
    <t>FRESH FRUIT PLATE</t>
  </si>
  <si>
    <t>FRUIT PLATE FOR  PTV &amp; LOTUS</t>
  </si>
  <si>
    <t>23-JUL-2019</t>
  </si>
  <si>
    <t>FRUIT PLATE NORMAL</t>
  </si>
  <si>
    <t>FRUIT PLATE VIP &amp; ISLAND</t>
  </si>
  <si>
    <t>13.000</t>
  </si>
  <si>
    <t>GREEN TEA ICE CREAM</t>
  </si>
  <si>
    <t>HOME MADE SHERBET 2SCOOP</t>
  </si>
  <si>
    <t>HOMEMADE DEEP F/ICE CREAM 2SCOOP</t>
  </si>
  <si>
    <t>HONEYMOONER CAKE</t>
  </si>
  <si>
    <t>ICE CREAM(3 SCOOPS)</t>
  </si>
  <si>
    <t>INTERNATIONAL CHEESE PLATE</t>
  </si>
  <si>
    <t>LIME SHERBET ( 1SCOOP )</t>
  </si>
  <si>
    <t>MANGO SHERBET ( 1SCOOP )</t>
  </si>
  <si>
    <t>MOCHA ICE CREAM</t>
  </si>
  <si>
    <t>PANNA COTTA</t>
  </si>
  <si>
    <t>STRAWBERRY ICE CREAM</t>
  </si>
  <si>
    <t>STRAWBERRY SHERBET ( 1SCOOP )</t>
  </si>
  <si>
    <t xml:space="preserve">TIRAMISU	</t>
  </si>
  <si>
    <t>VANILLA ICE CREAM</t>
  </si>
  <si>
    <t xml:space="preserve">        Dessert and sweet savories</t>
  </si>
  <si>
    <t>YOGRUT</t>
  </si>
  <si>
    <t>15-JUL-2019</t>
  </si>
  <si>
    <t xml:space="preserve">        Fish  Seafood</t>
  </si>
  <si>
    <t>FRIED WHOLE FISH</t>
  </si>
  <si>
    <t xml:space="preserve">GRILLED SEA BASS 	</t>
  </si>
  <si>
    <t>PLA YANG MAGGAM PIAK</t>
  </si>
  <si>
    <t>PRAWN SZECHUAN STYLE</t>
  </si>
  <si>
    <t xml:space="preserve">RED PRAWNS CURRY 	</t>
  </si>
  <si>
    <t>THAI F/RICE PRAWNS</t>
  </si>
  <si>
    <t xml:space="preserve">        Helthy/Vegetable/Bean</t>
  </si>
  <si>
    <t>CHICKEN CORN SOUP</t>
  </si>
  <si>
    <t>FRIED CHINESE KALIAN</t>
  </si>
  <si>
    <t>GREEN VEGETABLE CURRY</t>
  </si>
  <si>
    <t>16-JAN-2019</t>
  </si>
  <si>
    <t>PRAWN WONTON SOUP</t>
  </si>
  <si>
    <t>SEAFOOD FRIED RICE</t>
  </si>
  <si>
    <t>STEAMED BUTTER FISH FILLET</t>
  </si>
  <si>
    <t>STEAMED PORK LEG</t>
  </si>
  <si>
    <t>STEAMED PORK SPARED RIBS</t>
  </si>
  <si>
    <t xml:space="preserve">        Main Cuisine Revealed</t>
  </si>
  <si>
    <t>BEEF STEAK TAKA LONIC</t>
  </si>
  <si>
    <t>BUTTERFISH À LA MEUNIÈRE WITH KING PRAWN</t>
  </si>
  <si>
    <t>CHICKEN FRICASSEE</t>
  </si>
  <si>
    <t>CRISPY FRIED PORK</t>
  </si>
  <si>
    <t>FRIED RIVER PRAWNS</t>
  </si>
  <si>
    <t>GRILLED LAMB CHOP</t>
  </si>
  <si>
    <t>37.000</t>
  </si>
  <si>
    <t>GRILLED PORK CHOPS</t>
  </si>
  <si>
    <t>GRILLED TENDERLOIN MEDALLION</t>
  </si>
  <si>
    <t>39.000</t>
  </si>
  <si>
    <t>GUNNG OP WOON SEAN</t>
  </si>
  <si>
    <t>22.000</t>
  </si>
  <si>
    <t>HOT POT</t>
  </si>
  <si>
    <t>34.000</t>
  </si>
  <si>
    <t>13-AUG-2019</t>
  </si>
  <si>
    <t>INTER KING PRAWNS</t>
  </si>
  <si>
    <t>27.000</t>
  </si>
  <si>
    <t>LAAB GAI</t>
  </si>
  <si>
    <t>MEE GORENG ( MALAYSIA )</t>
  </si>
  <si>
    <t>NASI GORENG ( INDONESIAN )</t>
  </si>
  <si>
    <t>ROASTED CHICKEN</t>
  </si>
  <si>
    <t>SALMON À LA PLANCHA</t>
  </si>
  <si>
    <t>STEAMED SEA BASS FILLET ( THAI )</t>
  </si>
  <si>
    <t>THAI KING PRAWN</t>
  </si>
  <si>
    <t>THAI RED CHICKEN CURRY</t>
  </si>
  <si>
    <t>WIENER SCHNITZEL</t>
  </si>
  <si>
    <t xml:space="preserve">        Myanmar curries</t>
  </si>
  <si>
    <t>BAGAN PORK CURRY</t>
  </si>
  <si>
    <t>07-AUG-2019</t>
  </si>
  <si>
    <t>KYAT KAR LAR THAR</t>
  </si>
  <si>
    <t>26-MAR-2019</t>
  </si>
  <si>
    <t>MYAN CHICKEN CURRY</t>
  </si>
  <si>
    <t>MYAN FISH CURRY</t>
  </si>
  <si>
    <t>MYAN PRAWNS  CURRY</t>
  </si>
  <si>
    <t>MYANMAR BEEF CURRY</t>
  </si>
  <si>
    <t>STEAMED RICE</t>
  </si>
  <si>
    <t xml:space="preserve">        pasta</t>
  </si>
  <si>
    <t>FETTUCCINI SALMON</t>
  </si>
  <si>
    <t>PENNE ARRABBIATA</t>
  </si>
  <si>
    <t xml:space="preserve">RIVER PRAWN RAVIOLI	</t>
  </si>
  <si>
    <t>SPAGHETTI  PESTO</t>
  </si>
  <si>
    <t>SPAGHETTI BOLOGNESE</t>
  </si>
  <si>
    <t>SPAGHETTI CARBONARA</t>
  </si>
  <si>
    <t>SPAGHETTI NAPOLITANA</t>
  </si>
  <si>
    <t>TAGLIATELLE CHICKEN BREAST</t>
  </si>
  <si>
    <t xml:space="preserve">        pizza</t>
  </si>
  <si>
    <t>CHEF’S SPECIAL PIZZA</t>
  </si>
  <si>
    <t>Pizza</t>
  </si>
  <si>
    <t>PIZZA CALZONE</t>
  </si>
  <si>
    <t>PIZZA FOUR SEASONS</t>
  </si>
  <si>
    <t xml:space="preserve">PIZZA HAWAIIAN	</t>
  </si>
  <si>
    <t>PIZZA MARGARITA</t>
  </si>
  <si>
    <t xml:space="preserve">PIZZA VULCANO	</t>
  </si>
  <si>
    <t>THAI STYLE (MINCED PORK WITH  HOT BASIL)</t>
  </si>
  <si>
    <t>TUNA PIZZA</t>
  </si>
  <si>
    <t>VEGETABLE PIZZA</t>
  </si>
  <si>
    <t xml:space="preserve">        Poork  Beef</t>
  </si>
  <si>
    <t>CARAMEL APPLE PORK CHOPS</t>
  </si>
  <si>
    <t>CARNES DE RIOJA</t>
  </si>
  <si>
    <t>SAUTÉED SHREDDED BEEF</t>
  </si>
  <si>
    <t xml:space="preserve">        Poultry</t>
  </si>
  <si>
    <t>F/CHICKEN WINGS</t>
  </si>
  <si>
    <t>GREEN CHICKEN CURRY</t>
  </si>
  <si>
    <t>GRILLED CHICKEN</t>
  </si>
  <si>
    <t>SAUTEE'D MINCED CHICKEN</t>
  </si>
  <si>
    <t xml:space="preserve">WOK FRIED CHICKEN	</t>
  </si>
  <si>
    <t xml:space="preserve">        Rice  Noodle</t>
  </si>
  <si>
    <t xml:space="preserve">F EGG NOODLE W CHICKEN	</t>
  </si>
  <si>
    <t>F EGG NOODLE W PORK</t>
  </si>
  <si>
    <t>FRIED RICE WITH CHICKEN</t>
  </si>
  <si>
    <t>FRIED RICE WITH PORK</t>
  </si>
  <si>
    <t>FRIED VERMICELLI WITH CHICKEN</t>
  </si>
  <si>
    <t>FRIED VERMICELLI WITH PORK</t>
  </si>
  <si>
    <t>FRIED VERMICELLI WITH SEAFOOD</t>
  </si>
  <si>
    <t>PHAD THAI</t>
  </si>
  <si>
    <t>STEAMED RICE WITH CHICKEN</t>
  </si>
  <si>
    <t>STEAMED RICE WITH PORK</t>
  </si>
  <si>
    <t xml:space="preserve">        Salada</t>
  </si>
  <si>
    <t>BAGAN SALAD</t>
  </si>
  <si>
    <t>PENNY WORT LEAVE SALAD</t>
  </si>
  <si>
    <t>SALAD BAR MENU</t>
  </si>
  <si>
    <t>25-JAN-2019</t>
  </si>
  <si>
    <t>SEAWEED SALAD</t>
  </si>
  <si>
    <t xml:space="preserve">        Sandwich</t>
  </si>
  <si>
    <t>CLUB SANDWICH</t>
  </si>
  <si>
    <t>CLUBHOUSE</t>
  </si>
  <si>
    <t>GRILLED HAM &amp; CHEESE SANDWICH</t>
  </si>
  <si>
    <t>HOT DOG</t>
  </si>
  <si>
    <t>PHILLY CHEESE STEAK</t>
  </si>
  <si>
    <t>THE CUBAN</t>
  </si>
  <si>
    <t>TUNA SANDWICH</t>
  </si>
  <si>
    <t xml:space="preserve">        Sandwich Snack</t>
  </si>
  <si>
    <t>CHICKEN NUGGETS</t>
  </si>
  <si>
    <t>CHICKEN SATAY</t>
  </si>
  <si>
    <t>CLASSIC NIÇOISESALAD</t>
  </si>
  <si>
    <t>FISH 'N' CHIPS</t>
  </si>
  <si>
    <t>FISH TACOS</t>
  </si>
  <si>
    <t>GREEK SALAD</t>
  </si>
  <si>
    <t>HAMBURGER IS BACK</t>
  </si>
  <si>
    <t>SMOKED SALMON PANINI</t>
  </si>
  <si>
    <t>TOSSED SALAD</t>
  </si>
  <si>
    <t>TUNA FOCACCIASANDWICH</t>
  </si>
  <si>
    <t xml:space="preserve">        Selection Of Tea</t>
  </si>
  <si>
    <t>BLACK TEA</t>
  </si>
  <si>
    <t>FRESH MINT TEA</t>
  </si>
  <si>
    <t>GINGER TEA</t>
  </si>
  <si>
    <t>ICE TEA</t>
  </si>
  <si>
    <t>JASMINE TEA</t>
  </si>
  <si>
    <t xml:space="preserve">        Soup</t>
  </si>
  <si>
    <t xml:space="preserve">CHICKEN CONSOMMÉ	</t>
  </si>
  <si>
    <t>CLEAR GOURD SOUP</t>
  </si>
  <si>
    <t>NOODLE SOUP WITH CHICKEN</t>
  </si>
  <si>
    <t>NOODLE SOUP WITH PORK</t>
  </si>
  <si>
    <t>NOODLE SOUP WITH VEGETABLE</t>
  </si>
  <si>
    <t>POTATO	SOUP</t>
  </si>
  <si>
    <t>PUMPKIN SOUP</t>
  </si>
  <si>
    <t>SEAFOOD BISQUE</t>
  </si>
  <si>
    <t>TOM KHA GAI</t>
  </si>
  <si>
    <t>TOM YUM GOONG</t>
  </si>
  <si>
    <t>TOMATO SOUP</t>
  </si>
  <si>
    <t>VEGETABLE CLEAR SOUP</t>
  </si>
  <si>
    <t>WONTON NOODLE SOUP</t>
  </si>
  <si>
    <t xml:space="preserve">YELLOW LENTILS SOUP	</t>
  </si>
  <si>
    <t xml:space="preserve">        Hot Beverages</t>
  </si>
  <si>
    <t>BLACK COFFEE</t>
  </si>
  <si>
    <t>CHAMOMILE</t>
  </si>
  <si>
    <t>EARL GREY</t>
  </si>
  <si>
    <t>ENGLISH BREAKFAST</t>
  </si>
  <si>
    <t>FRUITY BLACK</t>
  </si>
  <si>
    <t>GREEN TEA</t>
  </si>
  <si>
    <t>JAPANESE SENCHA</t>
  </si>
  <si>
    <t>LEMON HERBAL TEA</t>
  </si>
  <si>
    <t>PEPPERMINT</t>
  </si>
  <si>
    <t>POMEGRANATE</t>
  </si>
  <si>
    <t xml:space="preserve">        Set Menu</t>
  </si>
  <si>
    <t>ASIAN SET</t>
  </si>
  <si>
    <t>27-MAR-2019</t>
  </si>
  <si>
    <t>ASIAN SET MENU 1</t>
  </si>
  <si>
    <t>ASIAN SET MENU 2</t>
  </si>
  <si>
    <t>ASIAN SET MENU 3</t>
  </si>
  <si>
    <t>40.000</t>
  </si>
  <si>
    <t>ASIAN SET MENU 4</t>
  </si>
  <si>
    <t>CHINESE NEW YEAR 1</t>
  </si>
  <si>
    <t>SET</t>
  </si>
  <si>
    <t>CHINESE NEW YEAR 2</t>
  </si>
  <si>
    <t>CHINESE SET MENU 1</t>
  </si>
  <si>
    <t>CHINESE SET MENU 2</t>
  </si>
  <si>
    <t>CHINESE SET MENU 3</t>
  </si>
  <si>
    <t>CHINESE SET MENU 4</t>
  </si>
  <si>
    <t>EUROPEAN (B)</t>
  </si>
  <si>
    <t>EUROPEAN SET</t>
  </si>
  <si>
    <t>EUROPEAN SET (A)</t>
  </si>
  <si>
    <t>FATHERS DAY SET MENU</t>
  </si>
  <si>
    <t>17-MAY-2019</t>
  </si>
  <si>
    <t>FULL BOARD</t>
  </si>
  <si>
    <t>55.000</t>
  </si>
  <si>
    <t>21-JAN-2019</t>
  </si>
  <si>
    <t>INTERNATIONAL SET MENU 1</t>
  </si>
  <si>
    <t>INTERNATIONAL SET MENU 2</t>
  </si>
  <si>
    <t>INTERNATIONAL SET MENU 3</t>
  </si>
  <si>
    <t>INTERNATIONAL SET MENU 4</t>
  </si>
  <si>
    <t>50.000</t>
  </si>
  <si>
    <t>INTERNATIONAL SET MENU 5</t>
  </si>
  <si>
    <t>ITALIAN SET</t>
  </si>
  <si>
    <t>ITALIAN SET MENU 1</t>
  </si>
  <si>
    <t>ITALIAN SET MENU 3</t>
  </si>
  <si>
    <t>ITALIAN SET MENU 4</t>
  </si>
  <si>
    <t>ITALIAN SET MENU 5</t>
  </si>
  <si>
    <t>ITALIAN SET MENU 6</t>
  </si>
  <si>
    <t>ITALIAN SET MENU 7</t>
  </si>
  <si>
    <t>MOTHER DAY SET MENU</t>
  </si>
  <si>
    <t>MYANMAR SET</t>
  </si>
  <si>
    <t>MYANMAR SET MENU 2</t>
  </si>
  <si>
    <t>MYANMAR SET MENU 3</t>
  </si>
  <si>
    <t>MYANMAR SET MENU 4</t>
  </si>
  <si>
    <t>SET MENU (OFFICE)</t>
  </si>
  <si>
    <t>THAI SET</t>
  </si>
  <si>
    <t>30-JUL-2019</t>
  </si>
  <si>
    <t>MYAN SET</t>
  </si>
  <si>
    <t>THAI SET MENU 1</t>
  </si>
  <si>
    <t>THAI SET MENU 2</t>
  </si>
  <si>
    <t>THAI SET MENU 3</t>
  </si>
  <si>
    <t>THAI SET MENU 4</t>
  </si>
  <si>
    <t>VALENTINE'S SET MENU</t>
  </si>
  <si>
    <t>35.000</t>
  </si>
  <si>
    <t>14-FEB-2019</t>
  </si>
  <si>
    <t>WARSO PANN KUE (THAI SET)</t>
  </si>
  <si>
    <t>9.380</t>
  </si>
  <si>
    <t>WARSO PANN KUE(MYANMAR SET)</t>
  </si>
  <si>
    <t>WATERFALL ASIAN SET</t>
  </si>
  <si>
    <t>80.000</t>
  </si>
  <si>
    <t>WATERFALL BGN STYLE DAUNG LANN MENU</t>
  </si>
  <si>
    <t>WATERFALL INTERNAATIONAL SET MENU</t>
  </si>
  <si>
    <t>WATERFALL ITALIAN SET MENU 1</t>
  </si>
  <si>
    <t>WATERFALL THAI SET</t>
  </si>
  <si>
    <t>WINE &amp; DINE (FISH)</t>
  </si>
  <si>
    <t>01-AUG-2019</t>
  </si>
  <si>
    <t>WINE &amp; DINE (PORK)</t>
  </si>
  <si>
    <t xml:space="preserve">        Buffet Menu</t>
  </si>
  <si>
    <t>ASIAN BUFFET  ( 3 )</t>
  </si>
  <si>
    <t>05-JUN-2018</t>
  </si>
  <si>
    <t>s</t>
  </si>
  <si>
    <t>ASIAN BUFFET ( 1 )</t>
  </si>
  <si>
    <t>45.000</t>
  </si>
  <si>
    <t>ASIAN BUFFET ( 2 )</t>
  </si>
  <si>
    <t>CHRISTMAS EVE DINNER</t>
  </si>
  <si>
    <t>75.000</t>
  </si>
  <si>
    <t>31-DEC-2018</t>
  </si>
  <si>
    <t>FNB3</t>
  </si>
  <si>
    <t>EUROPEAN BUFFET (1)</t>
  </si>
  <si>
    <t>EUROPEAN BUFFET (2)</t>
  </si>
  <si>
    <t>INTERNATIONAL BUFFET  (2 )</t>
  </si>
  <si>
    <t>INTERNATIONAL BUFFET (1)</t>
  </si>
  <si>
    <t>NEW YEAR DINNER</t>
  </si>
  <si>
    <t>85.000</t>
  </si>
  <si>
    <t>New year dinner(O/S)</t>
  </si>
  <si>
    <t>95.000</t>
  </si>
  <si>
    <t>THAI BUFFET</t>
  </si>
  <si>
    <t>CHICKEN SHAWARMA</t>
  </si>
  <si>
    <t>Passive</t>
  </si>
  <si>
    <t>Actual Sales Price</t>
  </si>
  <si>
    <t>Net Sales Pirce</t>
  </si>
  <si>
    <t>Net Sales Price</t>
  </si>
  <si>
    <t xml:space="preserve">TYPE     : </t>
  </si>
  <si>
    <t>White Place Dining</t>
  </si>
  <si>
    <t>Toast Bread</t>
  </si>
  <si>
    <t>Bot</t>
  </si>
  <si>
    <t>Soup</t>
  </si>
  <si>
    <t>Spicy Chicken Pizza</t>
  </si>
  <si>
    <t>Fried Vermicelli with Chicken</t>
  </si>
  <si>
    <t>Pkt</t>
  </si>
  <si>
    <t xml:space="preserve">CP Chicken </t>
  </si>
  <si>
    <t>Portion Price/20</t>
  </si>
  <si>
    <t>Prepared By</t>
  </si>
  <si>
    <t>Checked By</t>
  </si>
  <si>
    <t>Approved By</t>
  </si>
  <si>
    <t>11600066-1</t>
  </si>
  <si>
    <t>10200057-1</t>
  </si>
  <si>
    <t>Viss</t>
  </si>
  <si>
    <t>11900001-1</t>
  </si>
  <si>
    <t>10400128-1</t>
  </si>
  <si>
    <t>Carrot 1 VIS</t>
  </si>
  <si>
    <t>10400032-1</t>
  </si>
  <si>
    <t>10400138-1</t>
  </si>
  <si>
    <t>10400073-1</t>
  </si>
  <si>
    <t>10400241-1</t>
  </si>
  <si>
    <t>Pickled Tea Leaf 1.62 KG</t>
  </si>
  <si>
    <t>10300176-1</t>
  </si>
  <si>
    <t>Fried Beam ( HnaPyanKyaw) 1.62 KG</t>
  </si>
  <si>
    <t>10300035-1</t>
  </si>
  <si>
    <t>Dry Shrimp 1.62 KG</t>
  </si>
  <si>
    <t>10400173-1</t>
  </si>
  <si>
    <t>Orange(1 NOS)</t>
  </si>
  <si>
    <t>Watermelon(1 NOS)</t>
  </si>
  <si>
    <t>Prawn (30 gm Size)(1.62 KG)</t>
  </si>
  <si>
    <t>Paw San Hmwe Rice (Bag)(24 PYI)</t>
  </si>
  <si>
    <t>Capsicum Green(1 VIS)</t>
  </si>
  <si>
    <t>Potato (Big)(1 VIS)</t>
  </si>
  <si>
    <t>Ginger(1 VIS)</t>
  </si>
  <si>
    <t>Long Bean(1 BAG)</t>
  </si>
  <si>
    <t>Garlic(1 VIS)</t>
  </si>
  <si>
    <t>Oyster Sauce(1 BOT)</t>
  </si>
  <si>
    <t>Rice Vermicelli(1 PKT)</t>
  </si>
  <si>
    <t>Celery(1 BAG)</t>
  </si>
  <si>
    <t>10400133-1</t>
  </si>
  <si>
    <t>Bacon 1Kg(1000 GM)</t>
  </si>
  <si>
    <t>10600077-1</t>
  </si>
  <si>
    <t>SALES Price</t>
  </si>
  <si>
    <t>10400055-1</t>
  </si>
  <si>
    <t>Onion 1 VIS</t>
  </si>
  <si>
    <t>10400025-1</t>
  </si>
  <si>
    <t>Pork Chop (Kg)(1 KG)</t>
  </si>
  <si>
    <t>Tom Yam Paste(1 NOS)</t>
  </si>
  <si>
    <t>11600002-1</t>
  </si>
  <si>
    <t>10200044-1</t>
  </si>
  <si>
    <t>11500023-1</t>
  </si>
  <si>
    <t xml:space="preserve">Viss </t>
  </si>
  <si>
    <t>SALES PRICE</t>
  </si>
  <si>
    <t>10300068-1</t>
  </si>
  <si>
    <t>10200011-1</t>
  </si>
  <si>
    <t>10400048-1</t>
  </si>
  <si>
    <t>11500016-1</t>
  </si>
  <si>
    <t>10400152-1</t>
  </si>
  <si>
    <t>10400277-1</t>
  </si>
  <si>
    <t>10400065-1</t>
  </si>
  <si>
    <t>10400127-1</t>
  </si>
  <si>
    <t>10600044-1</t>
  </si>
  <si>
    <t>10300187-1</t>
  </si>
  <si>
    <t>Fresh Mushroom 1.62 KG</t>
  </si>
  <si>
    <t>11900006-1</t>
  </si>
  <si>
    <t>11500077-1</t>
  </si>
  <si>
    <t>10400007-1</t>
  </si>
  <si>
    <t>10400046-1</t>
  </si>
  <si>
    <t>10300014-1</t>
  </si>
  <si>
    <t>10300045-1</t>
  </si>
  <si>
    <t>Cherry Tomato(1 BOT) 15nos</t>
  </si>
  <si>
    <t>Butter Unsalted Anchor(1 PKT) 5Kg</t>
  </si>
  <si>
    <t>10200070-1</t>
  </si>
  <si>
    <t>10200013-1</t>
  </si>
  <si>
    <t>10200064-1</t>
  </si>
  <si>
    <t>10100007-1</t>
  </si>
  <si>
    <t>Dark Chocolate 1Kg 1 KG</t>
  </si>
  <si>
    <t>10200006-1</t>
  </si>
  <si>
    <t>10200082-1</t>
  </si>
  <si>
    <t>10200091-1</t>
  </si>
  <si>
    <t>Mozzarella Cheese Stick 1 KG</t>
  </si>
  <si>
    <t>10300032-1</t>
  </si>
  <si>
    <t>10300039-1</t>
  </si>
  <si>
    <t>10300058-1</t>
  </si>
  <si>
    <t>10300083-1</t>
  </si>
  <si>
    <t>10300102-1</t>
  </si>
  <si>
    <t>10300132-1</t>
  </si>
  <si>
    <t>10300161-1</t>
  </si>
  <si>
    <t>10300183-1</t>
  </si>
  <si>
    <t>10300195-1</t>
  </si>
  <si>
    <t>10400101-1</t>
  </si>
  <si>
    <t>10400109-1</t>
  </si>
  <si>
    <t>10400116-1</t>
  </si>
  <si>
    <t>10400117-1</t>
  </si>
  <si>
    <t>10400121-1</t>
  </si>
  <si>
    <t>Basil Leaf 1 KG</t>
  </si>
  <si>
    <t>10400129-1</t>
  </si>
  <si>
    <t>10400131-1</t>
  </si>
  <si>
    <t>10400144-1</t>
  </si>
  <si>
    <t>Bok Choy 1 KG</t>
  </si>
  <si>
    <t>10400149-1</t>
  </si>
  <si>
    <t>10400183-1</t>
  </si>
  <si>
    <t>10400185-1</t>
  </si>
  <si>
    <t>10400195-1</t>
  </si>
  <si>
    <t>10400222-1</t>
  </si>
  <si>
    <t>10500001-2</t>
  </si>
  <si>
    <t>10500007-2</t>
  </si>
  <si>
    <t>10500009-2</t>
  </si>
  <si>
    <t>10600026-1</t>
  </si>
  <si>
    <t>10600035-1</t>
  </si>
  <si>
    <t>10600046-1</t>
  </si>
  <si>
    <t>10600062-1</t>
  </si>
  <si>
    <t>10600066-1</t>
  </si>
  <si>
    <t>10600108-1</t>
  </si>
  <si>
    <t>Demiglace Brown Sauce 1 KG</t>
  </si>
  <si>
    <t>10700001-1</t>
  </si>
  <si>
    <t>10900015-1</t>
  </si>
  <si>
    <t>Vanilla Flavour 1 LIT</t>
  </si>
  <si>
    <t>11000016-1</t>
  </si>
  <si>
    <t>Gelatine Leaf Gold Gelita 1Kg 1 PKT</t>
  </si>
  <si>
    <t>11000051-1</t>
  </si>
  <si>
    <t>11300003-1</t>
  </si>
  <si>
    <t>11300030-1</t>
  </si>
  <si>
    <t>11500095-1</t>
  </si>
  <si>
    <t>11600038-1</t>
  </si>
  <si>
    <t>Beef Tenderloin (Loc) 1 VIS</t>
  </si>
  <si>
    <t>11600068-1</t>
  </si>
  <si>
    <t>11600083-1</t>
  </si>
  <si>
    <t>10400013-1</t>
  </si>
  <si>
    <t>10400019-1</t>
  </si>
  <si>
    <t>10400033-1</t>
  </si>
  <si>
    <t>10400038-1</t>
  </si>
  <si>
    <t>10400050-1</t>
  </si>
  <si>
    <t>10400076-1</t>
  </si>
  <si>
    <t>10400079-1</t>
  </si>
  <si>
    <t>11600006-1</t>
  </si>
  <si>
    <t>Corn Seed (Pkt)(1 PKT)</t>
  </si>
  <si>
    <t>Date</t>
  </si>
  <si>
    <t>viss</t>
  </si>
  <si>
    <t>SALES price</t>
  </si>
  <si>
    <t>Bag</t>
  </si>
  <si>
    <t>bot</t>
  </si>
  <si>
    <t>Can</t>
  </si>
  <si>
    <t>Cucumber</t>
  </si>
  <si>
    <t>Pineapple</t>
  </si>
  <si>
    <t>Chicken Egg</t>
  </si>
  <si>
    <t>Dessert Menu</t>
  </si>
  <si>
    <t>Item Code</t>
  </si>
  <si>
    <t>Pizza, Burger, Sandwich</t>
  </si>
  <si>
    <t>Dessert</t>
  </si>
  <si>
    <t>10300027-1</t>
  </si>
  <si>
    <t>Chicken Powder</t>
  </si>
  <si>
    <t>Salt</t>
  </si>
  <si>
    <t>Potato Starch</t>
  </si>
  <si>
    <t>Sugar</t>
  </si>
  <si>
    <t>Loss</t>
  </si>
  <si>
    <t>Net Qty</t>
  </si>
  <si>
    <t>Cabbage</t>
  </si>
  <si>
    <t xml:space="preserve">Coriander </t>
  </si>
  <si>
    <t>Black Pepper</t>
  </si>
  <si>
    <t>Flour</t>
  </si>
  <si>
    <t>chicken Powder</t>
  </si>
  <si>
    <t>Spring Onion</t>
  </si>
  <si>
    <t xml:space="preserve">Lime </t>
  </si>
  <si>
    <t>Coriander</t>
  </si>
  <si>
    <t>Evaporated Milk</t>
  </si>
  <si>
    <t>Salmon Fish Fillet Skin 1 .3KG</t>
  </si>
  <si>
    <t>Tomato</t>
  </si>
  <si>
    <t>Peel Tomato Sauce</t>
  </si>
  <si>
    <t>Pepper</t>
  </si>
  <si>
    <t>French Fries</t>
  </si>
  <si>
    <t>Olive Oil</t>
  </si>
  <si>
    <t>Serving</t>
  </si>
  <si>
    <t>Yeast</t>
  </si>
  <si>
    <t>Sesame Seeds</t>
  </si>
  <si>
    <t>Water</t>
  </si>
  <si>
    <t>Burger Pattie (1 .p= 120 )g</t>
  </si>
  <si>
    <t>Burger Topping</t>
  </si>
  <si>
    <t>Gherkin</t>
  </si>
  <si>
    <t>Green Lettuce</t>
  </si>
  <si>
    <t xml:space="preserve">Serving </t>
  </si>
  <si>
    <t>Tomato Ketchup</t>
  </si>
  <si>
    <t>Pork Loin</t>
  </si>
  <si>
    <t>Club Sandwich Topping</t>
  </si>
  <si>
    <t>Chicken Breast</t>
  </si>
  <si>
    <t>Coleslaw Salad</t>
  </si>
  <si>
    <t>Chili Powder</t>
  </si>
  <si>
    <t>Thyme</t>
  </si>
  <si>
    <t>Dark Soya Sauce</t>
  </si>
  <si>
    <t>Light Soya Sauce</t>
  </si>
  <si>
    <t>Tumeric Powder</t>
  </si>
  <si>
    <t>Cumin Powder</t>
  </si>
  <si>
    <t>Shon Toe Toe</t>
  </si>
  <si>
    <t xml:space="preserve">Spaghetti </t>
  </si>
  <si>
    <t>Green Chili</t>
  </si>
  <si>
    <t>French Bean</t>
  </si>
  <si>
    <t>-</t>
  </si>
  <si>
    <t xml:space="preserve">Vegetable Oil </t>
  </si>
  <si>
    <t>Oregano</t>
  </si>
  <si>
    <t>Dinner Roll</t>
  </si>
  <si>
    <t>Apple</t>
  </si>
  <si>
    <t>Asparagus Green (Local)</t>
  </si>
  <si>
    <t>Bread Crumb</t>
  </si>
  <si>
    <t>Fish Sauce Thai</t>
  </si>
  <si>
    <t>Lemongrass</t>
  </si>
  <si>
    <t>Snow Pea</t>
  </si>
  <si>
    <t>Whipping Cream</t>
  </si>
  <si>
    <t xml:space="preserve">NAME  : </t>
  </si>
  <si>
    <t>Mayonnaise</t>
  </si>
  <si>
    <t>Potato</t>
  </si>
  <si>
    <t>Egg</t>
  </si>
  <si>
    <t>Milk</t>
  </si>
  <si>
    <t xml:space="preserve">Chicken </t>
  </si>
  <si>
    <t>Lettuce</t>
  </si>
  <si>
    <t>Vegetable Oil</t>
  </si>
  <si>
    <t>Onion</t>
  </si>
  <si>
    <t>Garlic</t>
  </si>
  <si>
    <t>Carrot</t>
  </si>
  <si>
    <t>Noodle</t>
  </si>
  <si>
    <t>Butter Unsalted Anchor(1 PKT) 5KG</t>
  </si>
  <si>
    <t>Tax 3%</t>
  </si>
  <si>
    <t>Butter Unsalted Anchor(1 PKT) 1Kg</t>
  </si>
  <si>
    <t>Slice Cheese</t>
  </si>
  <si>
    <t xml:space="preserve">Pork Lion </t>
  </si>
  <si>
    <t>Quail Egg</t>
  </si>
  <si>
    <t>Ear Mushroom</t>
  </si>
  <si>
    <t>Beef</t>
  </si>
  <si>
    <t>Fish Cracker</t>
  </si>
  <si>
    <t>Cauliflower</t>
  </si>
  <si>
    <t xml:space="preserve">Vegetable Oil Peanut </t>
  </si>
  <si>
    <t>Chili Sauce</t>
  </si>
  <si>
    <t>Assorted Bread</t>
  </si>
  <si>
    <t>Chinese Cabbage</t>
  </si>
  <si>
    <t>Baking Powder</t>
  </si>
  <si>
    <t>Ginger</t>
  </si>
  <si>
    <t>Chicken</t>
  </si>
  <si>
    <t>Oyster Sauce</t>
  </si>
  <si>
    <t>Mince Beef loin Local</t>
  </si>
  <si>
    <t>Butter Fish</t>
  </si>
  <si>
    <t>Chicken Basil Thai</t>
  </si>
  <si>
    <t>Chili Green 1 VIS</t>
  </si>
  <si>
    <t>Parmesan Cheese (Kg)(1 KG)</t>
  </si>
  <si>
    <t>Cow head Milk</t>
  </si>
  <si>
    <t>Turmeric Powder</t>
  </si>
  <si>
    <t>Need Recipe Detail</t>
  </si>
  <si>
    <t>Cheddar Cheese</t>
  </si>
  <si>
    <t>Net  Sales Price</t>
  </si>
  <si>
    <t>Rice</t>
  </si>
  <si>
    <t>Por</t>
  </si>
  <si>
    <t>Chilli Sauce</t>
  </si>
  <si>
    <t>Pork Lion</t>
  </si>
  <si>
    <t>Lime</t>
  </si>
  <si>
    <t>tin</t>
  </si>
  <si>
    <t xml:space="preserve">Garlic </t>
  </si>
  <si>
    <t>Milk Powder</t>
  </si>
  <si>
    <t>Peeled Tomato</t>
  </si>
  <si>
    <t xml:space="preserve"> Milk</t>
  </si>
  <si>
    <t>Papaya</t>
  </si>
  <si>
    <t>Dark Soy Sauce</t>
  </si>
  <si>
    <t xml:space="preserve">Shan Pickled </t>
  </si>
  <si>
    <t>Cauliflwer</t>
  </si>
  <si>
    <t>Fish Sauce</t>
  </si>
  <si>
    <t xml:space="preserve">NAME  </t>
  </si>
  <si>
    <t>Tea Leave Salad</t>
  </si>
  <si>
    <t>NAME  :</t>
  </si>
  <si>
    <t>Crispy Fried Chicken</t>
  </si>
  <si>
    <t>Carrot for Garnish</t>
  </si>
  <si>
    <t>Green Payaya</t>
  </si>
  <si>
    <t>Roasted Peanut</t>
  </si>
  <si>
    <t>Dried Shrimp</t>
  </si>
  <si>
    <t>Plum Sugar</t>
  </si>
  <si>
    <t>Thai Fish Sauce</t>
  </si>
  <si>
    <t xml:space="preserve">Tamarind </t>
  </si>
  <si>
    <t>Long Bean</t>
  </si>
  <si>
    <t>Cabbages</t>
  </si>
  <si>
    <t>Thai Papaya Salad</t>
  </si>
  <si>
    <t>Dried Mutton</t>
  </si>
  <si>
    <t>Tea Leave</t>
  </si>
  <si>
    <t>Chicken Feet</t>
  </si>
  <si>
    <t>Sesame Seed</t>
  </si>
  <si>
    <t xml:space="preserve">NAME  :  </t>
  </si>
  <si>
    <t>Chicken wings</t>
  </si>
  <si>
    <t>Fried Chicken Wings</t>
  </si>
  <si>
    <t>NAME:</t>
  </si>
  <si>
    <t>Grilled Pork Neck Salad</t>
  </si>
  <si>
    <t>Pork Neck</t>
  </si>
  <si>
    <t>Shan Coriander</t>
  </si>
  <si>
    <t>Pork Ribs</t>
  </si>
  <si>
    <t>Corn Flour</t>
  </si>
  <si>
    <t>Light Soy Sauce</t>
  </si>
  <si>
    <t>Deep Fried Pork Spare Ribs</t>
  </si>
  <si>
    <t>Swun Tan Soup</t>
  </si>
  <si>
    <t>Swun Tan</t>
  </si>
  <si>
    <t xml:space="preserve">Pork Spare Ribs with Mustard Soup </t>
  </si>
  <si>
    <t>Pork Spear Ribs</t>
  </si>
  <si>
    <t>Mustard</t>
  </si>
  <si>
    <t>Eggplant</t>
  </si>
  <si>
    <t>Shrimp Paste ( 1 kg )</t>
  </si>
  <si>
    <t>Kyaat Thouk Sann</t>
  </si>
  <si>
    <t>Tomato Cream Soup</t>
  </si>
  <si>
    <t>Oreintal Rice &amp; Noodle</t>
  </si>
  <si>
    <t>Chili Paste</t>
  </si>
  <si>
    <t>Capsicum</t>
  </si>
  <si>
    <t>Vinegar</t>
  </si>
  <si>
    <t>Hot and Sour Whole Fish</t>
  </si>
  <si>
    <t>Whole Fish</t>
  </si>
  <si>
    <t>Sweet and Sour Whole Fish</t>
  </si>
  <si>
    <t>Steamed Whole Fish</t>
  </si>
  <si>
    <t>Fish Curry</t>
  </si>
  <si>
    <t>Crush Chili</t>
  </si>
  <si>
    <t>Hot and Sour Chicken</t>
  </si>
  <si>
    <t>Sweet and Sour Chicken</t>
  </si>
  <si>
    <t xml:space="preserve">Kung Pao Chicken </t>
  </si>
  <si>
    <t>Chicken Curry</t>
  </si>
  <si>
    <t>Porkloin</t>
  </si>
  <si>
    <t>Pork Belly</t>
  </si>
  <si>
    <t>Sour Bamboo Shot</t>
  </si>
  <si>
    <t>Pork Curry with Bamboo Shoot</t>
  </si>
  <si>
    <t>Hot and Sour Pork</t>
  </si>
  <si>
    <t>Sweet and Sour Pork</t>
  </si>
  <si>
    <t>Pork Curry</t>
  </si>
  <si>
    <t>Leng Saap Pork Spare Ribs</t>
  </si>
  <si>
    <t>Pork Spare Ribs</t>
  </si>
  <si>
    <t>Deep Fried Beef</t>
  </si>
  <si>
    <t>Indian Delight</t>
  </si>
  <si>
    <t>Coriander Leave</t>
  </si>
  <si>
    <t>Dal Tadka</t>
  </si>
  <si>
    <t>Black Chick Pea ပဲစင်းငုံ</t>
  </si>
  <si>
    <t>Butter ( Ghee )</t>
  </si>
  <si>
    <t>Cumin Seed</t>
  </si>
  <si>
    <t>Turmaric Powder</t>
  </si>
  <si>
    <t>Mixed Vegetable Curry</t>
  </si>
  <si>
    <t>Freanch Bean</t>
  </si>
  <si>
    <t>Cashew nut</t>
  </si>
  <si>
    <t>Coriander Powder</t>
  </si>
  <si>
    <t>Fenugreek Leave</t>
  </si>
  <si>
    <t>Butter Chicken</t>
  </si>
  <si>
    <t>Cinnamon Stick</t>
  </si>
  <si>
    <t>Turmaric</t>
  </si>
  <si>
    <t>Tamarind Fish Curry</t>
  </si>
  <si>
    <t>Black Bean Paste</t>
  </si>
  <si>
    <t>Shallot</t>
  </si>
  <si>
    <t>Roasted Chili powder</t>
  </si>
  <si>
    <t>Bagan Style Pork Curry</t>
  </si>
  <si>
    <t>Local Beef</t>
  </si>
  <si>
    <t>Tamarind</t>
  </si>
  <si>
    <t>From the Grilled</t>
  </si>
  <si>
    <t xml:space="preserve">Grilled Fillet of Sea Bass </t>
  </si>
  <si>
    <t>Sea Bass</t>
  </si>
  <si>
    <t>Black Pepper Powder</t>
  </si>
  <si>
    <t>Lit</t>
  </si>
  <si>
    <t>Kale</t>
  </si>
  <si>
    <t>Unsalted Butter</t>
  </si>
  <si>
    <t xml:space="preserve">Chicken Breast Ballotine </t>
  </si>
  <si>
    <t>Mozzarella Cheese</t>
  </si>
  <si>
    <t>whipping cream</t>
  </si>
  <si>
    <t xml:space="preserve">Butter </t>
  </si>
  <si>
    <t>Pan Fried Salmon Fillet</t>
  </si>
  <si>
    <t>Lemon grass</t>
  </si>
  <si>
    <t xml:space="preserve">Grilled Rack of Lamb </t>
  </si>
  <si>
    <t>Kailan</t>
  </si>
  <si>
    <t xml:space="preserve">Red Cooking Wine </t>
  </si>
  <si>
    <t>Brown Sauce</t>
  </si>
  <si>
    <t xml:space="preserve">Australian Beef Tenderloin </t>
  </si>
  <si>
    <t>Import Beef Tenderloin</t>
  </si>
  <si>
    <t>Cooking Red Wine</t>
  </si>
  <si>
    <t>Aureum Singnature Dishes</t>
  </si>
  <si>
    <t>Basil Leave</t>
  </si>
  <si>
    <t>Tomato Paste</t>
  </si>
  <si>
    <t>Slice Cheese 250g 1 PKT</t>
  </si>
  <si>
    <t xml:space="preserve">Bagan Bean Sprout Soup </t>
  </si>
  <si>
    <t>Bean Sprout</t>
  </si>
  <si>
    <t>Pone Yee Gyi</t>
  </si>
  <si>
    <t>Vegetarian Pizza</t>
  </si>
  <si>
    <t>Pizza and Pasta</t>
  </si>
  <si>
    <t>Bread Flour</t>
  </si>
  <si>
    <t>Mozzarellea Cheese</t>
  </si>
  <si>
    <t xml:space="preserve">Tomato </t>
  </si>
  <si>
    <t>Pizza Margherita</t>
  </si>
  <si>
    <t>Oregano 140 gm</t>
  </si>
  <si>
    <t>Spaghetti Aglio e Olio &amp; Chicken</t>
  </si>
  <si>
    <t>Parmesan Cheese</t>
  </si>
  <si>
    <t>Roasted  Chilli</t>
  </si>
  <si>
    <t>Cherry Tomato</t>
  </si>
  <si>
    <t>Spaghetti alla Carbonara</t>
  </si>
  <si>
    <t xml:space="preserve">Aureum Beef Burger </t>
  </si>
  <si>
    <t>Crispy Chicken Burger</t>
  </si>
  <si>
    <t xml:space="preserve">NAME: </t>
  </si>
  <si>
    <t>Club Sandwich</t>
  </si>
  <si>
    <t xml:space="preserve">Unsalted Butter </t>
  </si>
  <si>
    <t>Classic Fish &amp; Chips</t>
  </si>
  <si>
    <t>Cooking White Wine</t>
  </si>
  <si>
    <t>Black Olive</t>
  </si>
  <si>
    <t>Seasonal Fresh Fruit Platter</t>
  </si>
  <si>
    <t>Water Melon</t>
  </si>
  <si>
    <t>Bagan Pone Yee Gyi Cake</t>
  </si>
  <si>
    <t>Sp Gel</t>
  </si>
  <si>
    <t>Vanilla Ice Cream</t>
  </si>
  <si>
    <t>Coconut Ice Cream</t>
  </si>
  <si>
    <t>Coconut Cream</t>
  </si>
  <si>
    <t>Wafer Stick 360 gm</t>
  </si>
  <si>
    <t>Chocolate Ice Cream</t>
  </si>
  <si>
    <t>Aureum Chocolate Cup Mousse</t>
  </si>
  <si>
    <t>Dark Chocolate</t>
  </si>
  <si>
    <t>White Chocolate</t>
  </si>
  <si>
    <t>Gelanting</t>
  </si>
  <si>
    <t>Blueberry Cake</t>
  </si>
  <si>
    <t>sugar</t>
  </si>
  <si>
    <t>Blueberry</t>
  </si>
  <si>
    <t>Aureum Caramel</t>
  </si>
  <si>
    <t>Xanadu Restaurant</t>
  </si>
  <si>
    <t>Ironman's Chicken Nugget</t>
  </si>
  <si>
    <t>Bread Crumbs</t>
  </si>
  <si>
    <t>Pail</t>
  </si>
  <si>
    <t>Tomato ketchup</t>
  </si>
  <si>
    <t>French fried</t>
  </si>
  <si>
    <t>French Fries-1Kg</t>
  </si>
  <si>
    <t>Green Lettuce Salad</t>
  </si>
  <si>
    <t>Vegetable Oil-18 Lit</t>
  </si>
  <si>
    <t>Mayonnaise-1kG</t>
  </si>
  <si>
    <t>Bread Flour-40Kg</t>
  </si>
  <si>
    <t>White Toast Bread</t>
  </si>
  <si>
    <t>Slice</t>
  </si>
  <si>
    <t>Nemo’s Fish &amp; Chips</t>
  </si>
  <si>
    <t>Tom &amp; Jerry’s Sandwich</t>
  </si>
  <si>
    <t>LOCATION</t>
  </si>
  <si>
    <t>ABGN</t>
  </si>
  <si>
    <t>Grilled Whole Fish</t>
  </si>
  <si>
    <t>Beef Curry</t>
  </si>
  <si>
    <t>A Little Aureum</t>
  </si>
  <si>
    <t>Lamb Chop</t>
  </si>
  <si>
    <t>Lemon</t>
  </si>
  <si>
    <t>Spaghetti</t>
  </si>
  <si>
    <t xml:space="preserve"> Green Papaya Salad </t>
  </si>
  <si>
    <t>Spicy Chcken Feet Salad</t>
  </si>
  <si>
    <t>Tom Yum Gong</t>
  </si>
  <si>
    <t>Cream Of Mushroom Soup</t>
  </si>
  <si>
    <t>Fried Vermicelli With Pork</t>
  </si>
  <si>
    <t>Fried Rice With Pork</t>
  </si>
  <si>
    <t xml:space="preserve">Fried Rice with Chicken </t>
  </si>
  <si>
    <t>Fried  Noodle With chicken</t>
  </si>
  <si>
    <t>Fried  Noodle With Pork</t>
  </si>
  <si>
    <t xml:space="preserve">Pashu Fried Rice with Chicken  </t>
  </si>
  <si>
    <t xml:space="preserve">Pashu Fried Rice with Pork  </t>
  </si>
  <si>
    <t xml:space="preserve">Steamed Rice with Chicken  </t>
  </si>
  <si>
    <t xml:space="preserve"> Steamed Rice with Pork  </t>
  </si>
  <si>
    <t>No</t>
  </si>
  <si>
    <t>ORIENTAL RICE &amp; NOODLES</t>
  </si>
  <si>
    <t>ASIAN CORNER</t>
  </si>
  <si>
    <t>Cup</t>
  </si>
  <si>
    <t>INDIAN DELIGHT</t>
  </si>
  <si>
    <t>AUREUM SIGNATURE DISHES</t>
  </si>
  <si>
    <t>REGIONAL CUISINE OF"BAGAN"</t>
  </si>
  <si>
    <t>FROM THE GRILL</t>
  </si>
  <si>
    <t>PIZZA &amp; PASTA</t>
  </si>
  <si>
    <t>SANDWICH &amp; SNACK</t>
  </si>
  <si>
    <t>Home Made Ice Cream</t>
  </si>
  <si>
    <t>A LITTLE AUREUM (KIDS MENU)</t>
  </si>
  <si>
    <t>Snow White's Spaghetti</t>
  </si>
  <si>
    <t>Black Pepper Seed</t>
  </si>
  <si>
    <t>Black Pepper  Seeds</t>
  </si>
  <si>
    <t>Black Pepper Seeds</t>
  </si>
  <si>
    <t>Caluflower</t>
  </si>
  <si>
    <t>DATE :</t>
  </si>
  <si>
    <t>DATE</t>
  </si>
  <si>
    <t>Snow White Spaghetti</t>
  </si>
  <si>
    <t>Asian Corner</t>
  </si>
  <si>
    <t>Regional Cuisine of Bagan</t>
  </si>
  <si>
    <t xml:space="preserve">Aureum Chef’s Salad </t>
  </si>
  <si>
    <t>Tea Leave with Mutton Salad</t>
  </si>
  <si>
    <t xml:space="preserve">Grilled Pork Chop </t>
  </si>
  <si>
    <t>lit</t>
  </si>
  <si>
    <t>Bay Leave</t>
  </si>
  <si>
    <t>Portion Price/10</t>
  </si>
  <si>
    <t>Old Price</t>
  </si>
  <si>
    <t xml:space="preserve">  </t>
  </si>
  <si>
    <t>MENU NAME - A-LA-CARTE</t>
  </si>
  <si>
    <t>Menu Master Code</t>
  </si>
  <si>
    <t>Menu Group Code</t>
  </si>
  <si>
    <t>New Price</t>
  </si>
  <si>
    <t>Old Price (Net)</t>
  </si>
  <si>
    <t>New Price (Net)</t>
  </si>
  <si>
    <t>Old Cost %</t>
  </si>
  <si>
    <t>New Cost %</t>
  </si>
  <si>
    <t>Profit Margin (Old)</t>
  </si>
  <si>
    <t>Profit Margin (New)</t>
  </si>
  <si>
    <t>Act Sale Qty</t>
  </si>
  <si>
    <t>Popularity %</t>
  </si>
  <si>
    <t>Selling Price Variances</t>
  </si>
  <si>
    <t>Cost Price Variances</t>
  </si>
  <si>
    <t>Profit Margin Variances</t>
  </si>
  <si>
    <t>Competitor A</t>
  </si>
  <si>
    <t>Competitor B</t>
  </si>
  <si>
    <t>APPETIZER &amp; SALAD</t>
  </si>
  <si>
    <t>SOUP</t>
  </si>
  <si>
    <t>New Cost (Oct-24)</t>
  </si>
  <si>
    <t>AUREUM PALACE HOTEL -BAGAN</t>
  </si>
  <si>
    <t>OUTLET -XANADU RESTAURANT (MAIN DINING)</t>
  </si>
  <si>
    <t>ISSUE PERIOD - OCTOBER - MARCH 2025 (HIGH SEASON)</t>
  </si>
  <si>
    <t>Old Cost Aug-24</t>
  </si>
  <si>
    <t>Rice &amp; Noodle</t>
  </si>
  <si>
    <r>
      <t>Club</t>
    </r>
    <r>
      <rPr>
        <sz val="10"/>
        <color theme="1"/>
        <rFont val="Montserrat"/>
      </rPr>
      <t xml:space="preserve"> </t>
    </r>
    <r>
      <rPr>
        <b/>
        <sz val="10"/>
        <color theme="1"/>
        <rFont val="Montserrat"/>
      </rPr>
      <t>Sandwich</t>
    </r>
  </si>
  <si>
    <t>10200006-2</t>
  </si>
  <si>
    <t>ISSUE DATE -29.OCT.24</t>
  </si>
  <si>
    <t>Tin Moe Hla</t>
  </si>
  <si>
    <t>Account Manager</t>
  </si>
  <si>
    <t>Zaw Nyunt</t>
  </si>
  <si>
    <t>Executive Chef</t>
  </si>
  <si>
    <t>Wynn Ko Ko</t>
  </si>
  <si>
    <t>Operation Manager</t>
  </si>
  <si>
    <t>Need Check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</si>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</sst>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  <numFmt numFmtId="166" formatCode="#######0.000"/>
    <numFmt numFmtId="167" formatCode="[$-409]d\-mmm\-yy;@"/>
    <numFmt numFmtId="168" formatCode="###,###,###,###,##0.000"/>
    <numFmt numFmtId="169" formatCode="_(* #,##0_);_(* \(#,##0\);_(* &quot;-&quot;??_);_(@_)"/>
    <numFmt numFmtId="170" formatCode="_(* #,##0.000_);_(* \(#,##0.000\);_(* &quot;-&quot;??_);_(@_)"/>
    <numFmt numFmtId="171" formatCode="_-* #,##0.000_-;\-* #,##0.0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0"/>
      <color theme="1"/>
      <name val="Pyidaungsu"/>
      <family val="2"/>
    </font>
    <font>
      <sz val="10"/>
      <name val="Pyidaungsu"/>
      <family val="2"/>
    </font>
    <font>
      <b/>
      <u/>
      <sz val="10"/>
      <name val="Pyidaungsu"/>
      <family val="2"/>
    </font>
    <font>
      <sz val="12"/>
      <color theme="1"/>
      <name val="Pyidaungsu"/>
      <family val="2"/>
    </font>
    <font>
      <sz val="11"/>
      <color theme="1"/>
      <name val="Pyidaungsu"/>
      <family val="2"/>
    </font>
    <font>
      <sz val="10"/>
      <color indexed="8"/>
      <name val="Pyidaungsu"/>
      <family val="2"/>
    </font>
    <font>
      <b/>
      <sz val="12"/>
      <color theme="1"/>
      <name val="Pyidaungsu"/>
      <family val="2"/>
    </font>
    <font>
      <b/>
      <sz val="10"/>
      <color theme="1"/>
      <name val="Pyidaungsu"/>
      <family val="2"/>
    </font>
    <font>
      <b/>
      <sz val="10"/>
      <name val="Pyidaungsu"/>
      <family val="2"/>
    </font>
    <font>
      <sz val="10"/>
      <color rgb="FFFF0000"/>
      <name val="Pyidaungsu"/>
      <family val="2"/>
    </font>
    <font>
      <b/>
      <u/>
      <sz val="10"/>
      <color theme="1"/>
      <name val="Pyidaungsu"/>
      <family val="2"/>
    </font>
    <font>
      <b/>
      <sz val="12"/>
      <name val="Pyidaungsu"/>
      <family val="2"/>
    </font>
    <font>
      <sz val="10"/>
      <name val="Palatino Linotype"/>
      <family val="1"/>
    </font>
    <font>
      <b/>
      <sz val="12"/>
      <color theme="1"/>
      <name val="Montserrat"/>
    </font>
    <font>
      <b/>
      <sz val="10"/>
      <color theme="1"/>
      <name val="Montserrat"/>
    </font>
    <font>
      <sz val="10"/>
      <color indexed="8"/>
      <name val="Palatino Linotype"/>
      <family val="1"/>
    </font>
    <font>
      <b/>
      <sz val="10"/>
      <color indexed="8"/>
      <name val="Palatino Linotype"/>
      <family val="1"/>
    </font>
    <font>
      <sz val="10"/>
      <color theme="1"/>
      <name val="Palatino Linotype"/>
      <family val="1"/>
    </font>
    <font>
      <b/>
      <sz val="11"/>
      <color theme="1"/>
      <name val="Pyidaungsu"/>
      <family val="2"/>
    </font>
    <font>
      <sz val="8"/>
      <name val="Calibri"/>
      <family val="2"/>
      <scheme val="minor"/>
    </font>
    <font>
      <b/>
      <sz val="15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8"/>
      <name val="Pyidaungsu"/>
      <family val="2"/>
    </font>
    <font>
      <sz val="10"/>
      <color theme="1"/>
      <name val="Montserrat"/>
    </font>
    <font>
      <b/>
      <sz val="12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sz val="13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3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21">
    <xf numFmtId="0" fontId="0" fillId="0" borderId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5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</cellStyleXfs>
  <cellXfs count="1013">
    <xf numFmtId="0" fontId="0" fillId="0" borderId="0" xfId="0"/>
    <xf numFmtId="0" fontId="2" fillId="3" borderId="0" xfId="0" applyFont="1" applyFill="1" applyAlignment="1">
      <alignment horizontal="left" vertical="top"/>
    </xf>
    <xf numFmtId="166" fontId="2" fillId="3" borderId="0" xfId="0" quotePrefix="1" applyNumberFormat="1" applyFont="1" applyFill="1" applyAlignment="1">
      <alignment horizontal="right" vertical="top"/>
    </xf>
    <xf numFmtId="0" fontId="2" fillId="0" borderId="0" xfId="0" applyFont="1" applyAlignment="1">
      <alignment horizontal="left" vertical="top"/>
    </xf>
    <xf numFmtId="166" fontId="2" fillId="0" borderId="0" xfId="0" quotePrefix="1" applyNumberFormat="1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166" fontId="2" fillId="0" borderId="0" xfId="0" quotePrefix="1" applyNumberFormat="1" applyFont="1" applyAlignment="1">
      <alignment horizontal="left" vertical="top"/>
    </xf>
    <xf numFmtId="0" fontId="2" fillId="0" borderId="0" xfId="0" quotePrefix="1" applyFont="1" applyAlignment="1">
      <alignment horizontal="left" vertical="top"/>
    </xf>
    <xf numFmtId="0" fontId="2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horizontal="center" vertical="top"/>
    </xf>
    <xf numFmtId="0" fontId="2" fillId="4" borderId="0" xfId="0" applyFont="1" applyFill="1" applyAlignment="1">
      <alignment horizontal="left" vertical="top"/>
    </xf>
    <xf numFmtId="0" fontId="2" fillId="4" borderId="0" xfId="0" applyFont="1" applyFill="1" applyAlignment="1">
      <alignment vertical="top"/>
    </xf>
    <xf numFmtId="0" fontId="2" fillId="5" borderId="0" xfId="0" applyFont="1" applyFill="1" applyAlignment="1">
      <alignment horizontal="left" vertical="top"/>
    </xf>
    <xf numFmtId="166" fontId="2" fillId="5" borderId="0" xfId="0" quotePrefix="1" applyNumberFormat="1" applyFont="1" applyFill="1" applyAlignment="1">
      <alignment horizontal="right" vertical="top"/>
    </xf>
    <xf numFmtId="0" fontId="2" fillId="5" borderId="0" xfId="0" applyFont="1" applyFill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43" fontId="8" fillId="0" borderId="8" xfId="10" applyFont="1" applyFill="1" applyBorder="1" applyAlignment="1">
      <alignment horizontal="center" vertical="top" wrapText="1"/>
    </xf>
    <xf numFmtId="0" fontId="8" fillId="0" borderId="8" xfId="0" applyFont="1" applyBorder="1" applyAlignment="1">
      <alignment horizontal="left" vertical="top"/>
    </xf>
    <xf numFmtId="0" fontId="8" fillId="0" borderId="8" xfId="0" applyFont="1" applyBorder="1" applyAlignment="1">
      <alignment horizontal="center" vertical="center"/>
    </xf>
    <xf numFmtId="0" fontId="8" fillId="2" borderId="8" xfId="0" quotePrefix="1" applyFont="1" applyFill="1" applyBorder="1" applyAlignment="1">
      <alignment vertical="top"/>
    </xf>
    <xf numFmtId="0" fontId="8" fillId="2" borderId="8" xfId="0" applyFont="1" applyFill="1" applyBorder="1" applyAlignment="1">
      <alignment horizontal="center" vertical="top" wrapText="1"/>
    </xf>
    <xf numFmtId="43" fontId="8" fillId="2" borderId="8" xfId="10" applyFont="1" applyFill="1" applyBorder="1" applyAlignment="1">
      <alignment horizontal="center" vertical="top" wrapText="1"/>
    </xf>
    <xf numFmtId="0" fontId="8" fillId="2" borderId="8" xfId="0" applyFont="1" applyFill="1" applyBorder="1" applyAlignment="1">
      <alignment horizontal="left" vertical="top"/>
    </xf>
    <xf numFmtId="0" fontId="8" fillId="2" borderId="18" xfId="0" applyFont="1" applyFill="1" applyBorder="1" applyAlignment="1">
      <alignment horizontal="center" vertical="top" wrapText="1"/>
    </xf>
    <xf numFmtId="43" fontId="8" fillId="2" borderId="18" xfId="10" applyFont="1" applyFill="1" applyBorder="1" applyAlignment="1">
      <alignment horizontal="center" vertical="top" wrapText="1"/>
    </xf>
    <xf numFmtId="0" fontId="8" fillId="2" borderId="8" xfId="0" applyFont="1" applyFill="1" applyBorder="1" applyAlignment="1">
      <alignment horizontal="left" vertical="center"/>
    </xf>
    <xf numFmtId="49" fontId="9" fillId="7" borderId="8" xfId="0" applyNumberFormat="1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 wrapText="1"/>
    </xf>
    <xf numFmtId="43" fontId="8" fillId="2" borderId="3" xfId="10" applyFont="1" applyFill="1" applyBorder="1" applyAlignment="1">
      <alignment horizontal="center" vertical="top" wrapText="1"/>
    </xf>
    <xf numFmtId="49" fontId="10" fillId="0" borderId="65" xfId="0" applyNumberFormat="1" applyFont="1" applyBorder="1" applyAlignment="1">
      <alignment horizontal="center"/>
    </xf>
    <xf numFmtId="43" fontId="8" fillId="0" borderId="8" xfId="10" quotePrefix="1" applyFont="1" applyFill="1" applyBorder="1"/>
    <xf numFmtId="43" fontId="8" fillId="2" borderId="8" xfId="10" quotePrefix="1" applyFont="1" applyFill="1" applyBorder="1"/>
    <xf numFmtId="43" fontId="8" fillId="2" borderId="18" xfId="10" quotePrefix="1" applyFont="1" applyFill="1" applyBorder="1"/>
    <xf numFmtId="43" fontId="8" fillId="2" borderId="14" xfId="10" quotePrefix="1" applyFont="1" applyFill="1" applyBorder="1"/>
    <xf numFmtId="0" fontId="8" fillId="2" borderId="3" xfId="0" quotePrefix="1" applyFont="1" applyFill="1" applyBorder="1" applyAlignment="1">
      <alignment vertical="top"/>
    </xf>
    <xf numFmtId="43" fontId="8" fillId="2" borderId="3" xfId="10" quotePrefix="1" applyFont="1" applyFill="1" applyBorder="1"/>
    <xf numFmtId="0" fontId="8" fillId="2" borderId="8" xfId="10" applyNumberFormat="1" applyFont="1" applyFill="1" applyBorder="1" applyAlignment="1">
      <alignment horizontal="center" vertical="top" wrapText="1"/>
    </xf>
    <xf numFmtId="49" fontId="9" fillId="2" borderId="8" xfId="0" applyNumberFormat="1" applyFont="1" applyFill="1" applyBorder="1" applyAlignment="1">
      <alignment horizontal="center" vertical="top" wrapText="1"/>
    </xf>
    <xf numFmtId="49" fontId="10" fillId="2" borderId="61" xfId="0" applyNumberFormat="1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9" fontId="8" fillId="0" borderId="3" xfId="10" applyNumberFormat="1" applyFont="1" applyFill="1" applyBorder="1" applyAlignment="1">
      <alignment horizontal="center" vertical="top" wrapText="1"/>
    </xf>
    <xf numFmtId="43" fontId="8" fillId="0" borderId="3" xfId="10" applyFont="1" applyFill="1" applyBorder="1" applyAlignment="1">
      <alignment horizontal="right" vertical="center"/>
    </xf>
    <xf numFmtId="44" fontId="8" fillId="0" borderId="16" xfId="2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43" fontId="9" fillId="0" borderId="0" xfId="1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/>
    <xf numFmtId="43" fontId="8" fillId="0" borderId="1" xfId="10" applyFont="1" applyFill="1" applyBorder="1" applyAlignment="1">
      <alignment horizontal="center" vertical="center"/>
    </xf>
    <xf numFmtId="43" fontId="8" fillId="0" borderId="1" xfId="10" applyFont="1" applyFill="1" applyBorder="1" applyAlignment="1">
      <alignment horizontal="right" vertical="center"/>
    </xf>
    <xf numFmtId="43" fontId="8" fillId="0" borderId="8" xfId="10" applyFont="1" applyFill="1" applyBorder="1" applyAlignment="1">
      <alignment horizontal="center" vertical="center"/>
    </xf>
    <xf numFmtId="43" fontId="8" fillId="0" borderId="8" xfId="10" applyFont="1" applyFill="1" applyBorder="1" applyAlignment="1">
      <alignment horizontal="right" vertical="center"/>
    </xf>
    <xf numFmtId="0" fontId="8" fillId="0" borderId="16" xfId="0" applyFont="1" applyBorder="1" applyAlignment="1">
      <alignment horizontal="center" vertical="center"/>
    </xf>
    <xf numFmtId="43" fontId="8" fillId="0" borderId="2" xfId="10" applyFont="1" applyFill="1" applyBorder="1" applyAlignment="1">
      <alignment horizontal="center" vertical="center"/>
    </xf>
    <xf numFmtId="43" fontId="8" fillId="2" borderId="2" xfId="10" applyFont="1" applyFill="1" applyBorder="1" applyAlignment="1">
      <alignment horizontal="center" vertical="center"/>
    </xf>
    <xf numFmtId="43" fontId="8" fillId="0" borderId="2" xfId="10" applyFont="1" applyFill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43" fontId="8" fillId="0" borderId="0" xfId="10" applyFont="1" applyFill="1" applyAlignment="1">
      <alignment horizontal="center" vertical="center"/>
    </xf>
    <xf numFmtId="43" fontId="8" fillId="0" borderId="0" xfId="10" applyFont="1" applyFill="1" applyAlignment="1">
      <alignment horizontal="right" vertical="center"/>
    </xf>
    <xf numFmtId="0" fontId="8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0" xfId="0" quotePrefix="1" applyFont="1" applyBorder="1" applyAlignment="1">
      <alignment horizontal="left" vertical="top"/>
    </xf>
    <xf numFmtId="43" fontId="8" fillId="0" borderId="3" xfId="10" applyFont="1" applyFill="1" applyBorder="1" applyAlignment="1">
      <alignment horizontal="center" vertical="top" wrapText="1"/>
    </xf>
    <xf numFmtId="43" fontId="8" fillId="2" borderId="3" xfId="10" applyFont="1" applyFill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43" fontId="8" fillId="0" borderId="3" xfId="10" applyFont="1" applyFill="1" applyBorder="1" applyAlignment="1">
      <alignment horizontal="center" vertical="center"/>
    </xf>
    <xf numFmtId="43" fontId="8" fillId="0" borderId="22" xfId="10" applyFont="1" applyFill="1" applyBorder="1" applyAlignment="1">
      <alignment horizontal="right" vertical="center"/>
    </xf>
    <xf numFmtId="0" fontId="8" fillId="0" borderId="8" xfId="0" applyFont="1" applyBorder="1" applyAlignment="1">
      <alignment horizontal="left" vertical="center"/>
    </xf>
    <xf numFmtId="43" fontId="8" fillId="0" borderId="16" xfId="10" applyFont="1" applyFill="1" applyBorder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43" fontId="8" fillId="0" borderId="0" xfId="10" applyFont="1" applyFill="1" applyAlignment="1">
      <alignment horizontal="center"/>
    </xf>
    <xf numFmtId="43" fontId="8" fillId="0" borderId="0" xfId="10" applyFont="1" applyFill="1" applyAlignment="1">
      <alignment horizontal="left"/>
    </xf>
    <xf numFmtId="0" fontId="8" fillId="0" borderId="28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43" fontId="8" fillId="0" borderId="13" xfId="10" applyFont="1" applyFill="1" applyBorder="1" applyAlignment="1">
      <alignment horizontal="center" vertical="center"/>
    </xf>
    <xf numFmtId="43" fontId="8" fillId="0" borderId="13" xfId="10" applyFont="1" applyFill="1" applyBorder="1" applyAlignment="1">
      <alignment horizontal="right" vertical="center"/>
    </xf>
    <xf numFmtId="0" fontId="8" fillId="0" borderId="25" xfId="0" applyFont="1" applyBorder="1" applyAlignment="1">
      <alignment horizontal="center" vertical="center"/>
    </xf>
    <xf numFmtId="0" fontId="8" fillId="0" borderId="8" xfId="0" quotePrefix="1" applyFont="1" applyBorder="1" applyAlignment="1">
      <alignment horizontal="left" vertical="top"/>
    </xf>
    <xf numFmtId="0" fontId="8" fillId="0" borderId="8" xfId="0" applyFont="1" applyBorder="1"/>
    <xf numFmtId="9" fontId="8" fillId="0" borderId="8" xfId="10" applyNumberFormat="1" applyFont="1" applyFill="1" applyBorder="1" applyAlignment="1">
      <alignment horizontal="center" vertical="top" wrapText="1"/>
    </xf>
    <xf numFmtId="44" fontId="8" fillId="0" borderId="8" xfId="2" applyFont="1" applyFill="1" applyBorder="1" applyAlignment="1">
      <alignment horizontal="center" vertical="center"/>
    </xf>
    <xf numFmtId="0" fontId="8" fillId="0" borderId="37" xfId="0" quotePrefix="1" applyFont="1" applyBorder="1" applyAlignment="1">
      <alignment horizontal="left" vertical="top"/>
    </xf>
    <xf numFmtId="0" fontId="8" fillId="0" borderId="8" xfId="0" quotePrefix="1" applyFont="1" applyBorder="1" applyAlignment="1">
      <alignment vertical="top"/>
    </xf>
    <xf numFmtId="43" fontId="8" fillId="0" borderId="3" xfId="10" quotePrefix="1" applyFont="1" applyFill="1" applyBorder="1"/>
    <xf numFmtId="43" fontId="8" fillId="0" borderId="8" xfId="10" applyFont="1" applyFill="1" applyBorder="1"/>
    <xf numFmtId="0" fontId="8" fillId="0" borderId="41" xfId="0" quotePrefix="1" applyFont="1" applyBorder="1" applyAlignment="1">
      <alignment horizontal="left" vertical="top"/>
    </xf>
    <xf numFmtId="0" fontId="8" fillId="0" borderId="11" xfId="0" quotePrefix="1" applyFont="1" applyBorder="1" applyAlignment="1">
      <alignment horizontal="left" vertical="top"/>
    </xf>
    <xf numFmtId="0" fontId="8" fillId="0" borderId="2" xfId="0" quotePrefix="1" applyFont="1" applyBorder="1" applyAlignment="1">
      <alignment vertical="top"/>
    </xf>
    <xf numFmtId="0" fontId="8" fillId="0" borderId="2" xfId="0" applyFont="1" applyBorder="1" applyAlignment="1">
      <alignment horizontal="center" vertical="top" wrapText="1"/>
    </xf>
    <xf numFmtId="43" fontId="8" fillId="0" borderId="2" xfId="10" applyFont="1" applyFill="1" applyBorder="1" applyAlignment="1">
      <alignment horizontal="center" vertical="top" wrapText="1"/>
    </xf>
    <xf numFmtId="43" fontId="8" fillId="0" borderId="2" xfId="10" quotePrefix="1" applyFont="1" applyFill="1" applyBorder="1"/>
    <xf numFmtId="44" fontId="8" fillId="0" borderId="4" xfId="2" applyFont="1" applyFill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44" fontId="8" fillId="0" borderId="22" xfId="2" applyFont="1" applyFill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43" fontId="8" fillId="6" borderId="16" xfId="10" applyFont="1" applyFill="1" applyBorder="1" applyAlignment="1">
      <alignment horizontal="center" vertical="center"/>
    </xf>
    <xf numFmtId="43" fontId="8" fillId="0" borderId="16" xfId="10" applyFont="1" applyFill="1" applyBorder="1" applyAlignment="1">
      <alignment horizontal="center" vertical="center"/>
    </xf>
    <xf numFmtId="43" fontId="8" fillId="2" borderId="16" xfId="10" applyFont="1" applyFill="1" applyBorder="1" applyAlignment="1">
      <alignment horizontal="center" vertical="center"/>
    </xf>
    <xf numFmtId="10" fontId="8" fillId="0" borderId="50" xfId="6" applyNumberFormat="1" applyFont="1" applyFill="1" applyBorder="1" applyAlignment="1">
      <alignment horizontal="right" vertical="center"/>
    </xf>
    <xf numFmtId="43" fontId="8" fillId="0" borderId="24" xfId="10" applyFont="1" applyFill="1" applyBorder="1" applyAlignment="1">
      <alignment horizontal="right" vertical="center"/>
    </xf>
    <xf numFmtId="44" fontId="8" fillId="0" borderId="50" xfId="2" applyFont="1" applyFill="1" applyBorder="1" applyAlignment="1">
      <alignment horizontal="center" vertical="center"/>
    </xf>
    <xf numFmtId="0" fontId="8" fillId="0" borderId="11" xfId="0" applyFont="1" applyBorder="1"/>
    <xf numFmtId="0" fontId="8" fillId="0" borderId="2" xfId="0" applyFont="1" applyBorder="1"/>
    <xf numFmtId="43" fontId="8" fillId="0" borderId="2" xfId="10" applyFont="1" applyFill="1" applyBorder="1" applyAlignment="1">
      <alignment horizontal="center"/>
    </xf>
    <xf numFmtId="43" fontId="8" fillId="0" borderId="2" xfId="10" applyFont="1" applyFill="1" applyBorder="1"/>
    <xf numFmtId="43" fontId="8" fillId="0" borderId="32" xfId="10" applyFont="1" applyFill="1" applyBorder="1" applyAlignment="1">
      <alignment horizontal="right"/>
    </xf>
    <xf numFmtId="0" fontId="8" fillId="0" borderId="49" xfId="0" applyFont="1" applyBorder="1"/>
    <xf numFmtId="43" fontId="8" fillId="0" borderId="0" xfId="10" applyFont="1" applyFill="1"/>
    <xf numFmtId="43" fontId="8" fillId="0" borderId="0" xfId="10" applyFont="1" applyFill="1" applyAlignment="1">
      <alignment horizontal="right"/>
    </xf>
    <xf numFmtId="43" fontId="8" fillId="0" borderId="0" xfId="10" applyFont="1" applyFill="1" applyBorder="1" applyAlignment="1">
      <alignment horizontal="center" vertical="center"/>
    </xf>
    <xf numFmtId="43" fontId="8" fillId="2" borderId="1" xfId="10" applyFont="1" applyFill="1" applyBorder="1" applyAlignment="1">
      <alignment horizontal="center" vertical="center"/>
    </xf>
    <xf numFmtId="43" fontId="8" fillId="2" borderId="1" xfId="10" applyFont="1" applyFill="1" applyBorder="1" applyAlignment="1">
      <alignment horizontal="right" vertical="center"/>
    </xf>
    <xf numFmtId="0" fontId="8" fillId="2" borderId="0" xfId="0" applyFont="1" applyFill="1"/>
    <xf numFmtId="0" fontId="8" fillId="2" borderId="8" xfId="0" applyFont="1" applyFill="1" applyBorder="1" applyAlignment="1">
      <alignment vertical="center"/>
    </xf>
    <xf numFmtId="43" fontId="8" fillId="2" borderId="8" xfId="10" applyFont="1" applyFill="1" applyBorder="1" applyAlignment="1">
      <alignment horizontal="center" vertical="center"/>
    </xf>
    <xf numFmtId="43" fontId="8" fillId="2" borderId="8" xfId="10" applyFont="1" applyFill="1" applyBorder="1" applyAlignment="1">
      <alignment horizontal="right" vertical="center"/>
    </xf>
    <xf numFmtId="43" fontId="8" fillId="2" borderId="2" xfId="10" applyFont="1" applyFill="1" applyBorder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43" fontId="8" fillId="2" borderId="0" xfId="10" applyFont="1" applyFill="1" applyAlignment="1">
      <alignment horizontal="center" vertical="center"/>
    </xf>
    <xf numFmtId="43" fontId="8" fillId="2" borderId="0" xfId="10" applyFont="1" applyFill="1" applyAlignment="1">
      <alignment horizontal="right" vertical="center"/>
    </xf>
    <xf numFmtId="0" fontId="8" fillId="2" borderId="29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center" vertical="center"/>
    </xf>
    <xf numFmtId="43" fontId="8" fillId="2" borderId="29" xfId="10" applyFont="1" applyFill="1" applyBorder="1" applyAlignment="1">
      <alignment horizontal="center" vertical="center"/>
    </xf>
    <xf numFmtId="43" fontId="8" fillId="2" borderId="6" xfId="10" applyFont="1" applyFill="1" applyBorder="1" applyAlignment="1">
      <alignment horizontal="center" vertical="center"/>
    </xf>
    <xf numFmtId="43" fontId="8" fillId="2" borderId="26" xfId="10" applyFont="1" applyFill="1" applyBorder="1" applyAlignment="1">
      <alignment horizontal="center" vertical="center"/>
    </xf>
    <xf numFmtId="43" fontId="8" fillId="2" borderId="30" xfId="10" applyFont="1" applyFill="1" applyBorder="1" applyAlignment="1">
      <alignment horizontal="right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5" xfId="0" quotePrefix="1" applyFont="1" applyFill="1" applyBorder="1" applyAlignment="1">
      <alignment horizontal="left" vertical="top"/>
    </xf>
    <xf numFmtId="9" fontId="8" fillId="2" borderId="3" xfId="10" applyNumberFormat="1" applyFont="1" applyFill="1" applyBorder="1" applyAlignment="1">
      <alignment horizontal="center" vertical="top" wrapText="1"/>
    </xf>
    <xf numFmtId="44" fontId="8" fillId="2" borderId="54" xfId="2" applyFont="1" applyFill="1" applyBorder="1" applyAlignment="1">
      <alignment horizontal="center" vertical="center"/>
    </xf>
    <xf numFmtId="0" fontId="8" fillId="2" borderId="8" xfId="0" quotePrefix="1" applyFont="1" applyFill="1" applyBorder="1" applyAlignment="1">
      <alignment horizontal="left" vertical="top"/>
    </xf>
    <xf numFmtId="9" fontId="8" fillId="2" borderId="8" xfId="10" applyNumberFormat="1" applyFont="1" applyFill="1" applyBorder="1" applyAlignment="1">
      <alignment horizontal="center" vertical="top" wrapText="1"/>
    </xf>
    <xf numFmtId="44" fontId="8" fillId="2" borderId="8" xfId="2" applyFont="1" applyFill="1" applyBorder="1" applyAlignment="1">
      <alignment horizontal="center" vertical="center"/>
    </xf>
    <xf numFmtId="0" fontId="8" fillId="2" borderId="10" xfId="0" quotePrefix="1" applyFont="1" applyFill="1" applyBorder="1" applyAlignment="1">
      <alignment horizontal="left" vertical="top"/>
    </xf>
    <xf numFmtId="44" fontId="8" fillId="2" borderId="50" xfId="2" applyFont="1" applyFill="1" applyBorder="1" applyAlignment="1">
      <alignment horizontal="center" vertical="center"/>
    </xf>
    <xf numFmtId="43" fontId="8" fillId="2" borderId="8" xfId="10" applyFont="1" applyFill="1" applyBorder="1"/>
    <xf numFmtId="0" fontId="8" fillId="2" borderId="10" xfId="0" applyFont="1" applyFill="1" applyBorder="1" applyAlignment="1">
      <alignment horizontal="left" vertical="top"/>
    </xf>
    <xf numFmtId="0" fontId="8" fillId="2" borderId="17" xfId="0" quotePrefix="1" applyFont="1" applyFill="1" applyBorder="1" applyAlignment="1">
      <alignment horizontal="left" vertical="top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44" fontId="8" fillId="0" borderId="12" xfId="2" applyFont="1" applyFill="1" applyBorder="1" applyAlignment="1">
      <alignment horizontal="center" vertical="center"/>
    </xf>
    <xf numFmtId="43" fontId="8" fillId="0" borderId="0" xfId="0" applyNumberFormat="1" applyFont="1"/>
    <xf numFmtId="0" fontId="8" fillId="0" borderId="11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43" fontId="8" fillId="0" borderId="4" xfId="10" applyFont="1" applyFill="1" applyBorder="1" applyAlignment="1">
      <alignment horizontal="right" vertical="center"/>
    </xf>
    <xf numFmtId="0" fontId="8" fillId="0" borderId="4" xfId="0" applyFont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43" fontId="8" fillId="2" borderId="0" xfId="1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43" fontId="8" fillId="2" borderId="6" xfId="10" applyFont="1" applyFill="1" applyBorder="1" applyAlignment="1">
      <alignment horizontal="right" vertical="center"/>
    </xf>
    <xf numFmtId="0" fontId="8" fillId="2" borderId="15" xfId="0" applyFont="1" applyFill="1" applyBorder="1" applyAlignment="1">
      <alignment horizontal="left" vertical="top"/>
    </xf>
    <xf numFmtId="44" fontId="8" fillId="2" borderId="22" xfId="2" applyFont="1" applyFill="1" applyBorder="1" applyAlignment="1">
      <alignment horizontal="center" vertical="center"/>
    </xf>
    <xf numFmtId="44" fontId="8" fillId="2" borderId="16" xfId="2" applyFont="1" applyFill="1" applyBorder="1" applyAlignment="1">
      <alignment horizontal="center" vertical="center"/>
    </xf>
    <xf numFmtId="43" fontId="8" fillId="2" borderId="18" xfId="10" applyFont="1" applyFill="1" applyBorder="1"/>
    <xf numFmtId="44" fontId="8" fillId="2" borderId="23" xfId="2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43" fontId="8" fillId="2" borderId="22" xfId="10" applyFont="1" applyFill="1" applyBorder="1" applyAlignment="1">
      <alignment horizontal="right" vertical="center"/>
    </xf>
    <xf numFmtId="0" fontId="8" fillId="2" borderId="10" xfId="0" applyFont="1" applyFill="1" applyBorder="1" applyAlignment="1">
      <alignment horizontal="left" vertical="center"/>
    </xf>
    <xf numFmtId="43" fontId="8" fillId="2" borderId="16" xfId="10" applyFont="1" applyFill="1" applyBorder="1" applyAlignment="1">
      <alignment horizontal="right" vertical="center"/>
    </xf>
    <xf numFmtId="10" fontId="8" fillId="2" borderId="16" xfId="6" applyNumberFormat="1" applyFont="1" applyFill="1" applyBorder="1" applyAlignment="1">
      <alignment horizontal="right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/>
    </xf>
    <xf numFmtId="43" fontId="8" fillId="2" borderId="4" xfId="10" applyFont="1" applyFill="1" applyBorder="1" applyAlignment="1">
      <alignment horizontal="right" vertical="center"/>
    </xf>
    <xf numFmtId="43" fontId="8" fillId="2" borderId="55" xfId="10" applyFont="1" applyFill="1" applyBorder="1" applyAlignment="1">
      <alignment horizontal="right" vertical="center"/>
    </xf>
    <xf numFmtId="0" fontId="8" fillId="2" borderId="37" xfId="0" quotePrefix="1" applyFont="1" applyFill="1" applyBorder="1" applyAlignment="1">
      <alignment horizontal="left" vertical="top"/>
    </xf>
    <xf numFmtId="0" fontId="8" fillId="2" borderId="14" xfId="0" applyFont="1" applyFill="1" applyBorder="1" applyAlignment="1">
      <alignment horizontal="center" vertical="top" wrapText="1"/>
    </xf>
    <xf numFmtId="43" fontId="8" fillId="2" borderId="14" xfId="10" applyFont="1" applyFill="1" applyBorder="1" applyAlignment="1">
      <alignment horizontal="center" vertical="top" wrapText="1"/>
    </xf>
    <xf numFmtId="169" fontId="8" fillId="2" borderId="8" xfId="10" quotePrefix="1" applyNumberFormat="1" applyFont="1" applyFill="1" applyBorder="1"/>
    <xf numFmtId="0" fontId="8" fillId="2" borderId="41" xfId="0" applyFont="1" applyFill="1" applyBorder="1" applyAlignment="1">
      <alignment horizontal="left" vertical="top"/>
    </xf>
    <xf numFmtId="0" fontId="8" fillId="2" borderId="15" xfId="0" applyFont="1" applyFill="1" applyBorder="1" applyAlignment="1">
      <alignment horizontal="left" vertical="center"/>
    </xf>
    <xf numFmtId="0" fontId="8" fillId="2" borderId="37" xfId="0" applyFont="1" applyFill="1" applyBorder="1" applyAlignment="1">
      <alignment horizontal="left" vertical="top"/>
    </xf>
    <xf numFmtId="9" fontId="8" fillId="2" borderId="14" xfId="10" applyNumberFormat="1" applyFont="1" applyFill="1" applyBorder="1" applyAlignment="1">
      <alignment horizontal="center" vertical="top" wrapText="1"/>
    </xf>
    <xf numFmtId="43" fontId="8" fillId="2" borderId="43" xfId="10" applyFont="1" applyFill="1" applyBorder="1" applyAlignment="1">
      <alignment horizontal="right" vertical="center"/>
    </xf>
    <xf numFmtId="0" fontId="8" fillId="2" borderId="8" xfId="0" applyFont="1" applyFill="1" applyBorder="1"/>
    <xf numFmtId="44" fontId="8" fillId="2" borderId="62" xfId="2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43" fontId="8" fillId="2" borderId="3" xfId="10" applyFont="1" applyFill="1" applyBorder="1" applyAlignment="1">
      <alignment horizontal="center" vertical="center"/>
    </xf>
    <xf numFmtId="43" fontId="8" fillId="0" borderId="0" xfId="10" applyFont="1" applyAlignment="1">
      <alignment horizontal="center"/>
    </xf>
    <xf numFmtId="43" fontId="8" fillId="0" borderId="0" xfId="10" applyFont="1"/>
    <xf numFmtId="43" fontId="8" fillId="0" borderId="0" xfId="10" applyFont="1" applyAlignment="1">
      <alignment horizontal="right"/>
    </xf>
    <xf numFmtId="0" fontId="8" fillId="2" borderId="3" xfId="0" applyFont="1" applyFill="1" applyBorder="1"/>
    <xf numFmtId="43" fontId="8" fillId="2" borderId="12" xfId="10" applyFont="1" applyFill="1" applyBorder="1" applyAlignment="1">
      <alignment horizontal="right" vertical="center"/>
    </xf>
    <xf numFmtId="43" fontId="12" fillId="0" borderId="0" xfId="10" applyFont="1"/>
    <xf numFmtId="0" fontId="8" fillId="2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44" fontId="8" fillId="2" borderId="4" xfId="2" applyFont="1" applyFill="1" applyBorder="1" applyAlignment="1">
      <alignment horizontal="center" vertical="center"/>
    </xf>
    <xf numFmtId="44" fontId="8" fillId="2" borderId="12" xfId="2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9" fontId="8" fillId="2" borderId="18" xfId="10" applyNumberFormat="1" applyFont="1" applyFill="1" applyBorder="1" applyAlignment="1">
      <alignment horizontal="center" vertical="top" wrapText="1"/>
    </xf>
    <xf numFmtId="43" fontId="8" fillId="2" borderId="14" xfId="10" applyFont="1" applyFill="1" applyBorder="1" applyAlignment="1">
      <alignment horizontal="right" vertical="center"/>
    </xf>
    <xf numFmtId="0" fontId="8" fillId="2" borderId="46" xfId="0" applyFont="1" applyFill="1" applyBorder="1" applyAlignment="1">
      <alignment horizontal="left" vertical="top"/>
    </xf>
    <xf numFmtId="43" fontId="8" fillId="2" borderId="35" xfId="10" applyFont="1" applyFill="1" applyBorder="1" applyAlignment="1">
      <alignment horizontal="right" vertical="center"/>
    </xf>
    <xf numFmtId="0" fontId="13" fillId="2" borderId="34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43" fontId="13" fillId="2" borderId="1" xfId="10" applyFont="1" applyFill="1" applyBorder="1" applyAlignment="1">
      <alignment horizontal="center" vertical="center"/>
    </xf>
    <xf numFmtId="43" fontId="13" fillId="2" borderId="12" xfId="10" applyFont="1" applyFill="1" applyBorder="1" applyAlignment="1">
      <alignment horizontal="right" vertical="center"/>
    </xf>
    <xf numFmtId="44" fontId="13" fillId="2" borderId="12" xfId="2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10" xfId="0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 vertical="center"/>
    </xf>
    <xf numFmtId="43" fontId="13" fillId="2" borderId="8" xfId="10" applyFont="1" applyFill="1" applyBorder="1" applyAlignment="1">
      <alignment horizontal="center" vertical="center"/>
    </xf>
    <xf numFmtId="43" fontId="13" fillId="2" borderId="3" xfId="10" applyFont="1" applyFill="1" applyBorder="1" applyAlignment="1">
      <alignment horizontal="center" vertical="center"/>
    </xf>
    <xf numFmtId="43" fontId="13" fillId="2" borderId="16" xfId="10" applyFont="1" applyFill="1" applyBorder="1" applyAlignment="1">
      <alignment horizontal="right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43" fontId="13" fillId="2" borderId="2" xfId="10" applyFont="1" applyFill="1" applyBorder="1" applyAlignment="1">
      <alignment horizontal="center" vertical="center"/>
    </xf>
    <xf numFmtId="43" fontId="13" fillId="2" borderId="4" xfId="10" applyFont="1" applyFill="1" applyBorder="1" applyAlignment="1">
      <alignment horizontal="right" vertical="center"/>
    </xf>
    <xf numFmtId="0" fontId="13" fillId="2" borderId="4" xfId="0" applyFont="1" applyFill="1" applyBorder="1" applyAlignment="1">
      <alignment horizontal="center" vertical="center"/>
    </xf>
    <xf numFmtId="0" fontId="12" fillId="0" borderId="0" xfId="10" applyNumberFormat="1" applyFont="1" applyAlignment="1">
      <alignment horizontal="center"/>
    </xf>
    <xf numFmtId="43" fontId="8" fillId="0" borderId="18" xfId="10" applyFont="1" applyFill="1" applyBorder="1"/>
    <xf numFmtId="0" fontId="8" fillId="0" borderId="11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43" fontId="8" fillId="0" borderId="1" xfId="10" applyFont="1" applyFill="1" applyBorder="1" applyAlignment="1">
      <alignment horizontal="center"/>
    </xf>
    <xf numFmtId="43" fontId="8" fillId="0" borderId="12" xfId="10" applyFont="1" applyFill="1" applyBorder="1" applyAlignment="1">
      <alignment horizontal="right" vertical="center"/>
    </xf>
    <xf numFmtId="43" fontId="8" fillId="0" borderId="8" xfId="1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43" fontId="8" fillId="2" borderId="13" xfId="10" applyFont="1" applyFill="1" applyBorder="1" applyAlignment="1">
      <alignment horizontal="center" vertical="center"/>
    </xf>
    <xf numFmtId="43" fontId="8" fillId="2" borderId="13" xfId="10" applyFont="1" applyFill="1" applyBorder="1" applyAlignment="1">
      <alignment horizontal="right" vertical="center"/>
    </xf>
    <xf numFmtId="0" fontId="8" fillId="2" borderId="25" xfId="0" applyFont="1" applyFill="1" applyBorder="1" applyAlignment="1">
      <alignment horizontal="center" vertical="center"/>
    </xf>
    <xf numFmtId="43" fontId="8" fillId="2" borderId="1" xfId="10" applyFont="1" applyFill="1" applyBorder="1" applyAlignment="1">
      <alignment horizontal="center"/>
    </xf>
    <xf numFmtId="43" fontId="8" fillId="2" borderId="8" xfId="10" applyFont="1" applyFill="1" applyBorder="1" applyAlignment="1">
      <alignment horizontal="center"/>
    </xf>
    <xf numFmtId="43" fontId="8" fillId="2" borderId="2" xfId="10" applyFont="1" applyFill="1" applyBorder="1" applyAlignment="1">
      <alignment horizontal="center"/>
    </xf>
    <xf numFmtId="0" fontId="9" fillId="2" borderId="10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left" vertical="top"/>
    </xf>
    <xf numFmtId="0" fontId="9" fillId="0" borderId="10" xfId="0" applyFont="1" applyBorder="1" applyAlignment="1">
      <alignment horizontal="left" vertical="center"/>
    </xf>
    <xf numFmtId="43" fontId="8" fillId="0" borderId="28" xfId="10" applyFont="1" applyFill="1" applyBorder="1" applyAlignment="1">
      <alignment horizontal="center" vertical="center"/>
    </xf>
    <xf numFmtId="43" fontId="8" fillId="0" borderId="32" xfId="10" applyFont="1" applyFill="1" applyBorder="1" applyAlignment="1">
      <alignment horizontal="right" vertical="center"/>
    </xf>
    <xf numFmtId="0" fontId="8" fillId="0" borderId="17" xfId="0" quotePrefix="1" applyFont="1" applyBorder="1" applyAlignment="1">
      <alignment horizontal="left" vertical="top"/>
    </xf>
    <xf numFmtId="0" fontId="11" fillId="0" borderId="0" xfId="0" applyFont="1"/>
    <xf numFmtId="0" fontId="11" fillId="2" borderId="0" xfId="0" applyFont="1" applyFill="1" applyAlignment="1">
      <alignment vertical="center"/>
    </xf>
    <xf numFmtId="43" fontId="11" fillId="2" borderId="0" xfId="10" applyFont="1" applyFill="1" applyBorder="1" applyAlignment="1">
      <alignment horizontal="center" vertical="center"/>
    </xf>
    <xf numFmtId="43" fontId="11" fillId="2" borderId="0" xfId="10" applyFont="1" applyFill="1" applyAlignment="1">
      <alignment horizontal="right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/>
    <xf numFmtId="169" fontId="11" fillId="2" borderId="0" xfId="10" applyNumberFormat="1" applyFont="1" applyFill="1" applyAlignment="1">
      <alignment horizontal="center" vertical="center"/>
    </xf>
    <xf numFmtId="43" fontId="8" fillId="0" borderId="35" xfId="10" applyFont="1" applyFill="1" applyBorder="1" applyAlignment="1">
      <alignment horizontal="center" vertical="center"/>
    </xf>
    <xf numFmtId="43" fontId="8" fillId="0" borderId="24" xfId="10" applyFont="1" applyFill="1" applyBorder="1" applyAlignment="1">
      <alignment horizontal="center" vertical="center"/>
    </xf>
    <xf numFmtId="43" fontId="8" fillId="0" borderId="32" xfId="1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8" fillId="2" borderId="17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center" vertical="top" wrapText="1"/>
    </xf>
    <xf numFmtId="43" fontId="8" fillId="2" borderId="2" xfId="10" applyFont="1" applyFill="1" applyBorder="1" applyAlignment="1">
      <alignment horizontal="center" vertical="top" wrapText="1"/>
    </xf>
    <xf numFmtId="43" fontId="8" fillId="2" borderId="2" xfId="10" quotePrefix="1" applyFont="1" applyFill="1" applyBorder="1"/>
    <xf numFmtId="0" fontId="17" fillId="2" borderId="0" xfId="0" applyFont="1" applyFill="1"/>
    <xf numFmtId="44" fontId="8" fillId="0" borderId="14" xfId="0" applyNumberFormat="1" applyFont="1" applyBorder="1" applyAlignment="1">
      <alignment horizontal="center" vertical="center"/>
    </xf>
    <xf numFmtId="0" fontId="8" fillId="0" borderId="42" xfId="0" quotePrefix="1" applyFont="1" applyBorder="1" applyAlignment="1">
      <alignment vertical="top"/>
    </xf>
    <xf numFmtId="0" fontId="8" fillId="0" borderId="0" xfId="0" applyFont="1" applyAlignment="1">
      <alignment horizontal="center" vertical="top" wrapText="1"/>
    </xf>
    <xf numFmtId="43" fontId="8" fillId="0" borderId="0" xfId="10" applyFont="1" applyFill="1" applyBorder="1" applyAlignment="1">
      <alignment horizontal="center" vertical="top" wrapText="1"/>
    </xf>
    <xf numFmtId="9" fontId="8" fillId="0" borderId="0" xfId="10" applyNumberFormat="1" applyFont="1" applyFill="1" applyBorder="1" applyAlignment="1">
      <alignment horizontal="center" vertical="top" wrapText="1"/>
    </xf>
    <xf numFmtId="43" fontId="8" fillId="2" borderId="46" xfId="10" applyFont="1" applyFill="1" applyBorder="1" applyAlignment="1">
      <alignment horizontal="center" vertical="center"/>
    </xf>
    <xf numFmtId="43" fontId="8" fillId="2" borderId="44" xfId="10" applyFont="1" applyFill="1" applyBorder="1" applyAlignment="1">
      <alignment horizontal="center" vertical="center"/>
    </xf>
    <xf numFmtId="43" fontId="8" fillId="2" borderId="40" xfId="10" applyFont="1" applyFill="1" applyBorder="1" applyAlignment="1">
      <alignment horizontal="center" vertical="center"/>
    </xf>
    <xf numFmtId="43" fontId="8" fillId="2" borderId="56" xfId="10" applyFont="1" applyFill="1" applyBorder="1" applyAlignment="1">
      <alignment horizontal="center" vertical="center"/>
    </xf>
    <xf numFmtId="43" fontId="8" fillId="2" borderId="41" xfId="10" applyFont="1" applyFill="1" applyBorder="1" applyAlignment="1">
      <alignment horizontal="center" vertical="center"/>
    </xf>
    <xf numFmtId="43" fontId="8" fillId="2" borderId="4" xfId="10" applyFont="1" applyFill="1" applyBorder="1" applyAlignment="1">
      <alignment horizontal="center" vertical="center"/>
    </xf>
    <xf numFmtId="43" fontId="8" fillId="2" borderId="57" xfId="10" applyFont="1" applyFill="1" applyBorder="1" applyAlignment="1">
      <alignment horizontal="center" vertical="center"/>
    </xf>
    <xf numFmtId="43" fontId="8" fillId="2" borderId="20" xfId="10" applyFont="1" applyFill="1" applyBorder="1" applyAlignment="1">
      <alignment horizontal="center" vertical="center"/>
    </xf>
    <xf numFmtId="0" fontId="13" fillId="0" borderId="8" xfId="0" applyFont="1" applyBorder="1" applyAlignment="1">
      <alignment horizontal="left" vertical="center"/>
    </xf>
    <xf numFmtId="167" fontId="8" fillId="0" borderId="8" xfId="3" applyNumberFormat="1" applyFont="1" applyBorder="1" applyAlignment="1" applyProtection="1">
      <alignment horizontal="center" vertical="center"/>
      <protection locked="0"/>
    </xf>
    <xf numFmtId="0" fontId="8" fillId="0" borderId="30" xfId="0" applyFont="1" applyBorder="1" applyAlignment="1">
      <alignment horizontal="center" vertical="center"/>
    </xf>
    <xf numFmtId="168" fontId="8" fillId="0" borderId="8" xfId="0" applyNumberFormat="1" applyFont="1" applyBorder="1" applyAlignment="1">
      <alignment horizontal="right" vertical="top"/>
    </xf>
    <xf numFmtId="0" fontId="8" fillId="0" borderId="3" xfId="0" applyFont="1" applyBorder="1" applyAlignment="1">
      <alignment horizontal="center" vertical="top" wrapText="1"/>
    </xf>
    <xf numFmtId="0" fontId="8" fillId="0" borderId="34" xfId="0" applyFont="1" applyBorder="1" applyAlignment="1">
      <alignment horizontal="center" vertical="center"/>
    </xf>
    <xf numFmtId="44" fontId="8" fillId="0" borderId="40" xfId="2" applyFont="1" applyFill="1" applyBorder="1" applyAlignment="1">
      <alignment horizontal="center" vertical="center"/>
    </xf>
    <xf numFmtId="43" fontId="8" fillId="0" borderId="0" xfId="10" applyFont="1" applyFill="1" applyBorder="1" applyAlignment="1">
      <alignment horizontal="right" vertical="center"/>
    </xf>
    <xf numFmtId="0" fontId="8" fillId="0" borderId="0" xfId="0" applyFont="1" applyAlignment="1">
      <alignment horizontal="center"/>
    </xf>
    <xf numFmtId="43" fontId="14" fillId="0" borderId="0" xfId="10" applyFont="1" applyFill="1" applyAlignment="1">
      <alignment horizontal="center"/>
    </xf>
    <xf numFmtId="0" fontId="11" fillId="0" borderId="0" xfId="10" applyNumberFormat="1" applyFont="1" applyFill="1" applyAlignment="1">
      <alignment horizontal="center"/>
    </xf>
    <xf numFmtId="169" fontId="8" fillId="2" borderId="1" xfId="10" applyNumberFormat="1" applyFont="1" applyFill="1" applyBorder="1" applyAlignment="1">
      <alignment horizontal="center" vertical="center"/>
    </xf>
    <xf numFmtId="169" fontId="8" fillId="2" borderId="8" xfId="10" applyNumberFormat="1" applyFont="1" applyFill="1" applyBorder="1" applyAlignment="1">
      <alignment horizontal="center" vertical="center"/>
    </xf>
    <xf numFmtId="169" fontId="8" fillId="2" borderId="0" xfId="10" applyNumberFormat="1" applyFont="1" applyFill="1" applyAlignment="1">
      <alignment horizontal="center" vertical="center"/>
    </xf>
    <xf numFmtId="43" fontId="8" fillId="2" borderId="0" xfId="0" applyNumberFormat="1" applyFont="1" applyFill="1"/>
    <xf numFmtId="169" fontId="8" fillId="2" borderId="2" xfId="10" applyNumberFormat="1" applyFont="1" applyFill="1" applyBorder="1" applyAlignment="1">
      <alignment horizontal="center" vertical="center"/>
    </xf>
    <xf numFmtId="169" fontId="8" fillId="0" borderId="0" xfId="10" applyNumberFormat="1" applyFont="1" applyFill="1"/>
    <xf numFmtId="169" fontId="8" fillId="2" borderId="3" xfId="10" applyNumberFormat="1" applyFont="1" applyFill="1" applyBorder="1" applyAlignment="1">
      <alignment horizontal="center" vertical="center"/>
    </xf>
    <xf numFmtId="169" fontId="8" fillId="0" borderId="0" xfId="10" applyNumberFormat="1" applyFont="1" applyFill="1" applyAlignment="1">
      <alignment horizontal="center" vertical="center"/>
    </xf>
    <xf numFmtId="169" fontId="8" fillId="0" borderId="1" xfId="10" applyNumberFormat="1" applyFont="1" applyFill="1" applyBorder="1" applyAlignment="1">
      <alignment horizontal="center" vertical="center"/>
    </xf>
    <xf numFmtId="169" fontId="8" fillId="0" borderId="8" xfId="10" applyNumberFormat="1" applyFont="1" applyFill="1" applyBorder="1" applyAlignment="1">
      <alignment horizontal="center" vertical="center"/>
    </xf>
    <xf numFmtId="0" fontId="8" fillId="0" borderId="3" xfId="0" quotePrefix="1" applyFont="1" applyBorder="1" applyAlignment="1">
      <alignment vertical="top"/>
    </xf>
    <xf numFmtId="169" fontId="8" fillId="0" borderId="8" xfId="10" quotePrefix="1" applyNumberFormat="1" applyFont="1" applyFill="1" applyBorder="1"/>
    <xf numFmtId="169" fontId="8" fillId="0" borderId="2" xfId="10" applyNumberFormat="1" applyFont="1" applyFill="1" applyBorder="1" applyAlignment="1">
      <alignment horizontal="center" vertical="center"/>
    </xf>
    <xf numFmtId="44" fontId="8" fillId="2" borderId="12" xfId="8" applyFont="1" applyFill="1" applyBorder="1" applyAlignment="1">
      <alignment horizontal="center" vertical="center"/>
    </xf>
    <xf numFmtId="169" fontId="8" fillId="0" borderId="0" xfId="10" applyNumberFormat="1" applyFont="1"/>
    <xf numFmtId="0" fontId="8" fillId="3" borderId="0" xfId="0" applyFont="1" applyFill="1"/>
    <xf numFmtId="43" fontId="8" fillId="0" borderId="9" xfId="10" applyFont="1" applyFill="1" applyBorder="1" applyAlignment="1">
      <alignment horizontal="center" vertical="center"/>
    </xf>
    <xf numFmtId="169" fontId="8" fillId="0" borderId="3" xfId="10" applyNumberFormat="1" applyFont="1" applyFill="1" applyBorder="1" applyAlignment="1">
      <alignment horizontal="center" vertical="center"/>
    </xf>
    <xf numFmtId="43" fontId="8" fillId="2" borderId="9" xfId="10" applyFont="1" applyFill="1" applyBorder="1" applyAlignment="1">
      <alignment horizontal="center" vertical="center"/>
    </xf>
    <xf numFmtId="43" fontId="8" fillId="2" borderId="0" xfId="10" applyFont="1" applyFill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44" fontId="8" fillId="0" borderId="41" xfId="2" applyFont="1" applyFill="1" applyBorder="1" applyAlignment="1">
      <alignment horizontal="center" vertical="center"/>
    </xf>
    <xf numFmtId="0" fontId="13" fillId="0" borderId="9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43" fontId="13" fillId="0" borderId="1" xfId="10" applyFont="1" applyFill="1" applyBorder="1" applyAlignment="1">
      <alignment horizontal="center" vertical="center"/>
    </xf>
    <xf numFmtId="169" fontId="13" fillId="0" borderId="1" xfId="10" applyNumberFormat="1" applyFont="1" applyFill="1" applyBorder="1" applyAlignment="1">
      <alignment horizontal="center" vertical="center"/>
    </xf>
    <xf numFmtId="43" fontId="13" fillId="0" borderId="12" xfId="10" applyFont="1" applyFill="1" applyBorder="1" applyAlignment="1">
      <alignment horizontal="right" vertical="center"/>
    </xf>
    <xf numFmtId="0" fontId="13" fillId="0" borderId="10" xfId="0" applyFont="1" applyBorder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43" fontId="13" fillId="0" borderId="8" xfId="10" applyFont="1" applyFill="1" applyBorder="1" applyAlignment="1">
      <alignment horizontal="center" vertical="center"/>
    </xf>
    <xf numFmtId="169" fontId="13" fillId="0" borderId="8" xfId="10" applyNumberFormat="1" applyFont="1" applyFill="1" applyBorder="1" applyAlignment="1">
      <alignment horizontal="center" vertical="center"/>
    </xf>
    <xf numFmtId="43" fontId="13" fillId="0" borderId="16" xfId="10" applyFont="1" applyFill="1" applyBorder="1" applyAlignment="1">
      <alignment horizontal="right" vertical="center"/>
    </xf>
    <xf numFmtId="0" fontId="13" fillId="0" borderId="11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43" fontId="13" fillId="0" borderId="2" xfId="10" applyFont="1" applyFill="1" applyBorder="1" applyAlignment="1">
      <alignment horizontal="center" vertical="center"/>
    </xf>
    <xf numFmtId="169" fontId="13" fillId="0" borderId="2" xfId="10" applyNumberFormat="1" applyFont="1" applyFill="1" applyBorder="1" applyAlignment="1">
      <alignment horizontal="center" vertical="center"/>
    </xf>
    <xf numFmtId="43" fontId="13" fillId="0" borderId="4" xfId="10" applyFont="1" applyFill="1" applyBorder="1" applyAlignment="1">
      <alignment horizontal="right" vertical="center"/>
    </xf>
    <xf numFmtId="169" fontId="8" fillId="2" borderId="0" xfId="10" applyNumberFormat="1" applyFont="1" applyFill="1" applyBorder="1" applyAlignment="1">
      <alignment horizontal="center" vertical="center"/>
    </xf>
    <xf numFmtId="44" fontId="8" fillId="2" borderId="41" xfId="2" applyFont="1" applyFill="1" applyBorder="1" applyAlignment="1">
      <alignment horizontal="center" vertical="center"/>
    </xf>
    <xf numFmtId="44" fontId="8" fillId="2" borderId="44" xfId="2" applyFont="1" applyFill="1" applyBorder="1" applyAlignment="1">
      <alignment horizontal="center" vertical="center"/>
    </xf>
    <xf numFmtId="0" fontId="18" fillId="2" borderId="8" xfId="0" quotePrefix="1" applyFont="1" applyFill="1" applyBorder="1" applyAlignment="1">
      <alignment horizontal="center" vertical="top"/>
    </xf>
    <xf numFmtId="169" fontId="8" fillId="2" borderId="18" xfId="10" applyNumberFormat="1" applyFont="1" applyFill="1" applyBorder="1" applyAlignment="1">
      <alignment horizontal="center" vertical="center"/>
    </xf>
    <xf numFmtId="44" fontId="8" fillId="2" borderId="0" xfId="0" applyNumberFormat="1" applyFont="1" applyFill="1" applyAlignment="1">
      <alignment horizontal="center" vertical="center"/>
    </xf>
    <xf numFmtId="44" fontId="8" fillId="2" borderId="0" xfId="8" applyFont="1" applyFill="1" applyBorder="1" applyAlignment="1">
      <alignment horizontal="center" vertical="center"/>
    </xf>
    <xf numFmtId="9" fontId="8" fillId="2" borderId="0" xfId="0" applyNumberFormat="1" applyFont="1" applyFill="1" applyAlignment="1">
      <alignment horizontal="center" vertical="center"/>
    </xf>
    <xf numFmtId="169" fontId="8" fillId="0" borderId="0" xfId="10" applyNumberFormat="1" applyFont="1" applyFill="1" applyBorder="1" applyAlignment="1">
      <alignment horizontal="center" vertical="center"/>
    </xf>
    <xf numFmtId="0" fontId="8" fillId="0" borderId="18" xfId="0" quotePrefix="1" applyFont="1" applyBorder="1" applyAlignment="1">
      <alignment horizontal="left" vertical="top"/>
    </xf>
    <xf numFmtId="43" fontId="8" fillId="0" borderId="17" xfId="10" applyFont="1" applyFill="1" applyBorder="1" applyAlignment="1">
      <alignment horizontal="center" vertical="center"/>
    </xf>
    <xf numFmtId="43" fontId="8" fillId="0" borderId="45" xfId="10" applyFont="1" applyFill="1" applyBorder="1" applyAlignment="1">
      <alignment horizontal="center" vertical="center"/>
    </xf>
    <xf numFmtId="169" fontId="8" fillId="0" borderId="18" xfId="10" applyNumberFormat="1" applyFont="1" applyFill="1" applyBorder="1" applyAlignment="1">
      <alignment horizontal="center" vertical="center"/>
    </xf>
    <xf numFmtId="43" fontId="8" fillId="0" borderId="23" xfId="10" applyFont="1" applyFill="1" applyBorder="1" applyAlignment="1">
      <alignment horizontal="right" vertical="center"/>
    </xf>
    <xf numFmtId="44" fontId="8" fillId="0" borderId="0" xfId="2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right" vertical="center"/>
    </xf>
    <xf numFmtId="0" fontId="9" fillId="0" borderId="0" xfId="8" applyNumberFormat="1" applyFont="1" applyFill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43" fontId="9" fillId="0" borderId="1" xfId="10" applyFont="1" applyFill="1" applyBorder="1" applyAlignment="1">
      <alignment horizontal="center" vertical="center"/>
    </xf>
    <xf numFmtId="44" fontId="9" fillId="0" borderId="12" xfId="8" applyFont="1" applyFill="1" applyBorder="1" applyAlignment="1">
      <alignment horizontal="center" vertical="center"/>
    </xf>
    <xf numFmtId="0" fontId="9" fillId="0" borderId="8" xfId="0" applyFont="1" applyBorder="1" applyAlignment="1">
      <alignment horizontal="right" vertical="center"/>
    </xf>
    <xf numFmtId="43" fontId="9" fillId="0" borderId="8" xfId="10" applyFont="1" applyFill="1" applyBorder="1" applyAlignment="1">
      <alignment horizontal="center" vertical="center"/>
    </xf>
    <xf numFmtId="44" fontId="9" fillId="0" borderId="16" xfId="8" applyFont="1" applyFill="1" applyBorder="1" applyAlignment="1">
      <alignment horizontal="center" vertical="center"/>
    </xf>
    <xf numFmtId="0" fontId="9" fillId="0" borderId="11" xfId="0" applyFont="1" applyBorder="1"/>
    <xf numFmtId="0" fontId="9" fillId="0" borderId="2" xfId="0" applyFont="1" applyBorder="1" applyAlignment="1">
      <alignment horizontal="right" vertical="center"/>
    </xf>
    <xf numFmtId="43" fontId="9" fillId="0" borderId="2" xfId="10" applyFont="1" applyFill="1" applyBorder="1" applyAlignment="1">
      <alignment horizontal="center" vertical="center"/>
    </xf>
    <xf numFmtId="44" fontId="9" fillId="0" borderId="4" xfId="8" applyFont="1" applyFill="1" applyBorder="1" applyAlignment="1">
      <alignment horizontal="center" vertical="center"/>
    </xf>
    <xf numFmtId="43" fontId="9" fillId="0" borderId="0" xfId="10" applyFont="1" applyFill="1" applyBorder="1" applyAlignment="1">
      <alignment horizontal="center" vertical="center"/>
    </xf>
    <xf numFmtId="44" fontId="9" fillId="0" borderId="0" xfId="8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0" xfId="0" quotePrefix="1" applyFont="1" applyBorder="1" applyAlignment="1">
      <alignment horizontal="left" vertical="top"/>
    </xf>
    <xf numFmtId="0" fontId="9" fillId="0" borderId="8" xfId="0" applyFont="1" applyBorder="1" applyAlignment="1">
      <alignment horizontal="center" vertical="top" wrapText="1"/>
    </xf>
    <xf numFmtId="43" fontId="9" fillId="0" borderId="8" xfId="10" applyFont="1" applyBorder="1" applyAlignment="1">
      <alignment horizontal="right" vertical="top"/>
    </xf>
    <xf numFmtId="0" fontId="9" fillId="0" borderId="10" xfId="0" applyFont="1" applyBorder="1" applyAlignment="1">
      <alignment horizontal="left" vertical="top"/>
    </xf>
    <xf numFmtId="0" fontId="9" fillId="0" borderId="17" xfId="0" quotePrefix="1" applyFont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44" fontId="9" fillId="2" borderId="12" xfId="8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43" fontId="9" fillId="0" borderId="16" xfId="10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right"/>
    </xf>
    <xf numFmtId="43" fontId="9" fillId="0" borderId="0" xfId="10" applyFont="1" applyFill="1" applyBorder="1"/>
    <xf numFmtId="44" fontId="9" fillId="0" borderId="0" xfId="8" applyFont="1" applyFill="1" applyBorder="1"/>
    <xf numFmtId="44" fontId="9" fillId="0" borderId="2" xfId="8" applyFont="1" applyFill="1" applyBorder="1" applyAlignment="1">
      <alignment horizontal="center" vertical="center"/>
    </xf>
    <xf numFmtId="44" fontId="9" fillId="0" borderId="0" xfId="8" applyFont="1" applyFill="1" applyAlignment="1">
      <alignment horizontal="center" vertical="center"/>
    </xf>
    <xf numFmtId="0" fontId="9" fillId="0" borderId="2" xfId="0" applyFont="1" applyBorder="1"/>
    <xf numFmtId="0" fontId="9" fillId="0" borderId="2" xfId="0" applyFont="1" applyBorder="1" applyAlignment="1">
      <alignment horizontal="right"/>
    </xf>
    <xf numFmtId="43" fontId="9" fillId="0" borderId="2" xfId="10" applyFont="1" applyFill="1" applyBorder="1"/>
    <xf numFmtId="44" fontId="9" fillId="0" borderId="4" xfId="8" applyFont="1" applyFill="1" applyBorder="1"/>
    <xf numFmtId="43" fontId="9" fillId="0" borderId="8" xfId="10" applyFont="1" applyFill="1" applyBorder="1" applyAlignment="1">
      <alignment horizontal="right" vertical="top"/>
    </xf>
    <xf numFmtId="167" fontId="9" fillId="0" borderId="8" xfId="3" applyNumberFormat="1" applyFont="1" applyBorder="1" applyAlignment="1" applyProtection="1">
      <alignment horizontal="center" vertical="center"/>
      <protection locked="0"/>
    </xf>
    <xf numFmtId="170" fontId="9" fillId="0" borderId="8" xfId="10" applyNumberFormat="1" applyFont="1" applyFill="1" applyBorder="1" applyAlignment="1">
      <alignment horizontal="right" vertical="center"/>
    </xf>
    <xf numFmtId="170" fontId="9" fillId="0" borderId="8" xfId="10" applyNumberFormat="1" applyFont="1" applyFill="1" applyBorder="1" applyAlignment="1">
      <alignment horizontal="center" vertical="center"/>
    </xf>
    <xf numFmtId="170" fontId="9" fillId="0" borderId="2" xfId="10" applyNumberFormat="1" applyFont="1" applyFill="1" applyBorder="1" applyAlignment="1">
      <alignment horizontal="right" vertical="center"/>
    </xf>
    <xf numFmtId="170" fontId="9" fillId="0" borderId="2" xfId="10" applyNumberFormat="1" applyFont="1" applyFill="1" applyBorder="1" applyAlignment="1">
      <alignment horizontal="center" vertical="center"/>
    </xf>
    <xf numFmtId="170" fontId="9" fillId="0" borderId="1" xfId="10" applyNumberFormat="1" applyFont="1" applyFill="1" applyBorder="1" applyAlignment="1">
      <alignment horizontal="right" vertical="center"/>
    </xf>
    <xf numFmtId="170" fontId="9" fillId="0" borderId="1" xfId="10" applyNumberFormat="1" applyFont="1" applyFill="1" applyBorder="1" applyAlignment="1">
      <alignment horizontal="center" vertical="center"/>
    </xf>
    <xf numFmtId="170" fontId="9" fillId="0" borderId="8" xfId="10" applyNumberFormat="1" applyFont="1" applyFill="1" applyBorder="1" applyAlignment="1">
      <alignment horizontal="right" vertical="top" wrapText="1"/>
    </xf>
    <xf numFmtId="170" fontId="9" fillId="0" borderId="8" xfId="10" quotePrefix="1" applyNumberFormat="1" applyFont="1" applyFill="1" applyBorder="1"/>
    <xf numFmtId="0" fontId="8" fillId="0" borderId="53" xfId="0" applyFont="1" applyBorder="1" applyAlignment="1">
      <alignment horizontal="left" vertical="top"/>
    </xf>
    <xf numFmtId="43" fontId="9" fillId="0" borderId="8" xfId="10" applyFont="1" applyFill="1" applyBorder="1" applyAlignment="1">
      <alignment horizontal="right" vertical="top" wrapText="1"/>
    </xf>
    <xf numFmtId="0" fontId="9" fillId="0" borderId="52" xfId="0" applyFont="1" applyBorder="1"/>
    <xf numFmtId="43" fontId="9" fillId="0" borderId="8" xfId="10" quotePrefix="1" applyFont="1" applyFill="1" applyBorder="1"/>
    <xf numFmtId="0" fontId="9" fillId="0" borderId="15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right" vertical="center"/>
    </xf>
    <xf numFmtId="43" fontId="9" fillId="0" borderId="3" xfId="10" applyFont="1" applyFill="1" applyBorder="1" applyAlignment="1">
      <alignment horizontal="center" vertical="center"/>
    </xf>
    <xf numFmtId="44" fontId="9" fillId="2" borderId="22" xfId="8" applyFont="1" applyFill="1" applyBorder="1" applyAlignment="1">
      <alignment horizontal="center" vertical="center"/>
    </xf>
    <xf numFmtId="43" fontId="9" fillId="0" borderId="0" xfId="10" applyFont="1" applyFill="1"/>
    <xf numFmtId="44" fontId="9" fillId="0" borderId="0" xfId="8" applyFont="1" applyFill="1"/>
    <xf numFmtId="0" fontId="8" fillId="0" borderId="8" xfId="0" quotePrefix="1" applyFont="1" applyBorder="1" applyAlignment="1">
      <alignment horizontal="center" vertical="top"/>
    </xf>
    <xf numFmtId="9" fontId="8" fillId="0" borderId="2" xfId="10" applyNumberFormat="1" applyFont="1" applyFill="1" applyBorder="1" applyAlignment="1">
      <alignment horizontal="center" vertical="top" wrapText="1"/>
    </xf>
    <xf numFmtId="43" fontId="12" fillId="0" borderId="0" xfId="0" applyNumberFormat="1" applyFont="1"/>
    <xf numFmtId="0" fontId="20" fillId="0" borderId="8" xfId="0" applyFont="1" applyBorder="1" applyAlignment="1">
      <alignment horizontal="left" vertical="center"/>
    </xf>
    <xf numFmtId="0" fontId="20" fillId="0" borderId="8" xfId="0" applyFont="1" applyBorder="1" applyAlignment="1">
      <alignment horizontal="center" vertical="center"/>
    </xf>
    <xf numFmtId="43" fontId="20" fillId="0" borderId="8" xfId="1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left" vertical="center"/>
    </xf>
    <xf numFmtId="0" fontId="20" fillId="2" borderId="8" xfId="0" applyFont="1" applyFill="1" applyBorder="1" applyAlignment="1">
      <alignment horizontal="center" vertical="center"/>
    </xf>
    <xf numFmtId="43" fontId="8" fillId="2" borderId="8" xfId="10" quotePrefix="1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center" vertical="center"/>
    </xf>
    <xf numFmtId="43" fontId="20" fillId="0" borderId="2" xfId="10" applyFont="1" applyBorder="1" applyAlignment="1">
      <alignment horizontal="center" vertical="center"/>
    </xf>
    <xf numFmtId="0" fontId="20" fillId="2" borderId="8" xfId="0" applyFont="1" applyFill="1" applyBorder="1" applyAlignment="1">
      <alignment vertical="center"/>
    </xf>
    <xf numFmtId="43" fontId="20" fillId="2" borderId="8" xfId="10" applyFont="1" applyFill="1" applyBorder="1" applyAlignment="1">
      <alignment horizontal="center" vertical="center"/>
    </xf>
    <xf numFmtId="171" fontId="20" fillId="2" borderId="8" xfId="10" applyNumberFormat="1" applyFont="1" applyFill="1" applyBorder="1" applyAlignment="1">
      <alignment horizontal="center" vertical="center"/>
    </xf>
    <xf numFmtId="43" fontId="20" fillId="0" borderId="8" xfId="10" applyFont="1" applyBorder="1" applyAlignment="1">
      <alignment horizontal="center" vertical="center"/>
    </xf>
    <xf numFmtId="0" fontId="8" fillId="0" borderId="45" xfId="0" quotePrefix="1" applyFont="1" applyBorder="1" applyAlignment="1">
      <alignment horizontal="left" vertical="top"/>
    </xf>
    <xf numFmtId="43" fontId="8" fillId="0" borderId="18" xfId="10" applyFont="1" applyFill="1" applyBorder="1" applyAlignment="1">
      <alignment horizontal="center" vertical="top" wrapText="1"/>
    </xf>
    <xf numFmtId="9" fontId="8" fillId="0" borderId="18" xfId="10" applyNumberFormat="1" applyFont="1" applyFill="1" applyBorder="1" applyAlignment="1">
      <alignment horizontal="center" vertical="top" wrapText="1"/>
    </xf>
    <xf numFmtId="43" fontId="8" fillId="0" borderId="18" xfId="10" quotePrefix="1" applyFont="1" applyFill="1" applyBorder="1"/>
    <xf numFmtId="43" fontId="8" fillId="0" borderId="14" xfId="10" applyFont="1" applyFill="1" applyBorder="1" applyAlignment="1">
      <alignment horizontal="center" vertical="top" wrapText="1"/>
    </xf>
    <xf numFmtId="43" fontId="8" fillId="0" borderId="14" xfId="10" applyFont="1" applyFill="1" applyBorder="1" applyAlignment="1">
      <alignment horizontal="right" vertical="center"/>
    </xf>
    <xf numFmtId="0" fontId="8" fillId="2" borderId="45" xfId="0" applyFont="1" applyFill="1" applyBorder="1" applyAlignment="1">
      <alignment horizontal="left" vertical="top"/>
    </xf>
    <xf numFmtId="0" fontId="20" fillId="0" borderId="8" xfId="0" applyFont="1" applyBorder="1" applyAlignment="1">
      <alignment vertical="center"/>
    </xf>
    <xf numFmtId="0" fontId="20" fillId="2" borderId="3" xfId="0" applyFont="1" applyFill="1" applyBorder="1" applyAlignment="1">
      <alignment horizontal="left" vertical="center"/>
    </xf>
    <xf numFmtId="0" fontId="20" fillId="2" borderId="3" xfId="0" applyFont="1" applyFill="1" applyBorder="1" applyAlignment="1">
      <alignment horizontal="center" vertical="center"/>
    </xf>
    <xf numFmtId="43" fontId="20" fillId="2" borderId="3" xfId="1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43" fontId="20" fillId="0" borderId="3" xfId="10" applyFont="1" applyFill="1" applyBorder="1" applyAlignment="1">
      <alignment horizontal="center" vertical="center"/>
    </xf>
    <xf numFmtId="171" fontId="20" fillId="0" borderId="8" xfId="10" applyNumberFormat="1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left" vertical="center"/>
    </xf>
    <xf numFmtId="0" fontId="20" fillId="2" borderId="2" xfId="0" applyFont="1" applyFill="1" applyBorder="1" applyAlignment="1">
      <alignment horizontal="center" vertical="center"/>
    </xf>
    <xf numFmtId="43" fontId="20" fillId="2" borderId="2" xfId="10" applyFont="1" applyFill="1" applyBorder="1" applyAlignment="1">
      <alignment horizontal="center" vertical="center"/>
    </xf>
    <xf numFmtId="43" fontId="20" fillId="0" borderId="2" xfId="10" applyFont="1" applyFill="1" applyBorder="1" applyAlignment="1">
      <alignment horizontal="center" vertical="center"/>
    </xf>
    <xf numFmtId="43" fontId="20" fillId="2" borderId="24" xfId="1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1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43" fontId="8" fillId="2" borderId="24" xfId="10" applyFont="1" applyFill="1" applyBorder="1" applyAlignment="1">
      <alignment horizontal="right" vertical="center"/>
    </xf>
    <xf numFmtId="0" fontId="8" fillId="0" borderId="8" xfId="10" applyNumberFormat="1" applyFont="1" applyFill="1" applyBorder="1" applyAlignment="1">
      <alignment horizontal="right" vertical="top" wrapText="1"/>
    </xf>
    <xf numFmtId="0" fontId="23" fillId="0" borderId="8" xfId="0" applyFont="1" applyBorder="1" applyAlignment="1">
      <alignment horizontal="center" vertical="center"/>
    </xf>
    <xf numFmtId="43" fontId="23" fillId="0" borderId="8" xfId="10" applyFont="1" applyFill="1" applyBorder="1" applyAlignment="1">
      <alignment horizontal="center" vertical="center"/>
    </xf>
    <xf numFmtId="0" fontId="23" fillId="0" borderId="8" xfId="0" applyFont="1" applyBorder="1" applyAlignment="1">
      <alignment horizontal="left" vertical="center"/>
    </xf>
    <xf numFmtId="0" fontId="23" fillId="2" borderId="8" xfId="0" applyFont="1" applyFill="1" applyBorder="1" applyAlignment="1">
      <alignment horizontal="left" vertical="center"/>
    </xf>
    <xf numFmtId="0" fontId="23" fillId="2" borderId="8" xfId="0" applyFont="1" applyFill="1" applyBorder="1" applyAlignment="1">
      <alignment horizontal="center" vertical="center"/>
    </xf>
    <xf numFmtId="43" fontId="23" fillId="2" borderId="8" xfId="10" applyFont="1" applyFill="1" applyBorder="1" applyAlignment="1">
      <alignment horizontal="center" vertical="center"/>
    </xf>
    <xf numFmtId="171" fontId="20" fillId="0" borderId="8" xfId="10" applyNumberFormat="1" applyFont="1" applyBorder="1" applyAlignment="1">
      <alignment horizontal="center" vertical="center"/>
    </xf>
    <xf numFmtId="43" fontId="8" fillId="2" borderId="45" xfId="10" applyFont="1" applyFill="1" applyBorder="1" applyAlignment="1">
      <alignment horizontal="center" vertical="top" wrapText="1"/>
    </xf>
    <xf numFmtId="0" fontId="25" fillId="2" borderId="8" xfId="0" applyFont="1" applyFill="1" applyBorder="1" applyAlignment="1">
      <alignment horizontal="left" vertical="center"/>
    </xf>
    <xf numFmtId="0" fontId="25" fillId="2" borderId="8" xfId="0" applyFont="1" applyFill="1" applyBorder="1" applyAlignment="1">
      <alignment horizontal="center" vertical="center"/>
    </xf>
    <xf numFmtId="43" fontId="25" fillId="2" borderId="8" xfId="10" applyFont="1" applyFill="1" applyBorder="1" applyAlignment="1">
      <alignment horizontal="center" vertical="center"/>
    </xf>
    <xf numFmtId="170" fontId="25" fillId="2" borderId="8" xfId="10" applyNumberFormat="1" applyFont="1" applyFill="1" applyBorder="1" applyAlignment="1">
      <alignment horizontal="center" vertical="center"/>
    </xf>
    <xf numFmtId="171" fontId="25" fillId="2" borderId="8" xfId="10" applyNumberFormat="1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vertical="center"/>
    </xf>
    <xf numFmtId="0" fontId="25" fillId="2" borderId="2" xfId="0" applyFont="1" applyFill="1" applyBorder="1" applyAlignment="1">
      <alignment horizontal="center" vertical="center"/>
    </xf>
    <xf numFmtId="43" fontId="25" fillId="2" borderId="2" xfId="10" applyFont="1" applyFill="1" applyBorder="1" applyAlignment="1">
      <alignment horizontal="center" vertical="center"/>
    </xf>
    <xf numFmtId="43" fontId="9" fillId="0" borderId="18" xfId="10" applyFont="1" applyBorder="1" applyAlignment="1">
      <alignment horizontal="right" vertical="top"/>
    </xf>
    <xf numFmtId="44" fontId="9" fillId="0" borderId="23" xfId="8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left" vertical="center"/>
    </xf>
    <xf numFmtId="0" fontId="25" fillId="2" borderId="1" xfId="0" applyFont="1" applyFill="1" applyBorder="1" applyAlignment="1">
      <alignment horizontal="center" vertical="center"/>
    </xf>
    <xf numFmtId="43" fontId="25" fillId="2" borderId="1" xfId="1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left" vertical="center"/>
    </xf>
    <xf numFmtId="0" fontId="25" fillId="2" borderId="18" xfId="0" applyFont="1" applyFill="1" applyBorder="1" applyAlignment="1">
      <alignment horizontal="center" vertical="center"/>
    </xf>
    <xf numFmtId="43" fontId="25" fillId="2" borderId="18" xfId="1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left" vertical="center"/>
    </xf>
    <xf numFmtId="0" fontId="8" fillId="0" borderId="68" xfId="0" applyFont="1" applyBorder="1" applyAlignment="1">
      <alignment horizontal="left" vertical="top"/>
    </xf>
    <xf numFmtId="0" fontId="0" fillId="2" borderId="8" xfId="0" applyFill="1" applyBorder="1" applyAlignment="1">
      <alignment horizontal="center" vertical="center"/>
    </xf>
    <xf numFmtId="43" fontId="0" fillId="2" borderId="8" xfId="10" applyFont="1" applyFill="1" applyBorder="1" applyAlignment="1">
      <alignment horizontal="center" vertical="center"/>
    </xf>
    <xf numFmtId="43" fontId="0" fillId="2" borderId="8" xfId="10" applyFont="1" applyFill="1" applyBorder="1"/>
    <xf numFmtId="171" fontId="0" fillId="2" borderId="8" xfId="10" applyNumberFormat="1" applyFont="1" applyFill="1" applyBorder="1"/>
    <xf numFmtId="0" fontId="25" fillId="0" borderId="8" xfId="0" applyFont="1" applyBorder="1" applyAlignment="1">
      <alignment horizontal="left" vertical="center"/>
    </xf>
    <xf numFmtId="0" fontId="25" fillId="0" borderId="8" xfId="0" applyFont="1" applyBorder="1" applyAlignment="1">
      <alignment horizontal="center" vertical="center"/>
    </xf>
    <xf numFmtId="43" fontId="25" fillId="0" borderId="8" xfId="10" applyFont="1" applyFill="1" applyBorder="1" applyAlignment="1">
      <alignment horizontal="center" vertical="center"/>
    </xf>
    <xf numFmtId="171" fontId="25" fillId="0" borderId="8" xfId="10" applyNumberFormat="1" applyFont="1" applyFill="1" applyBorder="1" applyAlignment="1">
      <alignment horizontal="center" vertical="center"/>
    </xf>
    <xf numFmtId="168" fontId="8" fillId="0" borderId="18" xfId="0" applyNumberFormat="1" applyFont="1" applyBorder="1" applyAlignment="1">
      <alignment horizontal="right" vertical="top"/>
    </xf>
    <xf numFmtId="0" fontId="0" fillId="0" borderId="8" xfId="0" applyBorder="1" applyAlignment="1">
      <alignment horizontal="center" vertical="center"/>
    </xf>
    <xf numFmtId="43" fontId="0" fillId="0" borderId="8" xfId="10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43" fontId="0" fillId="2" borderId="18" xfId="10" applyFont="1" applyFill="1" applyBorder="1"/>
    <xf numFmtId="43" fontId="8" fillId="2" borderId="16" xfId="2" applyNumberFormat="1" applyFont="1" applyFill="1" applyBorder="1" applyAlignment="1">
      <alignment horizontal="right" vertical="center"/>
    </xf>
    <xf numFmtId="43" fontId="13" fillId="2" borderId="16" xfId="10" applyFont="1" applyFill="1" applyBorder="1" applyAlignment="1">
      <alignment horizontal="center" vertical="center"/>
    </xf>
    <xf numFmtId="43" fontId="8" fillId="8" borderId="3" xfId="10" applyFont="1" applyFill="1" applyBorder="1" applyAlignment="1">
      <alignment horizontal="center" vertical="top" wrapText="1"/>
    </xf>
    <xf numFmtId="43" fontId="8" fillId="8" borderId="8" xfId="10" quotePrefix="1" applyFont="1" applyFill="1" applyBorder="1"/>
    <xf numFmtId="0" fontId="8" fillId="0" borderId="42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43" fontId="8" fillId="0" borderId="14" xfId="10" applyFont="1" applyFill="1" applyBorder="1" applyAlignment="1">
      <alignment horizontal="center"/>
    </xf>
    <xf numFmtId="43" fontId="8" fillId="0" borderId="14" xfId="10" applyFont="1" applyFill="1" applyBorder="1" applyAlignment="1">
      <alignment horizontal="center" vertical="center"/>
    </xf>
    <xf numFmtId="43" fontId="8" fillId="0" borderId="58" xfId="10" applyFont="1" applyFill="1" applyBorder="1" applyAlignment="1">
      <alignment horizontal="right" vertical="center"/>
    </xf>
    <xf numFmtId="0" fontId="8" fillId="0" borderId="58" xfId="0" applyFont="1" applyBorder="1" applyAlignment="1">
      <alignment horizontal="center" vertical="center"/>
    </xf>
    <xf numFmtId="43" fontId="8" fillId="2" borderId="50" xfId="1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11" fillId="8" borderId="0" xfId="0" applyFont="1" applyFill="1"/>
    <xf numFmtId="9" fontId="8" fillId="8" borderId="16" xfId="6" applyFont="1" applyFill="1" applyBorder="1" applyAlignment="1">
      <alignment horizontal="right" vertical="center"/>
    </xf>
    <xf numFmtId="0" fontId="8" fillId="2" borderId="0" xfId="0" applyFont="1" applyFill="1" applyAlignment="1">
      <alignment horizontal="left" vertical="center"/>
    </xf>
    <xf numFmtId="0" fontId="8" fillId="2" borderId="27" xfId="0" applyFont="1" applyFill="1" applyBorder="1" applyAlignment="1">
      <alignment horizontal="center" vertical="center"/>
    </xf>
    <xf numFmtId="43" fontId="8" fillId="2" borderId="27" xfId="1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top"/>
    </xf>
    <xf numFmtId="0" fontId="8" fillId="2" borderId="10" xfId="0" quotePrefix="1" applyFont="1" applyFill="1" applyBorder="1" applyAlignment="1">
      <alignment horizontal="center" vertical="top"/>
    </xf>
    <xf numFmtId="44" fontId="8" fillId="2" borderId="3" xfId="2" applyFont="1" applyFill="1" applyBorder="1" applyAlignment="1">
      <alignment horizontal="center" vertical="center"/>
    </xf>
    <xf numFmtId="9" fontId="8" fillId="2" borderId="2" xfId="10" applyNumberFormat="1" applyFont="1" applyFill="1" applyBorder="1" applyAlignment="1">
      <alignment horizontal="center" vertical="top" wrapText="1"/>
    </xf>
    <xf numFmtId="0" fontId="8" fillId="2" borderId="20" xfId="0" applyFont="1" applyFill="1" applyBorder="1" applyAlignment="1">
      <alignment horizontal="left" vertical="top"/>
    </xf>
    <xf numFmtId="43" fontId="8" fillId="2" borderId="2" xfId="10" applyFont="1" applyFill="1" applyBorder="1"/>
    <xf numFmtId="0" fontId="8" fillId="2" borderId="11" xfId="0" applyFont="1" applyFill="1" applyBorder="1" applyAlignment="1">
      <alignment horizontal="center" vertical="top"/>
    </xf>
    <xf numFmtId="43" fontId="8" fillId="0" borderId="21" xfId="10" applyFont="1" applyFill="1" applyBorder="1" applyAlignment="1">
      <alignment horizontal="right" vertical="center"/>
    </xf>
    <xf numFmtId="0" fontId="8" fillId="2" borderId="2" xfId="0" quotePrefix="1" applyFont="1" applyFill="1" applyBorder="1" applyAlignment="1">
      <alignment vertical="top"/>
    </xf>
    <xf numFmtId="9" fontId="8" fillId="2" borderId="16" xfId="6" applyFont="1" applyFill="1" applyBorder="1" applyAlignment="1">
      <alignment horizontal="right" vertical="center"/>
    </xf>
    <xf numFmtId="9" fontId="8" fillId="8" borderId="16" xfId="9" applyFont="1" applyFill="1" applyBorder="1" applyAlignment="1">
      <alignment horizontal="right" vertical="center"/>
    </xf>
    <xf numFmtId="43" fontId="8" fillId="2" borderId="22" xfId="1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top"/>
    </xf>
    <xf numFmtId="44" fontId="8" fillId="2" borderId="36" xfId="2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0" borderId="2" xfId="0" quotePrefix="1" applyFont="1" applyBorder="1" applyAlignment="1">
      <alignment horizontal="left" vertical="top"/>
    </xf>
    <xf numFmtId="0" fontId="8" fillId="0" borderId="10" xfId="0" quotePrefix="1" applyFont="1" applyBorder="1" applyAlignment="1">
      <alignment horizontal="center" vertical="top"/>
    </xf>
    <xf numFmtId="0" fontId="15" fillId="0" borderId="0" xfId="0" applyFont="1"/>
    <xf numFmtId="0" fontId="15" fillId="0" borderId="0" xfId="0" applyFont="1" applyAlignment="1">
      <alignment vertical="center"/>
    </xf>
    <xf numFmtId="43" fontId="15" fillId="0" borderId="0" xfId="10" applyFont="1" applyFill="1" applyBorder="1" applyAlignment="1">
      <alignment horizontal="center" vertical="center"/>
    </xf>
    <xf numFmtId="43" fontId="15" fillId="0" borderId="0" xfId="10" applyFont="1" applyFill="1" applyAlignment="1">
      <alignment horizontal="center" vertical="center"/>
    </xf>
    <xf numFmtId="43" fontId="15" fillId="0" borderId="0" xfId="10" applyFont="1" applyFill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8" fillId="0" borderId="3" xfId="0" applyFont="1" applyBorder="1"/>
    <xf numFmtId="0" fontId="20" fillId="0" borderId="20" xfId="0" applyFont="1" applyBorder="1" applyAlignment="1">
      <alignment horizontal="left" vertical="center"/>
    </xf>
    <xf numFmtId="43" fontId="20" fillId="0" borderId="32" xfId="1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top"/>
    </xf>
    <xf numFmtId="9" fontId="8" fillId="8" borderId="8" xfId="10" applyNumberFormat="1" applyFont="1" applyFill="1" applyBorder="1" applyAlignment="1">
      <alignment horizontal="center" vertical="top" wrapText="1"/>
    </xf>
    <xf numFmtId="0" fontId="8" fillId="8" borderId="8" xfId="0" applyFont="1" applyFill="1" applyBorder="1" applyAlignment="1">
      <alignment horizontal="center" vertical="top" wrapText="1"/>
    </xf>
    <xf numFmtId="43" fontId="8" fillId="8" borderId="8" xfId="10" applyFont="1" applyFill="1" applyBorder="1" applyAlignment="1">
      <alignment horizontal="center" vertical="top" wrapText="1"/>
    </xf>
    <xf numFmtId="43" fontId="8" fillId="0" borderId="2" xfId="10" applyFont="1" applyFill="1" applyBorder="1" applyAlignment="1" applyProtection="1">
      <alignment horizontal="center" vertical="center"/>
      <protection locked="0"/>
    </xf>
    <xf numFmtId="0" fontId="8" fillId="2" borderId="8" xfId="0" quotePrefix="1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/>
    </xf>
    <xf numFmtId="43" fontId="9" fillId="2" borderId="16" xfId="10" applyFont="1" applyFill="1" applyBorder="1" applyAlignment="1">
      <alignment horizontal="center" vertical="center"/>
    </xf>
    <xf numFmtId="44" fontId="9" fillId="2" borderId="16" xfId="8" applyFont="1" applyFill="1" applyBorder="1" applyAlignment="1">
      <alignment horizontal="center" vertical="center"/>
    </xf>
    <xf numFmtId="44" fontId="9" fillId="2" borderId="4" xfId="8" applyFont="1" applyFill="1" applyBorder="1" applyAlignment="1">
      <alignment horizontal="center" vertical="center"/>
    </xf>
    <xf numFmtId="0" fontId="23" fillId="0" borderId="18" xfId="0" applyFont="1" applyBorder="1" applyAlignment="1">
      <alignment horizontal="left" vertical="center"/>
    </xf>
    <xf numFmtId="0" fontId="23" fillId="0" borderId="18" xfId="0" applyFont="1" applyBorder="1" applyAlignment="1">
      <alignment horizontal="center" vertical="center"/>
    </xf>
    <xf numFmtId="43" fontId="23" fillId="0" borderId="18" xfId="10" applyFont="1" applyFill="1" applyBorder="1" applyAlignment="1">
      <alignment horizontal="center" vertical="center"/>
    </xf>
    <xf numFmtId="0" fontId="23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center" vertical="center"/>
    </xf>
    <xf numFmtId="43" fontId="23" fillId="0" borderId="2" xfId="10" applyFont="1" applyFill="1" applyBorder="1" applyAlignment="1">
      <alignment horizontal="center" vertical="center"/>
    </xf>
    <xf numFmtId="168" fontId="8" fillId="0" borderId="2" xfId="0" applyNumberFormat="1" applyFont="1" applyBorder="1" applyAlignment="1">
      <alignment horizontal="right" vertical="top"/>
    </xf>
    <xf numFmtId="43" fontId="15" fillId="9" borderId="8" xfId="10" applyFont="1" applyFill="1" applyBorder="1" applyAlignment="1">
      <alignment horizontal="left" vertical="center"/>
    </xf>
    <xf numFmtId="0" fontId="15" fillId="9" borderId="8" xfId="0" applyFont="1" applyFill="1" applyBorder="1" applyAlignment="1">
      <alignment vertical="center"/>
    </xf>
    <xf numFmtId="0" fontId="8" fillId="9" borderId="8" xfId="0" applyFont="1" applyFill="1" applyBorder="1" applyAlignment="1">
      <alignment vertical="center"/>
    </xf>
    <xf numFmtId="43" fontId="8" fillId="9" borderId="8" xfId="10" applyFont="1" applyFill="1" applyBorder="1" applyAlignment="1">
      <alignment horizontal="center" vertical="center"/>
    </xf>
    <xf numFmtId="0" fontId="23" fillId="9" borderId="12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43" fontId="8" fillId="9" borderId="8" xfId="10" applyFont="1" applyFill="1" applyBorder="1" applyAlignment="1">
      <alignment horizontal="right" vertical="center"/>
    </xf>
    <xf numFmtId="44" fontId="8" fillId="9" borderId="8" xfId="0" applyNumberFormat="1" applyFont="1" applyFill="1" applyBorder="1" applyAlignment="1">
      <alignment horizontal="center" vertical="center"/>
    </xf>
    <xf numFmtId="9" fontId="8" fillId="9" borderId="8" xfId="0" applyNumberFormat="1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vertical="center"/>
    </xf>
    <xf numFmtId="43" fontId="8" fillId="9" borderId="1" xfId="10" applyFont="1" applyFill="1" applyBorder="1" applyAlignment="1">
      <alignment horizontal="center" vertical="center"/>
    </xf>
    <xf numFmtId="169" fontId="8" fillId="9" borderId="12" xfId="10" applyNumberFormat="1" applyFont="1" applyFill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/>
    </xf>
    <xf numFmtId="44" fontId="8" fillId="9" borderId="11" xfId="0" applyNumberFormat="1" applyFont="1" applyFill="1" applyBorder="1" applyAlignment="1">
      <alignment horizontal="center" vertical="center"/>
    </xf>
    <xf numFmtId="44" fontId="8" fillId="9" borderId="2" xfId="0" applyNumberFormat="1" applyFont="1" applyFill="1" applyBorder="1" applyAlignment="1">
      <alignment horizontal="center" vertical="center"/>
    </xf>
    <xf numFmtId="43" fontId="8" fillId="9" borderId="2" xfId="10" applyFont="1" applyFill="1" applyBorder="1" applyAlignment="1">
      <alignment horizontal="center" vertical="center"/>
    </xf>
    <xf numFmtId="43" fontId="8" fillId="9" borderId="2" xfId="10" applyFont="1" applyFill="1" applyBorder="1" applyAlignment="1">
      <alignment horizontal="right" vertical="center"/>
    </xf>
    <xf numFmtId="9" fontId="8" fillId="9" borderId="4" xfId="0" applyNumberFormat="1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vertical="center"/>
    </xf>
    <xf numFmtId="0" fontId="8" fillId="9" borderId="2" xfId="8" applyNumberFormat="1" applyFont="1" applyFill="1" applyBorder="1" applyAlignment="1">
      <alignment horizontal="center" vertical="center"/>
    </xf>
    <xf numFmtId="43" fontId="15" fillId="9" borderId="9" xfId="10" applyFont="1" applyFill="1" applyBorder="1" applyAlignment="1">
      <alignment horizontal="left" vertical="center"/>
    </xf>
    <xf numFmtId="0" fontId="15" fillId="9" borderId="1" xfId="0" applyFont="1" applyFill="1" applyBorder="1" applyAlignment="1">
      <alignment vertical="center"/>
    </xf>
    <xf numFmtId="0" fontId="20" fillId="9" borderId="2" xfId="0" applyFont="1" applyFill="1" applyBorder="1" applyAlignment="1">
      <alignment vertical="center"/>
    </xf>
    <xf numFmtId="0" fontId="8" fillId="9" borderId="1" xfId="0" applyFont="1" applyFill="1" applyBorder="1"/>
    <xf numFmtId="43" fontId="15" fillId="9" borderId="59" xfId="10" applyFont="1" applyFill="1" applyBorder="1" applyAlignment="1">
      <alignment vertical="center"/>
    </xf>
    <xf numFmtId="43" fontId="15" fillId="9" borderId="19" xfId="10" applyFont="1" applyFill="1" applyBorder="1" applyAlignment="1">
      <alignment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0" xfId="10" applyNumberFormat="1" applyFont="1" applyFill="1" applyBorder="1" applyAlignment="1">
      <alignment horizontal="center" vertical="center"/>
    </xf>
    <xf numFmtId="9" fontId="13" fillId="8" borderId="16" xfId="6" applyFont="1" applyFill="1" applyBorder="1" applyAlignment="1">
      <alignment horizontal="right" vertical="center"/>
    </xf>
    <xf numFmtId="0" fontId="26" fillId="9" borderId="1" xfId="0" applyFont="1" applyFill="1" applyBorder="1" applyAlignment="1">
      <alignment vertical="center"/>
    </xf>
    <xf numFmtId="43" fontId="15" fillId="10" borderId="9" xfId="10" applyFont="1" applyFill="1" applyBorder="1" applyAlignment="1">
      <alignment horizontal="left" vertical="center"/>
    </xf>
    <xf numFmtId="0" fontId="8" fillId="10" borderId="1" xfId="0" applyFont="1" applyFill="1" applyBorder="1" applyAlignment="1">
      <alignment vertical="center"/>
    </xf>
    <xf numFmtId="43" fontId="8" fillId="10" borderId="1" xfId="10" applyFont="1" applyFill="1" applyBorder="1" applyAlignment="1">
      <alignment horizontal="center" vertical="center"/>
    </xf>
    <xf numFmtId="0" fontId="23" fillId="10" borderId="12" xfId="0" applyFont="1" applyFill="1" applyBorder="1" applyAlignment="1">
      <alignment horizontal="center" vertical="center"/>
    </xf>
    <xf numFmtId="169" fontId="8" fillId="10" borderId="12" xfId="10" applyNumberFormat="1" applyFont="1" applyFill="1" applyBorder="1" applyAlignment="1">
      <alignment horizontal="center" vertical="center"/>
    </xf>
    <xf numFmtId="0" fontId="8" fillId="10" borderId="10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vertical="center"/>
    </xf>
    <xf numFmtId="43" fontId="8" fillId="10" borderId="8" xfId="10" applyFont="1" applyFill="1" applyBorder="1" applyAlignment="1">
      <alignment horizontal="center" vertical="center"/>
    </xf>
    <xf numFmtId="43" fontId="8" fillId="10" borderId="8" xfId="10" applyFont="1" applyFill="1" applyBorder="1" applyAlignment="1">
      <alignment horizontal="right" vertical="center"/>
    </xf>
    <xf numFmtId="44" fontId="8" fillId="10" borderId="11" xfId="0" applyNumberFormat="1" applyFont="1" applyFill="1" applyBorder="1" applyAlignment="1">
      <alignment horizontal="center" vertical="center"/>
    </xf>
    <xf numFmtId="44" fontId="8" fillId="10" borderId="2" xfId="0" applyNumberFormat="1" applyFont="1" applyFill="1" applyBorder="1" applyAlignment="1">
      <alignment horizontal="center" vertical="center"/>
    </xf>
    <xf numFmtId="43" fontId="8" fillId="10" borderId="2" xfId="10" applyFont="1" applyFill="1" applyBorder="1" applyAlignment="1">
      <alignment horizontal="center" vertical="center"/>
    </xf>
    <xf numFmtId="43" fontId="8" fillId="10" borderId="2" xfId="10" applyFont="1" applyFill="1" applyBorder="1" applyAlignment="1">
      <alignment horizontal="right" vertical="center"/>
    </xf>
    <xf numFmtId="9" fontId="8" fillId="10" borderId="4" xfId="0" applyNumberFormat="1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vertical="center"/>
    </xf>
    <xf numFmtId="0" fontId="8" fillId="10" borderId="10" xfId="10" applyNumberFormat="1" applyFont="1" applyFill="1" applyBorder="1" applyAlignment="1">
      <alignment horizontal="center" vertical="center"/>
    </xf>
    <xf numFmtId="9" fontId="8" fillId="8" borderId="50" xfId="6" applyFont="1" applyFill="1" applyBorder="1" applyAlignment="1">
      <alignment horizontal="right" vertical="center"/>
    </xf>
    <xf numFmtId="43" fontId="15" fillId="9" borderId="8" xfId="10" applyFont="1" applyFill="1" applyBorder="1" applyAlignment="1">
      <alignment vertical="center"/>
    </xf>
    <xf numFmtId="43" fontId="8" fillId="9" borderId="13" xfId="10" applyFont="1" applyFill="1" applyBorder="1" applyAlignment="1">
      <alignment horizontal="center" vertical="center"/>
    </xf>
    <xf numFmtId="44" fontId="8" fillId="9" borderId="18" xfId="0" applyNumberFormat="1" applyFont="1" applyFill="1" applyBorder="1" applyAlignment="1">
      <alignment horizontal="center" vertical="center"/>
    </xf>
    <xf numFmtId="9" fontId="8" fillId="11" borderId="16" xfId="6" applyFont="1" applyFill="1" applyBorder="1" applyAlignment="1">
      <alignment horizontal="right" vertical="center"/>
    </xf>
    <xf numFmtId="0" fontId="8" fillId="9" borderId="11" xfId="0" applyFont="1" applyFill="1" applyBorder="1" applyAlignment="1">
      <alignment horizontal="center" vertical="center"/>
    </xf>
    <xf numFmtId="43" fontId="8" fillId="9" borderId="19" xfId="10" applyFont="1" applyFill="1" applyBorder="1" applyAlignment="1">
      <alignment horizontal="center" vertical="center"/>
    </xf>
    <xf numFmtId="9" fontId="8" fillId="11" borderId="8" xfId="6" applyFont="1" applyFill="1" applyBorder="1" applyAlignment="1">
      <alignment horizontal="right" vertical="center"/>
    </xf>
    <xf numFmtId="0" fontId="9" fillId="9" borderId="1" xfId="0" applyFont="1" applyFill="1" applyBorder="1" applyAlignment="1">
      <alignment vertical="center"/>
    </xf>
    <xf numFmtId="43" fontId="9" fillId="9" borderId="1" xfId="1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vertical="center"/>
    </xf>
    <xf numFmtId="43" fontId="9" fillId="9" borderId="8" xfId="1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43" fontId="9" fillId="9" borderId="2" xfId="10" applyFont="1" applyFill="1" applyBorder="1" applyAlignment="1">
      <alignment horizontal="center" vertical="center"/>
    </xf>
    <xf numFmtId="0" fontId="21" fillId="9" borderId="8" xfId="0" applyFont="1" applyFill="1" applyBorder="1"/>
    <xf numFmtId="169" fontId="8" fillId="9" borderId="1" xfId="10" applyNumberFormat="1" applyFont="1" applyFill="1" applyBorder="1" applyAlignment="1">
      <alignment horizontal="center" vertical="center"/>
    </xf>
    <xf numFmtId="169" fontId="8" fillId="9" borderId="8" xfId="10" applyNumberFormat="1" applyFont="1" applyFill="1" applyBorder="1" applyAlignment="1">
      <alignment horizontal="center" vertical="center"/>
    </xf>
    <xf numFmtId="9" fontId="8" fillId="11" borderId="16" xfId="9" applyFont="1" applyFill="1" applyBorder="1" applyAlignment="1">
      <alignment horizontal="right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9" fontId="8" fillId="11" borderId="40" xfId="6" applyFont="1" applyFill="1" applyBorder="1" applyAlignment="1">
      <alignment horizontal="right" vertical="center"/>
    </xf>
    <xf numFmtId="43" fontId="8" fillId="9" borderId="9" xfId="10" applyFont="1" applyFill="1" applyBorder="1" applyAlignment="1">
      <alignment horizontal="left" vertical="center"/>
    </xf>
    <xf numFmtId="44" fontId="15" fillId="9" borderId="9" xfId="8" applyFont="1" applyFill="1" applyBorder="1" applyAlignment="1">
      <alignment horizontal="left" vertical="center"/>
    </xf>
    <xf numFmtId="169" fontId="8" fillId="10" borderId="1" xfId="10" applyNumberFormat="1" applyFont="1" applyFill="1" applyBorder="1" applyAlignment="1">
      <alignment horizontal="center" vertical="center"/>
    </xf>
    <xf numFmtId="169" fontId="8" fillId="10" borderId="8" xfId="10" applyNumberFormat="1" applyFont="1" applyFill="1" applyBorder="1" applyAlignment="1">
      <alignment horizontal="center" vertical="center"/>
    </xf>
    <xf numFmtId="9" fontId="13" fillId="11" borderId="16" xfId="6" applyFont="1" applyFill="1" applyBorder="1" applyAlignment="1">
      <alignment horizontal="right" vertical="center"/>
    </xf>
    <xf numFmtId="0" fontId="24" fillId="9" borderId="2" xfId="0" applyFont="1" applyFill="1" applyBorder="1" applyAlignment="1">
      <alignment vertical="center"/>
    </xf>
    <xf numFmtId="0" fontId="23" fillId="9" borderId="8" xfId="0" applyFont="1" applyFill="1" applyBorder="1" applyAlignment="1">
      <alignment horizontal="center" vertical="center"/>
    </xf>
    <xf numFmtId="0" fontId="8" fillId="9" borderId="8" xfId="10" applyNumberFormat="1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vertical="center"/>
    </xf>
    <xf numFmtId="0" fontId="22" fillId="9" borderId="8" xfId="0" applyFont="1" applyFill="1" applyBorder="1"/>
    <xf numFmtId="0" fontId="22" fillId="9" borderId="8" xfId="0" applyFont="1" applyFill="1" applyBorder="1" applyAlignment="1">
      <alignment horizontal="center"/>
    </xf>
    <xf numFmtId="9" fontId="9" fillId="11" borderId="16" xfId="9" applyFont="1" applyFill="1" applyBorder="1" applyAlignment="1">
      <alignment horizontal="right" vertical="center"/>
    </xf>
    <xf numFmtId="0" fontId="16" fillId="9" borderId="9" xfId="0" applyFont="1" applyFill="1" applyBorder="1" applyAlignment="1">
      <alignment vertical="center"/>
    </xf>
    <xf numFmtId="0" fontId="9" fillId="9" borderId="1" xfId="0" applyFont="1" applyFill="1" applyBorder="1" applyAlignment="1">
      <alignment horizontal="right" vertical="center"/>
    </xf>
    <xf numFmtId="44" fontId="9" fillId="9" borderId="12" xfId="8" applyFont="1" applyFill="1" applyBorder="1" applyAlignment="1">
      <alignment horizontal="center" vertical="center"/>
    </xf>
    <xf numFmtId="0" fontId="9" fillId="9" borderId="10" xfId="0" applyFont="1" applyFill="1" applyBorder="1"/>
    <xf numFmtId="0" fontId="9" fillId="9" borderId="8" xfId="0" applyFont="1" applyFill="1" applyBorder="1" applyAlignment="1">
      <alignment horizontal="right" vertical="center"/>
    </xf>
    <xf numFmtId="0" fontId="9" fillId="9" borderId="11" xfId="0" applyFont="1" applyFill="1" applyBorder="1"/>
    <xf numFmtId="44" fontId="9" fillId="9" borderId="2" xfId="0" applyNumberFormat="1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right" vertical="center"/>
    </xf>
    <xf numFmtId="44" fontId="9" fillId="9" borderId="4" xfId="8" applyFont="1" applyFill="1" applyBorder="1" applyAlignment="1">
      <alignment horizontal="center" vertical="center"/>
    </xf>
    <xf numFmtId="0" fontId="16" fillId="9" borderId="9" xfId="0" applyFont="1" applyFill="1" applyBorder="1" applyAlignment="1">
      <alignment horizontal="left" vertical="center"/>
    </xf>
    <xf numFmtId="0" fontId="16" fillId="9" borderId="1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/>
    </xf>
    <xf numFmtId="0" fontId="22" fillId="9" borderId="0" xfId="0" applyFont="1" applyFill="1" applyAlignment="1">
      <alignment horizontal="center"/>
    </xf>
    <xf numFmtId="0" fontId="9" fillId="2" borderId="0" xfId="0" applyFont="1" applyFill="1"/>
    <xf numFmtId="0" fontId="20" fillId="4" borderId="8" xfId="0" applyFont="1" applyFill="1" applyBorder="1" applyAlignment="1">
      <alignment horizontal="left" vertical="center"/>
    </xf>
    <xf numFmtId="39" fontId="8" fillId="9" borderId="2" xfId="8" applyNumberFormat="1" applyFont="1" applyFill="1" applyBorder="1" applyAlignment="1">
      <alignment horizontal="center" vertical="center"/>
    </xf>
    <xf numFmtId="9" fontId="8" fillId="9" borderId="2" xfId="10" applyNumberFormat="1" applyFont="1" applyFill="1" applyBorder="1" applyAlignment="1">
      <alignment horizontal="right" vertical="center"/>
    </xf>
    <xf numFmtId="14" fontId="8" fillId="10" borderId="16" xfId="0" applyNumberFormat="1" applyFont="1" applyFill="1" applyBorder="1" applyAlignment="1">
      <alignment vertical="center"/>
    </xf>
    <xf numFmtId="9" fontId="8" fillId="10" borderId="2" xfId="10" applyNumberFormat="1" applyFont="1" applyFill="1" applyBorder="1" applyAlignment="1">
      <alignment horizontal="right" vertical="center"/>
    </xf>
    <xf numFmtId="14" fontId="8" fillId="9" borderId="16" xfId="0" applyNumberFormat="1" applyFont="1" applyFill="1" applyBorder="1" applyAlignment="1">
      <alignment vertical="center"/>
    </xf>
    <xf numFmtId="14" fontId="8" fillId="9" borderId="16" xfId="0" applyNumberFormat="1" applyFont="1" applyFill="1" applyBorder="1" applyAlignment="1">
      <alignment horizontal="center" vertical="center"/>
    </xf>
    <xf numFmtId="10" fontId="8" fillId="9" borderId="2" xfId="10" applyNumberFormat="1" applyFont="1" applyFill="1" applyBorder="1" applyAlignment="1">
      <alignment horizontal="right" vertical="center"/>
    </xf>
    <xf numFmtId="14" fontId="8" fillId="9" borderId="8" xfId="0" applyNumberFormat="1" applyFont="1" applyFill="1" applyBorder="1" applyAlignment="1">
      <alignment horizontal="center" vertical="center"/>
    </xf>
    <xf numFmtId="9" fontId="8" fillId="9" borderId="8" xfId="1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left" vertical="top"/>
    </xf>
    <xf numFmtId="44" fontId="8" fillId="2" borderId="2" xfId="2" applyFont="1" applyFill="1" applyBorder="1" applyAlignment="1">
      <alignment horizontal="center" vertical="center"/>
    </xf>
    <xf numFmtId="0" fontId="8" fillId="2" borderId="2" xfId="0" quotePrefix="1" applyFont="1" applyFill="1" applyBorder="1" applyAlignment="1">
      <alignment horizontal="left" vertical="top"/>
    </xf>
    <xf numFmtId="0" fontId="8" fillId="2" borderId="11" xfId="0" quotePrefix="1" applyFont="1" applyFill="1" applyBorder="1" applyAlignment="1">
      <alignment horizontal="center" vertical="top"/>
    </xf>
    <xf numFmtId="9" fontId="8" fillId="9" borderId="2" xfId="9" applyFont="1" applyFill="1" applyBorder="1" applyAlignment="1">
      <alignment horizontal="right" vertical="center"/>
    </xf>
    <xf numFmtId="14" fontId="8" fillId="9" borderId="4" xfId="0" applyNumberFormat="1" applyFont="1" applyFill="1" applyBorder="1" applyAlignment="1">
      <alignment horizontal="center" vertical="center"/>
    </xf>
    <xf numFmtId="14" fontId="8" fillId="9" borderId="8" xfId="0" applyNumberFormat="1" applyFont="1" applyFill="1" applyBorder="1" applyAlignment="1">
      <alignment vertical="center"/>
    </xf>
    <xf numFmtId="14" fontId="9" fillId="9" borderId="16" xfId="8" applyNumberFormat="1" applyFont="1" applyFill="1" applyBorder="1" applyAlignment="1">
      <alignment horizontal="center" vertical="center"/>
    </xf>
    <xf numFmtId="9" fontId="9" fillId="9" borderId="2" xfId="10" applyNumberFormat="1" applyFont="1" applyFill="1" applyBorder="1" applyAlignment="1">
      <alignment horizontal="center" vertical="center"/>
    </xf>
    <xf numFmtId="39" fontId="9" fillId="9" borderId="2" xfId="8" applyNumberFormat="1" applyFont="1" applyFill="1" applyBorder="1" applyAlignment="1">
      <alignment horizontal="center" vertical="center"/>
    </xf>
    <xf numFmtId="0" fontId="13" fillId="9" borderId="12" xfId="0" applyFont="1" applyFill="1" applyBorder="1" applyAlignment="1">
      <alignment horizontal="center" vertical="center"/>
    </xf>
    <xf numFmtId="0" fontId="14" fillId="9" borderId="8" xfId="0" applyFont="1" applyFill="1" applyBorder="1"/>
    <xf numFmtId="169" fontId="8" fillId="9" borderId="2" xfId="10" applyNumberFormat="1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8" fillId="0" borderId="0" xfId="8" applyNumberFormat="1" applyFont="1" applyFill="1" applyAlignment="1">
      <alignment horizontal="center" vertical="center"/>
    </xf>
    <xf numFmtId="44" fontId="8" fillId="0" borderId="0" xfId="8" applyFont="1" applyFill="1" applyAlignment="1">
      <alignment horizontal="center" vertical="center"/>
    </xf>
    <xf numFmtId="44" fontId="8" fillId="9" borderId="12" xfId="8" applyFont="1" applyFill="1" applyBorder="1" applyAlignment="1">
      <alignment horizontal="center" vertical="center"/>
    </xf>
    <xf numFmtId="0" fontId="8" fillId="0" borderId="10" xfId="0" applyFont="1" applyBorder="1"/>
    <xf numFmtId="43" fontId="8" fillId="9" borderId="8" xfId="10" applyFont="1" applyFill="1" applyBorder="1" applyAlignment="1">
      <alignment vertical="center"/>
    </xf>
    <xf numFmtId="14" fontId="8" fillId="9" borderId="16" xfId="8" applyNumberFormat="1" applyFont="1" applyFill="1" applyBorder="1" applyAlignment="1">
      <alignment horizontal="center" vertical="center"/>
    </xf>
    <xf numFmtId="9" fontId="8" fillId="9" borderId="2" xfId="10" applyNumberFormat="1" applyFont="1" applyFill="1" applyBorder="1" applyAlignment="1">
      <alignment horizontal="center" vertical="center"/>
    </xf>
    <xf numFmtId="44" fontId="8" fillId="9" borderId="4" xfId="8" applyFont="1" applyFill="1" applyBorder="1" applyAlignment="1">
      <alignment horizontal="center" vertical="center"/>
    </xf>
    <xf numFmtId="44" fontId="8" fillId="0" borderId="12" xfId="8" applyFont="1" applyFill="1" applyBorder="1" applyAlignment="1">
      <alignment horizontal="center" vertical="center"/>
    </xf>
    <xf numFmtId="44" fontId="8" fillId="0" borderId="16" xfId="8" applyFont="1" applyFill="1" applyBorder="1" applyAlignment="1">
      <alignment horizontal="center" vertical="center"/>
    </xf>
    <xf numFmtId="0" fontId="8" fillId="0" borderId="17" xfId="0" applyFont="1" applyBorder="1" applyAlignment="1">
      <alignment horizontal="left" vertical="top"/>
    </xf>
    <xf numFmtId="170" fontId="8" fillId="0" borderId="1" xfId="10" applyNumberFormat="1" applyFont="1" applyFill="1" applyBorder="1" applyAlignment="1">
      <alignment horizontal="center" vertical="center"/>
    </xf>
    <xf numFmtId="43" fontId="8" fillId="0" borderId="12" xfId="10" applyFont="1" applyFill="1" applyBorder="1" applyAlignment="1">
      <alignment horizontal="center" vertical="center"/>
    </xf>
    <xf numFmtId="44" fontId="8" fillId="2" borderId="38" xfId="8" applyFont="1" applyFill="1" applyBorder="1" applyAlignment="1">
      <alignment horizontal="center" vertical="center"/>
    </xf>
    <xf numFmtId="170" fontId="8" fillId="0" borderId="8" xfId="10" applyNumberFormat="1" applyFont="1" applyFill="1" applyBorder="1" applyAlignment="1">
      <alignment horizontal="center" vertical="center"/>
    </xf>
    <xf numFmtId="9" fontId="8" fillId="11" borderId="50" xfId="9" applyFont="1" applyFill="1" applyBorder="1" applyAlignment="1">
      <alignment horizontal="right" vertical="center"/>
    </xf>
    <xf numFmtId="44" fontId="8" fillId="2" borderId="50" xfId="8" applyFont="1" applyFill="1" applyBorder="1" applyAlignment="1">
      <alignment horizontal="center" vertical="center"/>
    </xf>
    <xf numFmtId="43" fontId="8" fillId="0" borderId="4" xfId="10" applyFont="1" applyFill="1" applyBorder="1"/>
    <xf numFmtId="44" fontId="8" fillId="0" borderId="49" xfId="8" applyFont="1" applyFill="1" applyBorder="1"/>
    <xf numFmtId="0" fontId="15" fillId="0" borderId="9" xfId="0" applyFont="1" applyBorder="1" applyAlignment="1">
      <alignment vertical="center"/>
    </xf>
    <xf numFmtId="0" fontId="15" fillId="9" borderId="8" xfId="0" applyFont="1" applyFill="1" applyBorder="1" applyAlignment="1">
      <alignment horizontal="center" vertical="center"/>
    </xf>
    <xf numFmtId="168" fontId="8" fillId="0" borderId="0" xfId="0" applyNumberFormat="1" applyFont="1" applyAlignment="1">
      <alignment horizontal="right" vertical="top"/>
    </xf>
    <xf numFmtId="39" fontId="8" fillId="0" borderId="16" xfId="8" applyNumberFormat="1" applyFont="1" applyFill="1" applyBorder="1" applyAlignment="1">
      <alignment horizontal="right" vertical="center"/>
    </xf>
    <xf numFmtId="39" fontId="8" fillId="0" borderId="4" xfId="8" applyNumberFormat="1" applyFont="1" applyFill="1" applyBorder="1" applyAlignment="1">
      <alignment horizontal="right" vertical="center"/>
    </xf>
    <xf numFmtId="44" fontId="8" fillId="0" borderId="4" xfId="8" applyFont="1" applyFill="1" applyBorder="1" applyAlignment="1">
      <alignment horizontal="center" vertical="center"/>
    </xf>
    <xf numFmtId="44" fontId="8" fillId="2" borderId="54" xfId="8" applyFont="1" applyFill="1" applyBorder="1" applyAlignment="1">
      <alignment horizontal="center" vertical="center"/>
    </xf>
    <xf numFmtId="9" fontId="8" fillId="9" borderId="50" xfId="9" applyFont="1" applyFill="1" applyBorder="1" applyAlignment="1">
      <alignment horizontal="right" vertical="center"/>
    </xf>
    <xf numFmtId="43" fontId="8" fillId="0" borderId="32" xfId="10" applyFont="1" applyFill="1" applyBorder="1"/>
    <xf numFmtId="0" fontId="9" fillId="2" borderId="8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center" vertical="center"/>
    </xf>
    <xf numFmtId="43" fontId="9" fillId="2" borderId="8" xfId="10" applyFont="1" applyFill="1" applyBorder="1" applyAlignment="1">
      <alignment horizontal="center" vertical="center"/>
    </xf>
    <xf numFmtId="0" fontId="8" fillId="0" borderId="0" xfId="0" quotePrefix="1" applyFont="1" applyAlignment="1">
      <alignment vertical="top"/>
    </xf>
    <xf numFmtId="43" fontId="8" fillId="0" borderId="31" xfId="10" applyFont="1" applyFill="1" applyBorder="1" applyAlignment="1">
      <alignment horizontal="center" vertical="center"/>
    </xf>
    <xf numFmtId="44" fontId="8" fillId="0" borderId="0" xfId="8" applyFont="1" applyFill="1"/>
    <xf numFmtId="0" fontId="14" fillId="10" borderId="8" xfId="0" applyFont="1" applyFill="1" applyBorder="1"/>
    <xf numFmtId="0" fontId="13" fillId="10" borderId="1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43" fontId="9" fillId="2" borderId="2" xfId="10" applyFont="1" applyFill="1" applyBorder="1" applyAlignment="1">
      <alignment horizontal="center" vertical="center"/>
    </xf>
    <xf numFmtId="0" fontId="14" fillId="9" borderId="0" xfId="0" applyFont="1" applyFill="1"/>
    <xf numFmtId="0" fontId="8" fillId="2" borderId="21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left" vertical="center"/>
    </xf>
    <xf numFmtId="43" fontId="8" fillId="2" borderId="21" xfId="1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43" fontId="8" fillId="11" borderId="0" xfId="10" applyFont="1" applyFill="1" applyAlignment="1">
      <alignment horizontal="right" vertical="center"/>
    </xf>
    <xf numFmtId="0" fontId="8" fillId="11" borderId="0" xfId="0" applyFont="1" applyFill="1"/>
    <xf numFmtId="170" fontId="8" fillId="0" borderId="8" xfId="10" applyNumberFormat="1" applyFont="1" applyFill="1" applyBorder="1" applyAlignment="1">
      <alignment horizontal="center" vertical="top" wrapText="1"/>
    </xf>
    <xf numFmtId="0" fontId="16" fillId="0" borderId="9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23" fillId="0" borderId="12" xfId="0" applyFont="1" applyBorder="1" applyAlignment="1">
      <alignment horizontal="center" vertical="center"/>
    </xf>
    <xf numFmtId="0" fontId="9" fillId="0" borderId="10" xfId="0" applyFont="1" applyBorder="1"/>
    <xf numFmtId="0" fontId="9" fillId="0" borderId="8" xfId="0" applyFont="1" applyBorder="1" applyAlignment="1">
      <alignment vertical="center"/>
    </xf>
    <xf numFmtId="14" fontId="9" fillId="0" borderId="16" xfId="8" applyNumberFormat="1" applyFont="1" applyFill="1" applyBorder="1" applyAlignment="1">
      <alignment horizontal="center" vertical="center"/>
    </xf>
    <xf numFmtId="44" fontId="9" fillId="0" borderId="2" xfId="0" applyNumberFormat="1" applyFont="1" applyBorder="1" applyAlignment="1">
      <alignment horizontal="center" vertical="center"/>
    </xf>
    <xf numFmtId="39" fontId="9" fillId="0" borderId="2" xfId="8" applyNumberFormat="1" applyFont="1" applyFill="1" applyBorder="1" applyAlignment="1">
      <alignment horizontal="center" vertical="center"/>
    </xf>
    <xf numFmtId="9" fontId="9" fillId="0" borderId="2" xfId="10" applyNumberFormat="1" applyFont="1" applyFill="1" applyBorder="1" applyAlignment="1">
      <alignment horizontal="center" vertical="center"/>
    </xf>
    <xf numFmtId="43" fontId="9" fillId="0" borderId="12" xfId="10" applyFont="1" applyFill="1" applyBorder="1" applyAlignment="1">
      <alignment horizontal="right" vertical="center"/>
    </xf>
    <xf numFmtId="43" fontId="9" fillId="0" borderId="16" xfId="10" applyFont="1" applyFill="1" applyBorder="1" applyAlignment="1">
      <alignment horizontal="right" vertical="center"/>
    </xf>
    <xf numFmtId="9" fontId="9" fillId="0" borderId="16" xfId="9" applyFont="1" applyFill="1" applyBorder="1" applyAlignment="1">
      <alignment horizontal="right" vertical="center"/>
    </xf>
    <xf numFmtId="0" fontId="9" fillId="0" borderId="8" xfId="0" applyFont="1" applyBorder="1" applyAlignment="1">
      <alignment horizontal="right" vertical="top" wrapText="1"/>
    </xf>
    <xf numFmtId="0" fontId="9" fillId="0" borderId="8" xfId="0" quotePrefix="1" applyFont="1" applyBorder="1" applyAlignment="1">
      <alignment vertical="top"/>
    </xf>
    <xf numFmtId="43" fontId="8" fillId="11" borderId="0" xfId="10" applyFont="1" applyFill="1" applyBorder="1" applyAlignment="1">
      <alignment horizontal="center" vertical="center"/>
    </xf>
    <xf numFmtId="43" fontId="8" fillId="11" borderId="0" xfId="10" applyFont="1" applyFill="1" applyAlignment="1">
      <alignment horizontal="center" vertical="center"/>
    </xf>
    <xf numFmtId="0" fontId="31" fillId="9" borderId="1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/>
    </xf>
    <xf numFmtId="2" fontId="8" fillId="2" borderId="3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left" vertical="center"/>
    </xf>
    <xf numFmtId="0" fontId="8" fillId="2" borderId="18" xfId="0" applyFont="1" applyFill="1" applyBorder="1" applyAlignment="1">
      <alignment horizontal="center"/>
    </xf>
    <xf numFmtId="164" fontId="8" fillId="2" borderId="18" xfId="0" applyNumberFormat="1" applyFont="1" applyFill="1" applyBorder="1" applyAlignment="1">
      <alignment horizontal="center" vertical="center"/>
    </xf>
    <xf numFmtId="2" fontId="8" fillId="2" borderId="18" xfId="0" applyNumberFormat="1" applyFont="1" applyFill="1" applyBorder="1" applyAlignment="1">
      <alignment horizontal="center" vertical="center"/>
    </xf>
    <xf numFmtId="0" fontId="15" fillId="9" borderId="8" xfId="0" applyFont="1" applyFill="1" applyBorder="1" applyAlignment="1">
      <alignment horizontal="center"/>
    </xf>
    <xf numFmtId="0" fontId="13" fillId="0" borderId="8" xfId="0" applyFont="1" applyBorder="1" applyAlignment="1">
      <alignment horizontal="center"/>
    </xf>
    <xf numFmtId="2" fontId="13" fillId="0" borderId="8" xfId="0" applyNumberFormat="1" applyFont="1" applyBorder="1" applyAlignment="1">
      <alignment horizontal="center" vertical="center"/>
    </xf>
    <xf numFmtId="2" fontId="8" fillId="2" borderId="67" xfId="0" applyNumberFormat="1" applyFont="1" applyFill="1" applyBorder="1" applyAlignment="1">
      <alignment horizontal="center" vertical="center"/>
    </xf>
    <xf numFmtId="0" fontId="15" fillId="9" borderId="8" xfId="0" applyFont="1" applyFill="1" applyBorder="1"/>
    <xf numFmtId="0" fontId="15" fillId="0" borderId="0" xfId="0" applyFont="1" applyAlignment="1">
      <alignment horizontal="center"/>
    </xf>
    <xf numFmtId="43" fontId="8" fillId="9" borderId="1" xfId="10" applyFont="1" applyFill="1" applyBorder="1" applyAlignment="1">
      <alignment horizontal="right" vertical="center"/>
    </xf>
    <xf numFmtId="0" fontId="18" fillId="2" borderId="8" xfId="0" applyFont="1" applyFill="1" applyBorder="1" applyAlignment="1">
      <alignment horizontal="center" vertical="top"/>
    </xf>
    <xf numFmtId="0" fontId="8" fillId="0" borderId="8" xfId="10" applyNumberFormat="1" applyFont="1" applyFill="1" applyBorder="1" applyAlignment="1">
      <alignment horizontal="right" vertical="center"/>
    </xf>
    <xf numFmtId="0" fontId="8" fillId="2" borderId="8" xfId="0" applyFont="1" applyFill="1" applyBorder="1" applyAlignment="1">
      <alignment horizontal="right" vertical="center"/>
    </xf>
    <xf numFmtId="0" fontId="8" fillId="2" borderId="18" xfId="0" applyFon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/>
    </xf>
    <xf numFmtId="170" fontId="8" fillId="2" borderId="8" xfId="1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top"/>
    </xf>
    <xf numFmtId="0" fontId="8" fillId="2" borderId="8" xfId="10" applyNumberFormat="1" applyFont="1" applyFill="1" applyBorder="1" applyAlignment="1">
      <alignment horizontal="right" vertical="top" wrapText="1"/>
    </xf>
    <xf numFmtId="0" fontId="8" fillId="2" borderId="17" xfId="0" quotePrefix="1" applyFont="1" applyFill="1" applyBorder="1" applyAlignment="1">
      <alignment horizontal="center" vertical="top"/>
    </xf>
    <xf numFmtId="0" fontId="8" fillId="8" borderId="17" xfId="0" quotePrefix="1" applyFont="1" applyFill="1" applyBorder="1" applyAlignment="1">
      <alignment horizontal="center" vertical="top"/>
    </xf>
    <xf numFmtId="0" fontId="8" fillId="8" borderId="3" xfId="0" applyFont="1" applyFill="1" applyBorder="1" applyAlignment="1">
      <alignment horizontal="left" vertical="top"/>
    </xf>
    <xf numFmtId="43" fontId="8" fillId="8" borderId="8" xfId="10" applyFont="1" applyFill="1" applyBorder="1" applyAlignment="1">
      <alignment horizontal="right" vertical="center"/>
    </xf>
    <xf numFmtId="44" fontId="8" fillId="8" borderId="23" xfId="2" applyFont="1" applyFill="1" applyBorder="1" applyAlignment="1">
      <alignment horizontal="center" vertical="center"/>
    </xf>
    <xf numFmtId="0" fontId="8" fillId="2" borderId="8" xfId="10" applyNumberFormat="1" applyFont="1" applyFill="1" applyBorder="1" applyAlignment="1">
      <alignment vertical="center" wrapText="1"/>
    </xf>
    <xf numFmtId="0" fontId="8" fillId="2" borderId="3" xfId="0" applyFont="1" applyFill="1" applyBorder="1" applyAlignment="1">
      <alignment horizontal="left" vertical="top"/>
    </xf>
    <xf numFmtId="0" fontId="8" fillId="2" borderId="8" xfId="10" applyNumberFormat="1" applyFont="1" applyFill="1" applyBorder="1" applyAlignment="1">
      <alignment horizontal="right" wrapText="1"/>
    </xf>
    <xf numFmtId="170" fontId="8" fillId="2" borderId="8" xfId="10" applyNumberFormat="1" applyFont="1" applyFill="1" applyBorder="1" applyAlignment="1">
      <alignment horizontal="center" vertical="top" wrapText="1"/>
    </xf>
    <xf numFmtId="0" fontId="22" fillId="9" borderId="8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top"/>
    </xf>
    <xf numFmtId="0" fontId="9" fillId="2" borderId="60" xfId="0" applyFont="1" applyFill="1" applyBorder="1" applyAlignment="1">
      <alignment horizontal="right" vertical="top" wrapText="1"/>
    </xf>
    <xf numFmtId="49" fontId="9" fillId="2" borderId="60" xfId="0" applyNumberFormat="1" applyFont="1" applyFill="1" applyBorder="1"/>
    <xf numFmtId="49" fontId="10" fillId="2" borderId="60" xfId="0" applyNumberFormat="1" applyFont="1" applyFill="1" applyBorder="1" applyAlignment="1">
      <alignment horizontal="center"/>
    </xf>
    <xf numFmtId="49" fontId="9" fillId="2" borderId="63" xfId="0" applyNumberFormat="1" applyFont="1" applyFill="1" applyBorder="1"/>
    <xf numFmtId="0" fontId="9" fillId="2" borderId="63" xfId="0" applyFont="1" applyFill="1" applyBorder="1" applyAlignment="1">
      <alignment horizontal="right" vertical="top" wrapText="1"/>
    </xf>
    <xf numFmtId="43" fontId="9" fillId="2" borderId="8" xfId="10" applyFont="1" applyFill="1" applyBorder="1" applyAlignment="1">
      <alignment horizontal="right" vertical="top" wrapText="1"/>
    </xf>
    <xf numFmtId="49" fontId="9" fillId="2" borderId="64" xfId="0" applyNumberFormat="1" applyFont="1" applyFill="1" applyBorder="1"/>
    <xf numFmtId="0" fontId="9" fillId="2" borderId="64" xfId="0" applyFont="1" applyFill="1" applyBorder="1" applyAlignment="1">
      <alignment horizontal="right" vertical="top" wrapText="1"/>
    </xf>
    <xf numFmtId="0" fontId="8" fillId="0" borderId="46" xfId="0" applyFont="1" applyBorder="1" applyAlignment="1">
      <alignment horizontal="left" vertical="top"/>
    </xf>
    <xf numFmtId="0" fontId="8" fillId="0" borderId="15" xfId="0" quotePrefix="1" applyFont="1" applyBorder="1" applyAlignment="1">
      <alignment horizontal="left" vertical="top"/>
    </xf>
    <xf numFmtId="49" fontId="9" fillId="2" borderId="8" xfId="0" applyNumberFormat="1" applyFont="1" applyFill="1" applyBorder="1"/>
    <xf numFmtId="0" fontId="9" fillId="2" borderId="66" xfId="0" applyFont="1" applyFill="1" applyBorder="1" applyAlignment="1">
      <alignment horizontal="right" vertical="top" wrapText="1"/>
    </xf>
    <xf numFmtId="49" fontId="10" fillId="2" borderId="64" xfId="0" applyNumberFormat="1" applyFont="1" applyFill="1" applyBorder="1" applyAlignment="1">
      <alignment horizontal="center"/>
    </xf>
    <xf numFmtId="164" fontId="9" fillId="2" borderId="60" xfId="0" applyNumberFormat="1" applyFont="1" applyFill="1" applyBorder="1" applyAlignment="1">
      <alignment horizontal="right" vertical="top" wrapText="1"/>
    </xf>
    <xf numFmtId="170" fontId="8" fillId="2" borderId="3" xfId="10" applyNumberFormat="1" applyFont="1" applyFill="1" applyBorder="1" applyAlignment="1">
      <alignment horizontal="center" vertical="top" wrapText="1"/>
    </xf>
    <xf numFmtId="0" fontId="22" fillId="9" borderId="0" xfId="0" applyFont="1" applyFill="1"/>
    <xf numFmtId="0" fontId="22" fillId="9" borderId="8" xfId="0" applyFont="1" applyFill="1" applyBorder="1" applyAlignment="1">
      <alignment vertical="center"/>
    </xf>
    <xf numFmtId="0" fontId="30" fillId="9" borderId="8" xfId="0" applyFont="1" applyFill="1" applyBorder="1"/>
    <xf numFmtId="43" fontId="15" fillId="0" borderId="0" xfId="10" applyFont="1" applyFill="1" applyAlignment="1">
      <alignment horizontal="center"/>
    </xf>
    <xf numFmtId="0" fontId="15" fillId="0" borderId="0" xfId="10" applyNumberFormat="1" applyFont="1" applyFill="1" applyAlignment="1">
      <alignment horizontal="center"/>
    </xf>
    <xf numFmtId="43" fontId="8" fillId="2" borderId="8" xfId="10" applyFont="1" applyFill="1" applyBorder="1" applyAlignment="1" applyProtection="1">
      <alignment horizontal="center"/>
      <protection locked="0"/>
    </xf>
    <xf numFmtId="9" fontId="8" fillId="2" borderId="8" xfId="10" applyNumberFormat="1" applyFont="1" applyFill="1" applyBorder="1" applyAlignment="1" applyProtection="1">
      <alignment horizontal="center"/>
      <protection locked="0"/>
    </xf>
    <xf numFmtId="167" fontId="8" fillId="2" borderId="8" xfId="3" applyNumberFormat="1" applyFont="1" applyFill="1" applyBorder="1" applyAlignment="1" applyProtection="1">
      <alignment horizontal="center" vertical="center"/>
      <protection locked="0"/>
    </xf>
    <xf numFmtId="167" fontId="8" fillId="2" borderId="8" xfId="3" applyNumberFormat="1" applyFont="1" applyFill="1" applyBorder="1" applyAlignment="1" applyProtection="1">
      <alignment horizontal="center"/>
      <protection locked="0"/>
    </xf>
    <xf numFmtId="0" fontId="8" fillId="2" borderId="8" xfId="10" applyNumberFormat="1" applyFont="1" applyFill="1" applyBorder="1" applyAlignment="1">
      <alignment horizontal="center"/>
    </xf>
    <xf numFmtId="43" fontId="8" fillId="2" borderId="11" xfId="10" applyFont="1" applyFill="1" applyBorder="1" applyAlignment="1">
      <alignment horizontal="center" vertical="center"/>
    </xf>
    <xf numFmtId="43" fontId="8" fillId="2" borderId="31" xfId="10" applyFont="1" applyFill="1" applyBorder="1" applyAlignment="1">
      <alignment horizontal="center" vertical="center"/>
    </xf>
    <xf numFmtId="43" fontId="8" fillId="2" borderId="12" xfId="10" applyFont="1" applyFill="1" applyBorder="1" applyAlignment="1">
      <alignment horizontal="center" vertical="center"/>
    </xf>
    <xf numFmtId="43" fontId="8" fillId="2" borderId="36" xfId="10" applyFont="1" applyFill="1" applyBorder="1" applyAlignment="1">
      <alignment horizontal="right" vertical="center"/>
    </xf>
    <xf numFmtId="43" fontId="8" fillId="2" borderId="24" xfId="10" applyFont="1" applyFill="1" applyBorder="1" applyAlignment="1">
      <alignment horizontal="center" vertical="center"/>
    </xf>
    <xf numFmtId="43" fontId="8" fillId="2" borderId="40" xfId="10" applyFont="1" applyFill="1" applyBorder="1" applyAlignment="1">
      <alignment horizontal="right" vertical="center"/>
    </xf>
    <xf numFmtId="43" fontId="8" fillId="2" borderId="32" xfId="10" applyFont="1" applyFill="1" applyBorder="1" applyAlignment="1">
      <alignment horizontal="center" vertical="center"/>
    </xf>
    <xf numFmtId="43" fontId="8" fillId="2" borderId="33" xfId="10" applyFont="1" applyFill="1" applyBorder="1" applyAlignment="1">
      <alignment horizontal="right" vertical="center"/>
    </xf>
    <xf numFmtId="167" fontId="8" fillId="2" borderId="11" xfId="3" applyNumberFormat="1" applyFont="1" applyFill="1" applyBorder="1" applyAlignment="1" applyProtection="1">
      <alignment horizontal="center"/>
      <protection locked="0"/>
    </xf>
    <xf numFmtId="44" fontId="8" fillId="2" borderId="40" xfId="2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8" fillId="9" borderId="10" xfId="0" applyFont="1" applyFill="1" applyBorder="1" applyAlignment="1">
      <alignment vertical="center"/>
    </xf>
    <xf numFmtId="0" fontId="8" fillId="2" borderId="14" xfId="0" applyFont="1" applyFill="1" applyBorder="1" applyAlignment="1">
      <alignment horizontal="center" vertical="center"/>
    </xf>
    <xf numFmtId="43" fontId="13" fillId="2" borderId="8" xfId="10" applyFont="1" applyFill="1" applyBorder="1" applyAlignment="1">
      <alignment horizontal="center" vertical="top" wrapText="1"/>
    </xf>
    <xf numFmtId="0" fontId="8" fillId="2" borderId="48" xfId="0" applyFont="1" applyFill="1" applyBorder="1"/>
    <xf numFmtId="43" fontId="8" fillId="2" borderId="21" xfId="10" applyFont="1" applyFill="1" applyBorder="1" applyAlignment="1">
      <alignment horizontal="right" vertical="center"/>
    </xf>
    <xf numFmtId="44" fontId="8" fillId="2" borderId="39" xfId="2" applyFont="1" applyFill="1" applyBorder="1" applyAlignment="1">
      <alignment horizontal="center" vertical="center"/>
    </xf>
    <xf numFmtId="43" fontId="8" fillId="2" borderId="0" xfId="10" applyFont="1" applyFill="1" applyAlignment="1">
      <alignment horizontal="center"/>
    </xf>
    <xf numFmtId="43" fontId="8" fillId="2" borderId="0" xfId="10" applyFont="1" applyFill="1"/>
    <xf numFmtId="43" fontId="8" fillId="2" borderId="0" xfId="10" applyFont="1" applyFill="1" applyAlignment="1">
      <alignment horizontal="right"/>
    </xf>
    <xf numFmtId="44" fontId="8" fillId="9" borderId="14" xfId="0" applyNumberFormat="1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43" fontId="8" fillId="9" borderId="0" xfId="10" applyFont="1" applyFill="1" applyAlignment="1">
      <alignment horizontal="center" vertical="center"/>
    </xf>
    <xf numFmtId="43" fontId="8" fillId="9" borderId="0" xfId="10" applyFont="1" applyFill="1" applyAlignment="1">
      <alignment horizontal="right" vertical="center"/>
    </xf>
    <xf numFmtId="0" fontId="8" fillId="2" borderId="3" xfId="0" quotePrefix="1" applyFont="1" applyFill="1" applyBorder="1" applyAlignment="1">
      <alignment horizontal="left" vertical="top"/>
    </xf>
    <xf numFmtId="0" fontId="13" fillId="2" borderId="8" xfId="0" applyFont="1" applyFill="1" applyBorder="1" applyAlignment="1">
      <alignment horizontal="left" vertical="center"/>
    </xf>
    <xf numFmtId="0" fontId="13" fillId="2" borderId="42" xfId="0" applyFont="1" applyFill="1" applyBorder="1" applyAlignment="1">
      <alignment horizontal="left" vertical="center"/>
    </xf>
    <xf numFmtId="0" fontId="8" fillId="2" borderId="8" xfId="10" applyNumberFormat="1" applyFont="1" applyFill="1" applyBorder="1" applyAlignment="1">
      <alignment horizontal="right"/>
    </xf>
    <xf numFmtId="10" fontId="8" fillId="8" borderId="16" xfId="6" applyNumberFormat="1" applyFont="1" applyFill="1" applyBorder="1" applyAlignment="1">
      <alignment horizontal="right" vertical="center"/>
    </xf>
    <xf numFmtId="44" fontId="8" fillId="2" borderId="14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top" wrapText="1"/>
    </xf>
    <xf numFmtId="0" fontId="8" fillId="0" borderId="0" xfId="10" applyNumberFormat="1" applyFont="1" applyAlignment="1">
      <alignment horizontal="center"/>
    </xf>
    <xf numFmtId="49" fontId="9" fillId="2" borderId="3" xfId="0" applyNumberFormat="1" applyFont="1" applyFill="1" applyBorder="1" applyAlignment="1">
      <alignment horizontal="center" vertical="top" wrapText="1"/>
    </xf>
    <xf numFmtId="0" fontId="8" fillId="2" borderId="41" xfId="0" applyFont="1" applyFill="1" applyBorder="1" applyAlignment="1">
      <alignment horizontal="center" vertical="top" wrapText="1"/>
    </xf>
    <xf numFmtId="9" fontId="8" fillId="11" borderId="50" xfId="6" applyFont="1" applyFill="1" applyBorder="1" applyAlignment="1">
      <alignment horizontal="right" vertical="center"/>
    </xf>
    <xf numFmtId="0" fontId="12" fillId="2" borderId="0" xfId="0" applyFont="1" applyFill="1"/>
    <xf numFmtId="9" fontId="13" fillId="2" borderId="16" xfId="6" applyFont="1" applyFill="1" applyBorder="1" applyAlignment="1">
      <alignment horizontal="right" vertical="center"/>
    </xf>
    <xf numFmtId="9" fontId="17" fillId="2" borderId="16" xfId="6" applyFont="1" applyFill="1" applyBorder="1" applyAlignment="1">
      <alignment horizontal="right" vertical="center"/>
    </xf>
    <xf numFmtId="0" fontId="30" fillId="2" borderId="0" xfId="0" applyFont="1" applyFill="1" applyAlignment="1">
      <alignment vertical="center"/>
    </xf>
    <xf numFmtId="10" fontId="29" fillId="2" borderId="0" xfId="9" applyNumberFormat="1" applyFont="1" applyFill="1" applyAlignment="1">
      <alignment vertical="center"/>
    </xf>
    <xf numFmtId="0" fontId="33" fillId="2" borderId="26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/>
    </xf>
    <xf numFmtId="0" fontId="34" fillId="2" borderId="0" xfId="0" applyFont="1" applyFill="1" applyAlignment="1">
      <alignment vertical="center"/>
    </xf>
    <xf numFmtId="169" fontId="36" fillId="2" borderId="72" xfId="9" applyNumberFormat="1" applyFont="1" applyFill="1" applyBorder="1" applyAlignment="1">
      <alignment vertical="center"/>
    </xf>
    <xf numFmtId="0" fontId="37" fillId="2" borderId="72" xfId="0" applyFont="1" applyFill="1" applyBorder="1" applyAlignment="1">
      <alignment vertical="center"/>
    </xf>
    <xf numFmtId="169" fontId="36" fillId="2" borderId="73" xfId="9" applyNumberFormat="1" applyFont="1" applyFill="1" applyBorder="1" applyAlignment="1">
      <alignment vertical="center"/>
    </xf>
    <xf numFmtId="0" fontId="37" fillId="2" borderId="73" xfId="0" applyFont="1" applyFill="1" applyBorder="1" applyAlignment="1">
      <alignment vertical="center"/>
    </xf>
    <xf numFmtId="169" fontId="36" fillId="2" borderId="70" xfId="9" applyNumberFormat="1" applyFont="1" applyFill="1" applyBorder="1" applyAlignment="1">
      <alignment vertical="center"/>
    </xf>
    <xf numFmtId="0" fontId="37" fillId="2" borderId="70" xfId="0" applyFont="1" applyFill="1" applyBorder="1" applyAlignment="1">
      <alignment vertical="center"/>
    </xf>
    <xf numFmtId="0" fontId="38" fillId="2" borderId="0" xfId="0" applyFont="1" applyFill="1" applyAlignment="1">
      <alignment vertical="center"/>
    </xf>
    <xf numFmtId="169" fontId="36" fillId="2" borderId="71" xfId="9" applyNumberFormat="1" applyFont="1" applyFill="1" applyBorder="1" applyAlignment="1">
      <alignment vertical="center"/>
    </xf>
    <xf numFmtId="0" fontId="37" fillId="2" borderId="71" xfId="0" applyFont="1" applyFill="1" applyBorder="1" applyAlignment="1">
      <alignment vertical="center"/>
    </xf>
    <xf numFmtId="10" fontId="36" fillId="2" borderId="0" xfId="9" applyNumberFormat="1" applyFont="1" applyFill="1" applyBorder="1" applyAlignment="1">
      <alignment vertical="center"/>
    </xf>
    <xf numFmtId="0" fontId="36" fillId="2" borderId="0" xfId="0" applyFont="1" applyFill="1" applyAlignment="1">
      <alignment vertical="center"/>
    </xf>
    <xf numFmtId="2" fontId="35" fillId="2" borderId="0" xfId="11" applyNumberFormat="1" applyFont="1" applyFill="1" applyAlignment="1">
      <alignment horizontal="center" vertical="center"/>
    </xf>
    <xf numFmtId="10" fontId="35" fillId="2" borderId="0" xfId="9" applyNumberFormat="1" applyFont="1" applyFill="1" applyAlignment="1">
      <alignment vertical="center"/>
    </xf>
    <xf numFmtId="0" fontId="35" fillId="2" borderId="0" xfId="0" applyFont="1" applyFill="1" applyAlignment="1">
      <alignment vertical="center"/>
    </xf>
    <xf numFmtId="0" fontId="35" fillId="2" borderId="0" xfId="0" applyFont="1" applyFill="1" applyAlignment="1">
      <alignment horizontal="center" vertical="center"/>
    </xf>
    <xf numFmtId="0" fontId="40" fillId="2" borderId="0" xfId="0" applyFont="1" applyFill="1" applyAlignment="1">
      <alignment horizontal="left" vertical="center"/>
    </xf>
    <xf numFmtId="0" fontId="40" fillId="2" borderId="0" xfId="0" applyFont="1" applyFill="1" applyAlignment="1">
      <alignment vertical="center"/>
    </xf>
    <xf numFmtId="43" fontId="40" fillId="2" borderId="0" xfId="10" applyFont="1" applyFill="1" applyAlignment="1">
      <alignment vertical="center"/>
    </xf>
    <xf numFmtId="43" fontId="40" fillId="2" borderId="0" xfId="10" applyFont="1" applyFill="1" applyAlignment="1">
      <alignment horizontal="center" vertical="center"/>
    </xf>
    <xf numFmtId="10" fontId="40" fillId="2" borderId="0" xfId="9" applyNumberFormat="1" applyFont="1" applyFill="1" applyAlignment="1">
      <alignment vertical="center"/>
    </xf>
    <xf numFmtId="43" fontId="40" fillId="2" borderId="0" xfId="9" applyNumberFormat="1" applyFont="1" applyFill="1" applyAlignment="1">
      <alignment vertical="center"/>
    </xf>
    <xf numFmtId="0" fontId="40" fillId="2" borderId="0" xfId="0" applyFont="1" applyFill="1" applyAlignment="1">
      <alignment horizontal="center" vertical="center"/>
    </xf>
    <xf numFmtId="9" fontId="40" fillId="2" borderId="0" xfId="9" applyFont="1" applyFill="1" applyAlignment="1">
      <alignment vertical="center"/>
    </xf>
    <xf numFmtId="0" fontId="39" fillId="2" borderId="26" xfId="0" applyFont="1" applyFill="1" applyBorder="1" applyAlignment="1">
      <alignment horizontal="center" vertical="center" wrapText="1"/>
    </xf>
    <xf numFmtId="169" fontId="39" fillId="2" borderId="26" xfId="10" applyNumberFormat="1" applyFont="1" applyFill="1" applyBorder="1" applyAlignment="1">
      <alignment horizontal="center" vertical="center" wrapText="1"/>
    </xf>
    <xf numFmtId="0" fontId="41" fillId="2" borderId="26" xfId="0" applyFont="1" applyFill="1" applyBorder="1" applyAlignment="1">
      <alignment horizontal="center" vertical="center" wrapText="1"/>
    </xf>
    <xf numFmtId="0" fontId="42" fillId="2" borderId="72" xfId="0" applyFont="1" applyFill="1" applyBorder="1" applyAlignment="1">
      <alignment horizontal="left" vertical="center"/>
    </xf>
    <xf numFmtId="0" fontId="39" fillId="2" borderId="72" xfId="0" applyFont="1" applyFill="1" applyBorder="1" applyAlignment="1">
      <alignment horizontal="center" vertical="center"/>
    </xf>
    <xf numFmtId="0" fontId="40" fillId="2" borderId="72" xfId="0" applyFont="1" applyFill="1" applyBorder="1" applyAlignment="1">
      <alignment vertical="center"/>
    </xf>
    <xf numFmtId="43" fontId="40" fillId="2" borderId="72" xfId="10" applyFont="1" applyFill="1" applyBorder="1" applyAlignment="1">
      <alignment vertical="center"/>
    </xf>
    <xf numFmtId="43" fontId="40" fillId="2" borderId="72" xfId="10" applyFont="1" applyFill="1" applyBorder="1" applyAlignment="1">
      <alignment horizontal="center" vertical="center"/>
    </xf>
    <xf numFmtId="10" fontId="40" fillId="2" borderId="72" xfId="9" applyNumberFormat="1" applyFont="1" applyFill="1" applyBorder="1" applyAlignment="1">
      <alignment horizontal="center" vertical="center"/>
    </xf>
    <xf numFmtId="43" fontId="40" fillId="2" borderId="72" xfId="9" applyNumberFormat="1" applyFont="1" applyFill="1" applyBorder="1" applyAlignment="1">
      <alignment horizontal="center" vertical="center"/>
    </xf>
    <xf numFmtId="9" fontId="41" fillId="2" borderId="54" xfId="9" applyFont="1" applyFill="1" applyBorder="1" applyAlignment="1">
      <alignment horizontal="center" vertical="center" wrapText="1"/>
    </xf>
    <xf numFmtId="169" fontId="39" fillId="2" borderId="54" xfId="3" applyNumberFormat="1" applyFont="1" applyFill="1" applyBorder="1" applyAlignment="1">
      <alignment vertical="center"/>
    </xf>
    <xf numFmtId="169" fontId="44" fillId="2" borderId="54" xfId="0" applyNumberFormat="1" applyFont="1" applyFill="1" applyBorder="1" applyAlignment="1">
      <alignment horizontal="center" vertical="center" wrapText="1"/>
    </xf>
    <xf numFmtId="169" fontId="44" fillId="2" borderId="54" xfId="0" applyNumberFormat="1" applyFont="1" applyFill="1" applyBorder="1" applyAlignment="1">
      <alignment vertical="center"/>
    </xf>
    <xf numFmtId="169" fontId="44" fillId="2" borderId="50" xfId="0" applyNumberFormat="1" applyFont="1" applyFill="1" applyBorder="1" applyAlignment="1">
      <alignment horizontal="center" vertical="center" wrapText="1"/>
    </xf>
    <xf numFmtId="169" fontId="44" fillId="2" borderId="50" xfId="0" applyNumberFormat="1" applyFont="1" applyFill="1" applyBorder="1" applyAlignment="1">
      <alignment vertical="center"/>
    </xf>
    <xf numFmtId="169" fontId="39" fillId="2" borderId="69" xfId="3" applyNumberFormat="1" applyFont="1" applyFill="1" applyBorder="1" applyAlignment="1">
      <alignment vertical="center"/>
    </xf>
    <xf numFmtId="169" fontId="44" fillId="2" borderId="49" xfId="0" applyNumberFormat="1" applyFont="1" applyFill="1" applyBorder="1" applyAlignment="1">
      <alignment horizontal="center" vertical="center" wrapText="1"/>
    </xf>
    <xf numFmtId="169" fontId="44" fillId="2" borderId="49" xfId="0" applyNumberFormat="1" applyFont="1" applyFill="1" applyBorder="1" applyAlignment="1">
      <alignment vertical="center"/>
    </xf>
    <xf numFmtId="0" fontId="40" fillId="2" borderId="0" xfId="3" applyFont="1" applyFill="1" applyAlignment="1" applyProtection="1">
      <alignment vertical="center"/>
      <protection locked="0"/>
    </xf>
    <xf numFmtId="37" fontId="43" fillId="2" borderId="0" xfId="10" applyNumberFormat="1" applyFont="1" applyFill="1" applyBorder="1" applyAlignment="1">
      <alignment horizontal="center" vertical="center"/>
    </xf>
    <xf numFmtId="0" fontId="43" fillId="2" borderId="0" xfId="0" applyFont="1" applyFill="1" applyAlignment="1">
      <alignment vertical="center"/>
    </xf>
    <xf numFmtId="0" fontId="43" fillId="2" borderId="0" xfId="10" applyNumberFormat="1" applyFont="1" applyFill="1" applyBorder="1" applyAlignment="1">
      <alignment horizontal="center" vertical="center"/>
    </xf>
    <xf numFmtId="43" fontId="40" fillId="2" borderId="0" xfId="10" applyFont="1" applyFill="1" applyBorder="1" applyAlignment="1">
      <alignment horizontal="center" vertical="center"/>
    </xf>
    <xf numFmtId="10" fontId="40" fillId="2" borderId="0" xfId="9" applyNumberFormat="1" applyFont="1" applyFill="1" applyBorder="1" applyAlignment="1">
      <alignment vertical="center"/>
    </xf>
    <xf numFmtId="43" fontId="40" fillId="2" borderId="0" xfId="9" applyNumberFormat="1" applyFont="1" applyFill="1" applyBorder="1" applyAlignment="1">
      <alignment vertical="center"/>
    </xf>
    <xf numFmtId="0" fontId="42" fillId="2" borderId="0" xfId="11" applyFont="1" applyFill="1" applyAlignment="1">
      <alignment horizontal="left" vertical="center"/>
    </xf>
    <xf numFmtId="0" fontId="42" fillId="2" borderId="0" xfId="11" applyFont="1" applyFill="1" applyAlignment="1">
      <alignment horizontal="center" vertical="center"/>
    </xf>
    <xf numFmtId="164" fontId="42" fillId="2" borderId="0" xfId="11" applyNumberFormat="1" applyFont="1" applyFill="1" applyAlignment="1">
      <alignment horizontal="center" vertical="center"/>
    </xf>
    <xf numFmtId="2" fontId="42" fillId="2" borderId="0" xfId="11" applyNumberFormat="1" applyFont="1" applyFill="1" applyAlignment="1">
      <alignment vertical="center"/>
    </xf>
    <xf numFmtId="10" fontId="42" fillId="2" borderId="0" xfId="9" applyNumberFormat="1" applyFont="1" applyFill="1" applyAlignment="1">
      <alignment horizontal="center" vertical="center"/>
    </xf>
    <xf numFmtId="2" fontId="42" fillId="2" borderId="0" xfId="11" applyNumberFormat="1" applyFont="1" applyFill="1" applyAlignment="1">
      <alignment horizontal="center" vertical="center"/>
    </xf>
    <xf numFmtId="43" fontId="40" fillId="2" borderId="0" xfId="10" applyFont="1" applyFill="1" applyAlignment="1">
      <alignment horizontal="left" vertical="center"/>
    </xf>
    <xf numFmtId="0" fontId="42" fillId="2" borderId="0" xfId="11" applyFont="1" applyFill="1" applyAlignment="1">
      <alignment vertical="center"/>
    </xf>
    <xf numFmtId="2" fontId="42" fillId="2" borderId="0" xfId="11" applyNumberFormat="1" applyFont="1" applyFill="1" applyAlignment="1">
      <alignment horizontal="left" vertical="center"/>
    </xf>
    <xf numFmtId="0" fontId="42" fillId="2" borderId="0" xfId="0" applyFont="1" applyFill="1" applyAlignment="1">
      <alignment vertical="center"/>
    </xf>
    <xf numFmtId="0" fontId="40" fillId="2" borderId="74" xfId="0" applyFont="1" applyFill="1" applyBorder="1" applyAlignment="1">
      <alignment horizontal="center" vertical="center"/>
    </xf>
    <xf numFmtId="0" fontId="43" fillId="2" borderId="74" xfId="0" applyFont="1" applyFill="1" applyBorder="1" applyAlignment="1">
      <alignment horizontal="left" vertical="center"/>
    </xf>
    <xf numFmtId="0" fontId="43" fillId="2" borderId="74" xfId="0" applyFont="1" applyFill="1" applyBorder="1" applyAlignment="1">
      <alignment horizontal="center" vertical="center" wrapText="1"/>
    </xf>
    <xf numFmtId="37" fontId="43" fillId="2" borderId="74" xfId="10" applyNumberFormat="1" applyFont="1" applyFill="1" applyBorder="1" applyAlignment="1">
      <alignment horizontal="center" vertical="center"/>
    </xf>
    <xf numFmtId="0" fontId="43" fillId="2" borderId="74" xfId="0" applyFont="1" applyFill="1" applyBorder="1" applyAlignment="1">
      <alignment horizontal="center" vertical="center"/>
    </xf>
    <xf numFmtId="169" fontId="39" fillId="2" borderId="74" xfId="10" applyNumberFormat="1" applyFont="1" applyFill="1" applyBorder="1" applyAlignment="1">
      <alignment horizontal="center" vertical="center"/>
    </xf>
    <xf numFmtId="169" fontId="39" fillId="2" borderId="74" xfId="0" applyNumberFormat="1" applyFont="1" applyFill="1" applyBorder="1" applyAlignment="1">
      <alignment horizontal="center" vertical="center" wrapText="1"/>
    </xf>
    <xf numFmtId="169" fontId="40" fillId="2" borderId="74" xfId="10" applyNumberFormat="1" applyFont="1" applyFill="1" applyBorder="1" applyAlignment="1">
      <alignment horizontal="center" vertical="center"/>
    </xf>
    <xf numFmtId="169" fontId="39" fillId="2" borderId="74" xfId="10" applyNumberFormat="1" applyFont="1" applyFill="1" applyBorder="1" applyAlignment="1">
      <alignment horizontal="center" vertical="center" wrapText="1"/>
    </xf>
    <xf numFmtId="9" fontId="41" fillId="2" borderId="74" xfId="9" applyFont="1" applyFill="1" applyBorder="1" applyAlignment="1">
      <alignment horizontal="center" vertical="center" wrapText="1"/>
    </xf>
    <xf numFmtId="0" fontId="40" fillId="2" borderId="75" xfId="0" applyFont="1" applyFill="1" applyBorder="1" applyAlignment="1">
      <alignment horizontal="center" vertical="center"/>
    </xf>
    <xf numFmtId="0" fontId="43" fillId="2" borderId="75" xfId="0" applyFont="1" applyFill="1" applyBorder="1" applyAlignment="1">
      <alignment horizontal="left" vertical="center"/>
    </xf>
    <xf numFmtId="0" fontId="43" fillId="2" borderId="75" xfId="0" applyFont="1" applyFill="1" applyBorder="1" applyAlignment="1">
      <alignment horizontal="center" vertical="center" wrapText="1"/>
    </xf>
    <xf numFmtId="37" fontId="43" fillId="2" borderId="75" xfId="10" applyNumberFormat="1" applyFont="1" applyFill="1" applyBorder="1" applyAlignment="1">
      <alignment horizontal="center" vertical="center"/>
    </xf>
    <xf numFmtId="0" fontId="43" fillId="2" borderId="75" xfId="0" applyFont="1" applyFill="1" applyBorder="1" applyAlignment="1">
      <alignment horizontal="center" vertical="center"/>
    </xf>
    <xf numFmtId="169" fontId="39" fillId="2" borderId="75" xfId="10" applyNumberFormat="1" applyFont="1" applyFill="1" applyBorder="1" applyAlignment="1">
      <alignment horizontal="center" vertical="center"/>
    </xf>
    <xf numFmtId="169" fontId="39" fillId="2" borderId="75" xfId="0" applyNumberFormat="1" applyFont="1" applyFill="1" applyBorder="1" applyAlignment="1">
      <alignment horizontal="center" vertical="center" wrapText="1"/>
    </xf>
    <xf numFmtId="169" fontId="40" fillId="2" borderId="75" xfId="10" applyNumberFormat="1" applyFont="1" applyFill="1" applyBorder="1" applyAlignment="1">
      <alignment horizontal="center" vertical="center"/>
    </xf>
    <xf numFmtId="169" fontId="39" fillId="2" borderId="75" xfId="10" applyNumberFormat="1" applyFont="1" applyFill="1" applyBorder="1" applyAlignment="1">
      <alignment horizontal="center" vertical="center" wrapText="1"/>
    </xf>
    <xf numFmtId="9" fontId="41" fillId="2" borderId="75" xfId="9" applyFont="1" applyFill="1" applyBorder="1" applyAlignment="1">
      <alignment horizontal="center" vertical="center" wrapText="1"/>
    </xf>
    <xf numFmtId="0" fontId="40" fillId="2" borderId="75" xfId="0" applyFont="1" applyFill="1" applyBorder="1" applyAlignment="1">
      <alignment horizontal="left" vertical="center"/>
    </xf>
    <xf numFmtId="37" fontId="40" fillId="2" borderId="75" xfId="10" applyNumberFormat="1" applyFont="1" applyFill="1" applyBorder="1" applyAlignment="1">
      <alignment horizontal="center" vertical="center"/>
    </xf>
    <xf numFmtId="0" fontId="40" fillId="2" borderId="75" xfId="3" applyFont="1" applyFill="1" applyBorder="1" applyAlignment="1">
      <alignment vertical="center"/>
    </xf>
    <xf numFmtId="43" fontId="40" fillId="2" borderId="75" xfId="3" applyNumberFormat="1" applyFont="1" applyFill="1" applyBorder="1" applyAlignment="1">
      <alignment vertical="center"/>
    </xf>
    <xf numFmtId="0" fontId="43" fillId="2" borderId="75" xfId="0" applyFont="1" applyFill="1" applyBorder="1" applyAlignment="1">
      <alignment vertical="center"/>
    </xf>
    <xf numFmtId="43" fontId="43" fillId="2" borderId="75" xfId="0" applyNumberFormat="1" applyFont="1" applyFill="1" applyBorder="1" applyAlignment="1">
      <alignment horizontal="left" vertical="center"/>
    </xf>
    <xf numFmtId="0" fontId="39" fillId="2" borderId="75" xfId="0" applyFont="1" applyFill="1" applyBorder="1" applyAlignment="1">
      <alignment horizontal="center" vertical="center"/>
    </xf>
    <xf numFmtId="0" fontId="40" fillId="2" borderId="75" xfId="0" applyFont="1" applyFill="1" applyBorder="1" applyAlignment="1">
      <alignment vertical="center"/>
    </xf>
    <xf numFmtId="43" fontId="40" fillId="2" borderId="75" xfId="10" applyFont="1" applyFill="1" applyBorder="1" applyAlignment="1">
      <alignment vertical="center"/>
    </xf>
    <xf numFmtId="0" fontId="43" fillId="2" borderId="75" xfId="3" applyFont="1" applyFill="1" applyBorder="1" applyAlignment="1">
      <alignment vertical="center"/>
    </xf>
    <xf numFmtId="0" fontId="43" fillId="2" borderId="75" xfId="3" applyFont="1" applyFill="1" applyBorder="1" applyAlignment="1">
      <alignment horizontal="center" vertical="center"/>
    </xf>
    <xf numFmtId="0" fontId="43" fillId="2" borderId="75" xfId="3" applyFont="1" applyFill="1" applyBorder="1" applyAlignment="1" applyProtection="1">
      <alignment vertical="center"/>
      <protection locked="0"/>
    </xf>
    <xf numFmtId="0" fontId="43" fillId="2" borderId="75" xfId="3" applyFont="1" applyFill="1" applyBorder="1" applyAlignment="1" applyProtection="1">
      <alignment horizontal="center" vertical="center"/>
      <protection locked="0"/>
    </xf>
    <xf numFmtId="43" fontId="43" fillId="2" borderId="75" xfId="3" applyNumberFormat="1" applyFont="1" applyFill="1" applyBorder="1" applyAlignment="1">
      <alignment vertical="center"/>
    </xf>
    <xf numFmtId="43" fontId="43" fillId="2" borderId="75" xfId="3" applyNumberFormat="1" applyFont="1" applyFill="1" applyBorder="1" applyAlignment="1" applyProtection="1">
      <alignment vertical="center"/>
      <protection locked="0"/>
    </xf>
    <xf numFmtId="169" fontId="43" fillId="2" borderId="75" xfId="10" applyNumberFormat="1" applyFont="1" applyFill="1" applyBorder="1" applyAlignment="1">
      <alignment vertical="center"/>
    </xf>
    <xf numFmtId="0" fontId="40" fillId="2" borderId="76" xfId="0" applyFont="1" applyFill="1" applyBorder="1" applyAlignment="1">
      <alignment horizontal="center" vertical="center"/>
    </xf>
    <xf numFmtId="0" fontId="43" fillId="2" borderId="76" xfId="3" applyFont="1" applyFill="1" applyBorder="1" applyAlignment="1">
      <alignment vertical="center"/>
    </xf>
    <xf numFmtId="0" fontId="43" fillId="2" borderId="76" xfId="3" applyFont="1" applyFill="1" applyBorder="1" applyAlignment="1">
      <alignment horizontal="center" vertical="center"/>
    </xf>
    <xf numFmtId="37" fontId="43" fillId="2" borderId="76" xfId="10" applyNumberFormat="1" applyFont="1" applyFill="1" applyBorder="1" applyAlignment="1">
      <alignment horizontal="center" vertical="center"/>
    </xf>
    <xf numFmtId="0" fontId="43" fillId="2" borderId="76" xfId="0" applyFont="1" applyFill="1" applyBorder="1" applyAlignment="1">
      <alignment horizontal="center" vertical="center"/>
    </xf>
    <xf numFmtId="169" fontId="39" fillId="2" borderId="76" xfId="10" applyNumberFormat="1" applyFont="1" applyFill="1" applyBorder="1" applyAlignment="1">
      <alignment horizontal="center" vertical="center"/>
    </xf>
    <xf numFmtId="169" fontId="39" fillId="2" borderId="76" xfId="0" applyNumberFormat="1" applyFont="1" applyFill="1" applyBorder="1" applyAlignment="1">
      <alignment horizontal="center" vertical="center" wrapText="1"/>
    </xf>
    <xf numFmtId="169" fontId="40" fillId="2" borderId="76" xfId="10" applyNumberFormat="1" applyFont="1" applyFill="1" applyBorder="1" applyAlignment="1">
      <alignment horizontal="center" vertical="center"/>
    </xf>
    <xf numFmtId="169" fontId="39" fillId="2" borderId="76" xfId="10" applyNumberFormat="1" applyFont="1" applyFill="1" applyBorder="1" applyAlignment="1">
      <alignment horizontal="center" vertical="center" wrapText="1"/>
    </xf>
    <xf numFmtId="9" fontId="41" fillId="2" borderId="76" xfId="9" applyFont="1" applyFill="1" applyBorder="1" applyAlignment="1">
      <alignment horizontal="center" vertical="center" wrapText="1"/>
    </xf>
    <xf numFmtId="43" fontId="42" fillId="2" borderId="0" xfId="10" applyFont="1" applyFill="1" applyAlignment="1">
      <alignment vertical="center"/>
    </xf>
    <xf numFmtId="10" fontId="42" fillId="2" borderId="0" xfId="9" applyNumberFormat="1" applyFont="1" applyFill="1" applyAlignment="1">
      <alignment horizontal="center" vertical="center"/>
    </xf>
    <xf numFmtId="164" fontId="42" fillId="2" borderId="0" xfId="11" applyNumberFormat="1" applyFont="1" applyFill="1" applyAlignment="1">
      <alignment horizontal="center" vertical="center"/>
    </xf>
    <xf numFmtId="0" fontId="39" fillId="2" borderId="0" xfId="0" applyFont="1" applyFill="1" applyAlignment="1">
      <alignment horizontal="left" vertical="center" wrapText="1"/>
    </xf>
    <xf numFmtId="43" fontId="42" fillId="2" borderId="0" xfId="10" applyFont="1" applyFill="1" applyAlignment="1">
      <alignment horizontal="center" vertical="center"/>
    </xf>
    <xf numFmtId="43" fontId="15" fillId="11" borderId="0" xfId="10" applyFont="1" applyFill="1" applyAlignment="1">
      <alignment horizontal="center"/>
    </xf>
    <xf numFmtId="0" fontId="15" fillId="11" borderId="0" xfId="10" applyNumberFormat="1" applyFont="1" applyFill="1" applyAlignment="1">
      <alignment horizontal="center"/>
    </xf>
    <xf numFmtId="0" fontId="8" fillId="11" borderId="0" xfId="0" applyFont="1" applyFill="1" applyAlignment="1">
      <alignment horizontal="center" vertical="center"/>
    </xf>
    <xf numFmtId="43" fontId="8" fillId="2" borderId="0" xfId="10" applyFont="1" applyFill="1" applyBorder="1" applyAlignment="1">
      <alignment horizontal="center" vertical="center"/>
    </xf>
    <xf numFmtId="43" fontId="8" fillId="11" borderId="0" xfId="10" applyFont="1" applyFill="1" applyBorder="1" applyAlignment="1">
      <alignment horizontal="center" vertical="center"/>
    </xf>
    <xf numFmtId="43" fontId="15" fillId="2" borderId="0" xfId="10" applyFont="1" applyFill="1" applyBorder="1" applyAlignment="1">
      <alignment horizontal="center" vertical="center"/>
    </xf>
    <xf numFmtId="43" fontId="8" fillId="0" borderId="0" xfId="10" applyFont="1" applyFill="1" applyBorder="1" applyAlignment="1">
      <alignment horizontal="center" vertical="center"/>
    </xf>
    <xf numFmtId="43" fontId="15" fillId="11" borderId="0" xfId="10" applyFont="1" applyFill="1" applyAlignment="1">
      <alignment horizontal="center" vertical="center"/>
    </xf>
    <xf numFmtId="43" fontId="8" fillId="0" borderId="0" xfId="10" applyFont="1" applyFill="1" applyAlignment="1">
      <alignment horizontal="center" vertical="center"/>
    </xf>
    <xf numFmtId="43" fontId="8" fillId="11" borderId="0" xfId="1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43" fontId="14" fillId="11" borderId="0" xfId="10" applyFont="1" applyFill="1" applyAlignment="1">
      <alignment horizontal="center"/>
    </xf>
    <xf numFmtId="43" fontId="13" fillId="11" borderId="0" xfId="10" applyFont="1" applyFill="1" applyBorder="1" applyAlignment="1">
      <alignment horizontal="center" vertical="center"/>
    </xf>
    <xf numFmtId="43" fontId="14" fillId="11" borderId="0" xfId="10" applyFont="1" applyFill="1" applyBorder="1" applyAlignment="1">
      <alignment horizontal="center" vertical="center"/>
    </xf>
    <xf numFmtId="43" fontId="15" fillId="11" borderId="0" xfId="1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9" fillId="11" borderId="0" xfId="0" applyFont="1" applyFill="1" applyAlignment="1">
      <alignment horizontal="center"/>
    </xf>
    <xf numFmtId="0" fontId="9" fillId="11" borderId="0" xfId="0" applyFont="1" applyFill="1" applyAlignment="1">
      <alignment horizontal="center" vertical="center"/>
    </xf>
    <xf numFmtId="43" fontId="8" fillId="11" borderId="27" xfId="1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/>
    </xf>
    <xf numFmtId="0" fontId="8" fillId="3" borderId="3" xfId="0" applyFont="1" applyFill="1" applyBorder="1"/>
    <xf numFmtId="0" fontId="8" fillId="3" borderId="3" xfId="0" applyFont="1" applyFill="1" applyBorder="1" applyAlignment="1">
      <alignment horizontal="center" vertical="top" wrapText="1"/>
    </xf>
    <xf numFmtId="43" fontId="8" fillId="3" borderId="3" xfId="10" applyFont="1" applyFill="1" applyBorder="1" applyAlignment="1">
      <alignment horizontal="center" vertical="top" wrapText="1"/>
    </xf>
    <xf numFmtId="9" fontId="8" fillId="3" borderId="8" xfId="10" applyNumberFormat="1" applyFont="1" applyFill="1" applyBorder="1" applyAlignment="1">
      <alignment horizontal="center" vertical="top" wrapText="1"/>
    </xf>
    <xf numFmtId="43" fontId="8" fillId="3" borderId="3" xfId="10" quotePrefix="1" applyFont="1" applyFill="1" applyBorder="1"/>
    <xf numFmtId="43" fontId="8" fillId="3" borderId="3" xfId="10" applyFont="1" applyFill="1" applyBorder="1" applyAlignment="1">
      <alignment horizontal="right" vertical="center"/>
    </xf>
    <xf numFmtId="44" fontId="8" fillId="3" borderId="22" xfId="2" applyFont="1" applyFill="1" applyBorder="1" applyAlignment="1">
      <alignment horizontal="center" vertical="center"/>
    </xf>
    <xf numFmtId="43" fontId="8" fillId="3" borderId="6" xfId="10" applyFont="1" applyFill="1" applyBorder="1" applyAlignment="1">
      <alignment horizontal="center" vertical="center"/>
    </xf>
    <xf numFmtId="0" fontId="8" fillId="3" borderId="10" xfId="0" quotePrefix="1" applyFont="1" applyFill="1" applyBorder="1" applyAlignment="1">
      <alignment horizontal="left" vertical="top"/>
    </xf>
    <xf numFmtId="0" fontId="20" fillId="3" borderId="8" xfId="0" applyFont="1" applyFill="1" applyBorder="1" applyAlignment="1">
      <alignment horizontal="left" vertical="center"/>
    </xf>
    <xf numFmtId="0" fontId="20" fillId="3" borderId="8" xfId="0" applyFont="1" applyFill="1" applyBorder="1" applyAlignment="1">
      <alignment horizontal="center" vertical="center"/>
    </xf>
    <xf numFmtId="43" fontId="20" fillId="3" borderId="8" xfId="10" applyFont="1" applyFill="1" applyBorder="1" applyAlignment="1">
      <alignment horizontal="center" vertical="center"/>
    </xf>
    <xf numFmtId="43" fontId="8" fillId="3" borderId="8" xfId="10" applyFont="1" applyFill="1" applyBorder="1" applyAlignment="1">
      <alignment horizontal="center" vertical="top" wrapText="1"/>
    </xf>
    <xf numFmtId="43" fontId="8" fillId="3" borderId="8" xfId="10" quotePrefix="1" applyFont="1" applyFill="1" applyBorder="1"/>
    <xf numFmtId="43" fontId="8" fillId="3" borderId="8" xfId="10" applyFont="1" applyFill="1" applyBorder="1" applyAlignment="1">
      <alignment horizontal="right" vertical="center"/>
    </xf>
    <xf numFmtId="44" fontId="8" fillId="3" borderId="23" xfId="2" applyFont="1" applyFill="1" applyBorder="1" applyAlignment="1">
      <alignment horizontal="center" vertical="center"/>
    </xf>
    <xf numFmtId="0" fontId="8" fillId="3" borderId="8" xfId="0" quotePrefix="1" applyFont="1" applyFill="1" applyBorder="1" applyAlignment="1">
      <alignment horizontal="left" vertical="top"/>
    </xf>
    <xf numFmtId="44" fontId="8" fillId="3" borderId="8" xfId="2" applyFont="1" applyFill="1" applyBorder="1" applyAlignment="1">
      <alignment horizontal="center" vertical="center"/>
    </xf>
    <xf numFmtId="0" fontId="8" fillId="3" borderId="37" xfId="0" quotePrefix="1" applyFont="1" applyFill="1" applyBorder="1" applyAlignment="1">
      <alignment horizontal="left" vertical="top"/>
    </xf>
    <xf numFmtId="0" fontId="8" fillId="3" borderId="8" xfId="0" applyFont="1" applyFill="1" applyBorder="1" applyAlignment="1">
      <alignment horizontal="left" vertical="top"/>
    </xf>
    <xf numFmtId="43" fontId="8" fillId="3" borderId="8" xfId="10" applyFont="1" applyFill="1" applyBorder="1"/>
    <xf numFmtId="0" fontId="8" fillId="3" borderId="8" xfId="0" applyFont="1" applyFill="1" applyBorder="1"/>
    <xf numFmtId="0" fontId="8" fillId="3" borderId="10" xfId="0" applyFont="1" applyFill="1" applyBorder="1" applyAlignment="1">
      <alignment horizontal="left" vertical="top"/>
    </xf>
    <xf numFmtId="0" fontId="8" fillId="3" borderId="8" xfId="0" quotePrefix="1" applyFont="1" applyFill="1" applyBorder="1" applyAlignment="1">
      <alignment vertical="top"/>
    </xf>
    <xf numFmtId="167" fontId="8" fillId="3" borderId="8" xfId="3" applyNumberFormat="1" applyFont="1" applyFill="1" applyBorder="1" applyAlignment="1" applyProtection="1">
      <alignment horizontal="center" vertical="center"/>
      <protection locked="0"/>
    </xf>
    <xf numFmtId="43" fontId="8" fillId="3" borderId="8" xfId="10" applyFont="1" applyFill="1" applyBorder="1" applyAlignment="1" applyProtection="1">
      <alignment horizontal="center"/>
      <protection locked="0"/>
    </xf>
    <xf numFmtId="44" fontId="8" fillId="3" borderId="16" xfId="2" applyFont="1" applyFill="1" applyBorder="1" applyAlignment="1">
      <alignment horizontal="center" vertical="center"/>
    </xf>
    <xf numFmtId="169" fontId="8" fillId="3" borderId="8" xfId="10" quotePrefix="1" applyNumberFormat="1" applyFont="1" applyFill="1" applyBorder="1"/>
    <xf numFmtId="43" fontId="20" fillId="3" borderId="3" xfId="10" applyFont="1" applyFill="1" applyBorder="1" applyAlignment="1">
      <alignment horizontal="center" vertical="center"/>
    </xf>
    <xf numFmtId="43" fontId="8" fillId="3" borderId="16" xfId="1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top" wrapText="1"/>
    </xf>
    <xf numFmtId="0" fontId="8" fillId="3" borderId="2" xfId="0" quotePrefix="1" applyFont="1" applyFill="1" applyBorder="1" applyAlignment="1">
      <alignment horizontal="left" vertical="top"/>
    </xf>
    <xf numFmtId="0" fontId="8" fillId="3" borderId="20" xfId="0" quotePrefix="1" applyFont="1" applyFill="1" applyBorder="1" applyAlignment="1">
      <alignment vertical="top"/>
    </xf>
    <xf numFmtId="0" fontId="8" fillId="3" borderId="2" xfId="0" applyFont="1" applyFill="1" applyBorder="1" applyAlignment="1">
      <alignment horizontal="center" vertical="top" wrapText="1"/>
    </xf>
    <xf numFmtId="43" fontId="8" fillId="3" borderId="2" xfId="10" applyFont="1" applyFill="1" applyBorder="1" applyAlignment="1">
      <alignment horizontal="center" vertical="top" wrapText="1"/>
    </xf>
    <xf numFmtId="9" fontId="8" fillId="3" borderId="2" xfId="10" applyNumberFormat="1" applyFont="1" applyFill="1" applyBorder="1" applyAlignment="1">
      <alignment horizontal="center" vertical="top" wrapText="1"/>
    </xf>
    <xf numFmtId="43" fontId="8" fillId="3" borderId="2" xfId="10" applyFont="1" applyFill="1" applyBorder="1"/>
    <xf numFmtId="43" fontId="8" fillId="3" borderId="2" xfId="10" applyFont="1" applyFill="1" applyBorder="1" applyAlignment="1">
      <alignment horizontal="right" vertical="center"/>
    </xf>
    <xf numFmtId="44" fontId="8" fillId="3" borderId="4" xfId="2" applyFont="1" applyFill="1" applyBorder="1" applyAlignment="1">
      <alignment horizontal="center" vertical="center"/>
    </xf>
    <xf numFmtId="0" fontId="8" fillId="3" borderId="10" xfId="0" quotePrefix="1" applyFont="1" applyFill="1" applyBorder="1" applyAlignment="1">
      <alignment horizontal="center" vertical="top"/>
    </xf>
    <xf numFmtId="9" fontId="8" fillId="3" borderId="3" xfId="10" applyNumberFormat="1" applyFont="1" applyFill="1" applyBorder="1" applyAlignment="1">
      <alignment horizontal="center" vertical="top" wrapText="1"/>
    </xf>
    <xf numFmtId="44" fontId="8" fillId="3" borderId="16" xfId="8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left" vertical="top"/>
    </xf>
    <xf numFmtId="43" fontId="8" fillId="3" borderId="14" xfId="10" applyFont="1" applyFill="1" applyBorder="1" applyAlignment="1">
      <alignment horizontal="center" vertical="top" wrapText="1"/>
    </xf>
    <xf numFmtId="168" fontId="8" fillId="3" borderId="0" xfId="0" applyNumberFormat="1" applyFont="1" applyFill="1" applyAlignment="1">
      <alignment horizontal="right" vertical="top"/>
    </xf>
    <xf numFmtId="39" fontId="8" fillId="3" borderId="16" xfId="8" applyNumberFormat="1" applyFont="1" applyFill="1" applyBorder="1" applyAlignment="1">
      <alignment horizontal="right" vertical="center"/>
    </xf>
    <xf numFmtId="0" fontId="8" fillId="3" borderId="14" xfId="0" quotePrefix="1" applyFont="1" applyFill="1" applyBorder="1" applyAlignment="1">
      <alignment vertical="top"/>
    </xf>
    <xf numFmtId="168" fontId="8" fillId="3" borderId="8" xfId="0" applyNumberFormat="1" applyFont="1" applyFill="1" applyBorder="1" applyAlignment="1">
      <alignment horizontal="right" vertical="top"/>
    </xf>
    <xf numFmtId="43" fontId="8" fillId="3" borderId="50" xfId="1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top"/>
    </xf>
    <xf numFmtId="0" fontId="9" fillId="3" borderId="8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43" fontId="9" fillId="3" borderId="8" xfId="1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center" vertical="center"/>
    </xf>
    <xf numFmtId="43" fontId="9" fillId="3" borderId="3" xfId="10" applyFont="1" applyFill="1" applyBorder="1" applyAlignment="1">
      <alignment horizontal="center" vertical="center"/>
    </xf>
    <xf numFmtId="0" fontId="8" fillId="3" borderId="8" xfId="0" quotePrefix="1" applyFont="1" applyFill="1" applyBorder="1" applyAlignment="1">
      <alignment horizontal="center" vertical="top"/>
    </xf>
    <xf numFmtId="44" fontId="8" fillId="3" borderId="44" xfId="2" applyFont="1" applyFill="1" applyBorder="1" applyAlignment="1">
      <alignment horizontal="center" vertical="center"/>
    </xf>
    <xf numFmtId="0" fontId="9" fillId="3" borderId="60" xfId="0" applyFont="1" applyFill="1" applyBorder="1" applyAlignment="1">
      <alignment horizontal="right" vertical="top" wrapText="1"/>
    </xf>
  </cellXfs>
  <cellStyles count="21">
    <cellStyle name="Comma" xfId="10" builtinId="3"/>
    <cellStyle name="Comma 2" xfId="1" xr:uid="{00000000-0005-0000-0000-000001000000}"/>
    <cellStyle name="Comma 3" xfId="13" xr:uid="{00000000-0005-0000-0000-000002000000}"/>
    <cellStyle name="Comma 4" xfId="14" xr:uid="{00000000-0005-0000-0000-000003000000}"/>
    <cellStyle name="Comma 5" xfId="19" xr:uid="{00000000-0005-0000-0000-000004000000}"/>
    <cellStyle name="Comma 8 2" xfId="20" xr:uid="{00000000-0005-0000-0000-000005000000}"/>
    <cellStyle name="Currency" xfId="8" builtinId="4"/>
    <cellStyle name="Currency 2" xfId="2" xr:uid="{00000000-0005-0000-0000-000007000000}"/>
    <cellStyle name="Normal" xfId="0" builtinId="0"/>
    <cellStyle name="Normal 2" xfId="3" xr:uid="{00000000-0005-0000-0000-000009000000}"/>
    <cellStyle name="Normal 2 2" xfId="4" xr:uid="{00000000-0005-0000-0000-00000A000000}"/>
    <cellStyle name="Normal 2 3" xfId="15" xr:uid="{00000000-0005-0000-0000-00000B000000}"/>
    <cellStyle name="Normal 3" xfId="5" xr:uid="{00000000-0005-0000-0000-00000C000000}"/>
    <cellStyle name="Normal 3 2" xfId="11" xr:uid="{00000000-0005-0000-0000-00000D000000}"/>
    <cellStyle name="Normal 4" xfId="16" xr:uid="{00000000-0005-0000-0000-00000E000000}"/>
    <cellStyle name="Normal 5" xfId="17" xr:uid="{00000000-0005-0000-0000-00000F000000}"/>
    <cellStyle name="Normal 6" xfId="18" xr:uid="{00000000-0005-0000-0000-000010000000}"/>
    <cellStyle name="Percent" xfId="9" builtinId="5"/>
    <cellStyle name="Percent 2" xfId="7" xr:uid="{00000000-0005-0000-0000-000012000000}"/>
    <cellStyle name="Percent 2 2" xfId="12" xr:uid="{00000000-0005-0000-0000-000013000000}"/>
    <cellStyle name="Percent 3" xfId="6" xr:uid="{00000000-0005-0000-0000-000014000000}"/>
  </cellStyles>
  <dxfs count="3">
    <dxf>
      <fill>
        <patternFill patternType="solid">
          <fgColor indexed="64"/>
          <bgColor theme="0" tint="-0.1499679555650502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GS-2021/ANGS%20Receipe%20-2021/Receipe-2021/ANGS-%20Standard%20Food%20Recepies%20-%20Dec'20%20(20.02.21)%20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ket List"/>
      <sheetName val="All Recipe"/>
      <sheetName val="Menu Summary"/>
      <sheetName val="Asian Set Menu"/>
      <sheetName val="International Set Menu"/>
      <sheetName val="Myanmar Set Menu"/>
      <sheetName val="Honeymoon Package"/>
      <sheetName val="Asian Buffet"/>
      <sheetName val="BBQ Buffet"/>
      <sheetName val="Buffet Breakfast - 2021"/>
      <sheetName val="Ala Carte Breakfast -2021"/>
      <sheetName val="New Food Cost"/>
    </sheetNames>
    <sheetDataSet>
      <sheetData sheetId="0" refreshError="1">
        <row r="15">
          <cell r="H15">
            <v>12000</v>
          </cell>
        </row>
        <row r="30">
          <cell r="H30">
            <v>1500</v>
          </cell>
        </row>
        <row r="89">
          <cell r="H89">
            <v>10779.411764705883</v>
          </cell>
        </row>
        <row r="100">
          <cell r="H100">
            <v>50</v>
          </cell>
        </row>
        <row r="125">
          <cell r="H125">
            <v>20132</v>
          </cell>
        </row>
        <row r="173">
          <cell r="H173">
            <v>21066.666666666668</v>
          </cell>
        </row>
        <row r="196">
          <cell r="H196">
            <v>44052.863436123349</v>
          </cell>
        </row>
        <row r="203">
          <cell r="H203">
            <v>41160</v>
          </cell>
        </row>
        <row r="227">
          <cell r="H227">
            <v>1629</v>
          </cell>
        </row>
        <row r="250">
          <cell r="H250">
            <v>1500</v>
          </cell>
        </row>
        <row r="267">
          <cell r="H267">
            <v>1800</v>
          </cell>
        </row>
        <row r="269">
          <cell r="H269">
            <v>1810</v>
          </cell>
        </row>
        <row r="349">
          <cell r="H349">
            <v>7407.4074074074078</v>
          </cell>
        </row>
        <row r="352">
          <cell r="H352">
            <v>771.60493827160496</v>
          </cell>
        </row>
        <row r="385">
          <cell r="H385">
            <v>4555</v>
          </cell>
        </row>
        <row r="399">
          <cell r="H399">
            <v>33.333333333333336</v>
          </cell>
        </row>
        <row r="406">
          <cell r="H406">
            <v>2000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C114"/>
  <sheetViews>
    <sheetView tabSelected="1" zoomScale="93" zoomScaleNormal="93" workbookViewId="0">
      <pane xSplit="8" ySplit="7" topLeftCell="I8" activePane="bottomRight" state="frozen"/>
      <selection pane="topRight" activeCell="I1" sqref="I1"/>
      <selection pane="bottomLeft" activeCell="A9" sqref="A9"/>
      <selection pane="bottomRight" activeCell="B59" sqref="B59"/>
    </sheetView>
  </sheetViews>
  <sheetFormatPr defaultColWidth="9.140625" defaultRowHeight="17.25" x14ac:dyDescent="0.25"/>
  <cols>
    <col min="1" max="1" width="4.28515625" style="844" customWidth="1"/>
    <col min="2" max="2" width="32.7109375" style="838" customWidth="1"/>
    <col min="3" max="3" width="6" style="838" customWidth="1"/>
    <col min="4" max="4" width="7.140625" style="838" customWidth="1"/>
    <col min="5" max="5" width="8.42578125" style="839" customWidth="1"/>
    <col min="6" max="6" width="8.85546875" style="839" customWidth="1"/>
    <col min="7" max="7" width="21.140625" style="839" customWidth="1"/>
    <col min="8" max="8" width="12.42578125" style="840" customWidth="1"/>
    <col min="9" max="9" width="11.42578125" style="840" customWidth="1"/>
    <col min="10" max="10" width="12.5703125" style="841" customWidth="1"/>
    <col min="11" max="11" width="8.85546875" style="841" customWidth="1"/>
    <col min="12" max="12" width="10.5703125" style="841" customWidth="1"/>
    <col min="13" max="13" width="10" style="841" customWidth="1"/>
    <col min="14" max="14" width="9.7109375" style="841" customWidth="1"/>
    <col min="15" max="15" width="9.140625" style="841" customWidth="1"/>
    <col min="16" max="16" width="10.5703125" style="842" customWidth="1"/>
    <col min="17" max="18" width="11.7109375" style="842" customWidth="1"/>
    <col min="19" max="19" width="10.28515625" style="842" customWidth="1"/>
    <col min="20" max="20" width="10.28515625" style="843" customWidth="1"/>
    <col min="21" max="21" width="9" style="843" customWidth="1"/>
    <col min="22" max="22" width="13.140625" style="843" customWidth="1"/>
    <col min="23" max="23" width="11.28515625" style="843" customWidth="1"/>
    <col min="24" max="24" width="10.42578125" style="843" customWidth="1"/>
    <col min="25" max="25" width="12.42578125" style="843" customWidth="1"/>
    <col min="26" max="26" width="10.42578125" style="819" customWidth="1"/>
    <col min="27" max="27" width="9.42578125" style="818" customWidth="1"/>
    <col min="28" max="28" width="14.28515625" style="44" customWidth="1"/>
    <col min="29" max="16384" width="9.140625" style="44"/>
  </cols>
  <sheetData>
    <row r="1" spans="1:29" x14ac:dyDescent="0.25">
      <c r="A1" s="931" t="s">
        <v>954</v>
      </c>
      <c r="B1" s="931"/>
    </row>
    <row r="2" spans="1:29" x14ac:dyDescent="0.25">
      <c r="A2" s="931" t="s">
        <v>934</v>
      </c>
      <c r="B2" s="931"/>
    </row>
    <row r="3" spans="1:29" ht="17.25" customHeight="1" x14ac:dyDescent="0.25">
      <c r="A3" s="931" t="s">
        <v>955</v>
      </c>
      <c r="B3" s="931"/>
      <c r="C3" s="931"/>
      <c r="D3" s="931"/>
      <c r="E3" s="931"/>
    </row>
    <row r="4" spans="1:29" x14ac:dyDescent="0.25">
      <c r="A4" s="931" t="s">
        <v>961</v>
      </c>
      <c r="B4" s="931"/>
    </row>
    <row r="5" spans="1:29" ht="15.75" customHeight="1" x14ac:dyDescent="0.25">
      <c r="A5" s="931" t="s">
        <v>956</v>
      </c>
      <c r="B5" s="931"/>
      <c r="C5" s="931"/>
      <c r="D5" s="931"/>
      <c r="E5" s="931"/>
    </row>
    <row r="6" spans="1:29" ht="18" thickBot="1" x14ac:dyDescent="0.3">
      <c r="Q6" s="845"/>
      <c r="R6" s="845"/>
    </row>
    <row r="7" spans="1:29" s="822" customFormat="1" ht="104.25" thickBot="1" x14ac:dyDescent="0.3">
      <c r="A7" s="846" t="s">
        <v>28</v>
      </c>
      <c r="B7" s="846" t="s">
        <v>29</v>
      </c>
      <c r="C7" s="846" t="s">
        <v>935</v>
      </c>
      <c r="D7" s="846" t="s">
        <v>936</v>
      </c>
      <c r="E7" s="846" t="s">
        <v>30</v>
      </c>
      <c r="F7" s="846" t="s">
        <v>31</v>
      </c>
      <c r="G7" s="846" t="s">
        <v>32</v>
      </c>
      <c r="H7" s="846" t="s">
        <v>33</v>
      </c>
      <c r="I7" s="847" t="s">
        <v>932</v>
      </c>
      <c r="J7" s="846" t="s">
        <v>937</v>
      </c>
      <c r="K7" s="846" t="s">
        <v>678</v>
      </c>
      <c r="L7" s="846" t="s">
        <v>34</v>
      </c>
      <c r="M7" s="846" t="s">
        <v>938</v>
      </c>
      <c r="N7" s="846" t="s">
        <v>939</v>
      </c>
      <c r="O7" s="846" t="s">
        <v>957</v>
      </c>
      <c r="P7" s="846" t="s">
        <v>953</v>
      </c>
      <c r="Q7" s="846" t="s">
        <v>940</v>
      </c>
      <c r="R7" s="846" t="s">
        <v>941</v>
      </c>
      <c r="S7" s="846" t="s">
        <v>942</v>
      </c>
      <c r="T7" s="846" t="s">
        <v>943</v>
      </c>
      <c r="U7" s="846" t="s">
        <v>944</v>
      </c>
      <c r="V7" s="846" t="s">
        <v>945</v>
      </c>
      <c r="W7" s="848" t="s">
        <v>946</v>
      </c>
      <c r="X7" s="848" t="s">
        <v>947</v>
      </c>
      <c r="Y7" s="848" t="s">
        <v>948</v>
      </c>
      <c r="Z7" s="820" t="s">
        <v>949</v>
      </c>
      <c r="AA7" s="820" t="s">
        <v>950</v>
      </c>
      <c r="AB7" s="821"/>
      <c r="AC7" s="821"/>
    </row>
    <row r="8" spans="1:29" s="821" customFormat="1" ht="18.75" customHeight="1" x14ac:dyDescent="0.25">
      <c r="A8" s="849"/>
      <c r="B8" s="850" t="s">
        <v>36</v>
      </c>
      <c r="C8" s="850"/>
      <c r="D8" s="850"/>
      <c r="E8" s="851"/>
      <c r="F8" s="851"/>
      <c r="G8" s="851"/>
      <c r="H8" s="852"/>
      <c r="I8" s="852"/>
      <c r="J8" s="853"/>
      <c r="K8" s="853"/>
      <c r="L8" s="853"/>
      <c r="M8" s="853"/>
      <c r="N8" s="853"/>
      <c r="O8" s="853"/>
      <c r="P8" s="854"/>
      <c r="Q8" s="854"/>
      <c r="R8" s="854"/>
      <c r="S8" s="854"/>
      <c r="T8" s="855"/>
      <c r="U8" s="855"/>
      <c r="V8" s="855"/>
      <c r="W8" s="855"/>
      <c r="X8" s="855"/>
      <c r="Y8" s="855"/>
      <c r="Z8" s="823"/>
      <c r="AA8" s="824"/>
    </row>
    <row r="9" spans="1:29" s="821" customFormat="1" ht="18.75" customHeight="1" x14ac:dyDescent="0.25">
      <c r="A9" s="882">
        <v>1</v>
      </c>
      <c r="B9" s="883" t="str">
        <f>'Appetizer &amp; Salad'!B4</f>
        <v>Tea Leave Salad</v>
      </c>
      <c r="C9" s="883"/>
      <c r="D9" s="884">
        <v>102</v>
      </c>
      <c r="E9" s="885" t="s">
        <v>884</v>
      </c>
      <c r="F9" s="885" t="s">
        <v>37</v>
      </c>
      <c r="G9" s="886" t="s">
        <v>951</v>
      </c>
      <c r="H9" s="885" t="s">
        <v>38</v>
      </c>
      <c r="I9" s="887">
        <v>7000</v>
      </c>
      <c r="J9" s="888">
        <v>9000</v>
      </c>
      <c r="K9" s="889">
        <f t="shared" ref="K9:K17" si="0">+J9/113.3*3.3</f>
        <v>262.13592233009712</v>
      </c>
      <c r="L9" s="889">
        <f t="shared" ref="L9:L17" si="1">+J9/113.3*10</f>
        <v>794.35127978817309</v>
      </c>
      <c r="M9" s="888">
        <f t="shared" ref="M9:M17" si="2">+I9/113.3*100</f>
        <v>6178.2877316857903</v>
      </c>
      <c r="N9" s="888">
        <f t="shared" ref="N9:N17" si="3">+J9/113.3*100</f>
        <v>7943.5127978817309</v>
      </c>
      <c r="O9" s="890">
        <v>1967.1</v>
      </c>
      <c r="P9" s="890">
        <f>'Appetizer &amp; Salad'!H21</f>
        <v>2435.7109921166152</v>
      </c>
      <c r="Q9" s="891">
        <f>O9/M9</f>
        <v>0.31838918571428571</v>
      </c>
      <c r="R9" s="891">
        <f>P9/N9</f>
        <v>0.30662895045201388</v>
      </c>
      <c r="S9" s="857">
        <f>M9-O9</f>
        <v>4211.1877316857899</v>
      </c>
      <c r="T9" s="857">
        <f>N9-P9</f>
        <v>5507.8018057651152</v>
      </c>
      <c r="U9" s="857">
        <v>68</v>
      </c>
      <c r="V9" s="856">
        <f t="shared" ref="V9:V17" si="4">U9/SUM($U$8:$U$17)</f>
        <v>0.10059171597633136</v>
      </c>
      <c r="W9" s="858">
        <f>N9-M9</f>
        <v>1765.2250661959406</v>
      </c>
      <c r="X9" s="859">
        <f>P9-O9</f>
        <v>468.61099211661531</v>
      </c>
      <c r="Y9" s="859">
        <f>T9-S9</f>
        <v>1296.6140740793253</v>
      </c>
      <c r="Z9" s="825"/>
      <c r="AA9" s="826"/>
    </row>
    <row r="10" spans="1:29" s="821" customFormat="1" ht="18.75" customHeight="1" x14ac:dyDescent="0.25">
      <c r="A10" s="892">
        <v>2</v>
      </c>
      <c r="B10" s="893" t="str">
        <f>'Appetizer &amp; Salad'!B29</f>
        <v>Fish Cracker</v>
      </c>
      <c r="C10" s="893"/>
      <c r="D10" s="894">
        <v>103</v>
      </c>
      <c r="E10" s="895" t="s">
        <v>884</v>
      </c>
      <c r="F10" s="895" t="s">
        <v>37</v>
      </c>
      <c r="G10" s="896" t="s">
        <v>951</v>
      </c>
      <c r="H10" s="895" t="s">
        <v>38</v>
      </c>
      <c r="I10" s="897">
        <v>8000</v>
      </c>
      <c r="J10" s="898">
        <v>9000</v>
      </c>
      <c r="K10" s="899">
        <f t="shared" si="0"/>
        <v>262.13592233009712</v>
      </c>
      <c r="L10" s="899">
        <f t="shared" si="1"/>
        <v>794.35127978817309</v>
      </c>
      <c r="M10" s="898">
        <f t="shared" si="2"/>
        <v>7060.9002647837597</v>
      </c>
      <c r="N10" s="898">
        <f t="shared" si="3"/>
        <v>7943.5127978817309</v>
      </c>
      <c r="O10" s="900">
        <v>2460</v>
      </c>
      <c r="P10" s="900">
        <f>'Appetizer &amp; Salad'!H38</f>
        <v>1801.7108433734941</v>
      </c>
      <c r="Q10" s="901">
        <f t="shared" ref="Q10:Q73" si="5">O10/M10</f>
        <v>0.34839750000000003</v>
      </c>
      <c r="R10" s="901">
        <f t="shared" ref="R10:R73" si="6">P10/N10</f>
        <v>0.22681537617135206</v>
      </c>
      <c r="S10" s="857">
        <f t="shared" ref="S10:S73" si="7">M10-O10</f>
        <v>4600.9002647837597</v>
      </c>
      <c r="T10" s="857">
        <f t="shared" ref="T10:T73" si="8">N10-P10</f>
        <v>6141.801954508237</v>
      </c>
      <c r="U10" s="857">
        <v>90</v>
      </c>
      <c r="V10" s="856">
        <f t="shared" si="4"/>
        <v>0.13313609467455623</v>
      </c>
      <c r="W10" s="860">
        <f t="shared" ref="W10:W17" si="9">N10-M10</f>
        <v>882.61253309797121</v>
      </c>
      <c r="X10" s="861">
        <f t="shared" ref="X10:X17" si="10">P10-O10</f>
        <v>-658.28915662650593</v>
      </c>
      <c r="Y10" s="861">
        <f t="shared" ref="Y10:Y68" si="11">T10-S10</f>
        <v>1540.9016897244774</v>
      </c>
      <c r="Z10" s="827"/>
      <c r="AA10" s="828"/>
    </row>
    <row r="11" spans="1:29" s="829" customFormat="1" ht="18.75" customHeight="1" x14ac:dyDescent="0.25">
      <c r="A11" s="892">
        <v>3</v>
      </c>
      <c r="B11" s="893" t="str">
        <f>'Appetizer &amp; Salad'!B45</f>
        <v>French Fries</v>
      </c>
      <c r="C11" s="893"/>
      <c r="D11" s="894">
        <v>103</v>
      </c>
      <c r="E11" s="895" t="s">
        <v>884</v>
      </c>
      <c r="F11" s="895" t="s">
        <v>37</v>
      </c>
      <c r="G11" s="896" t="s">
        <v>951</v>
      </c>
      <c r="H11" s="895" t="s">
        <v>38</v>
      </c>
      <c r="I11" s="897">
        <v>7000</v>
      </c>
      <c r="J11" s="898">
        <v>11000</v>
      </c>
      <c r="K11" s="899">
        <f t="shared" si="0"/>
        <v>320.38834951456312</v>
      </c>
      <c r="L11" s="899">
        <f t="shared" si="1"/>
        <v>970.87378640776706</v>
      </c>
      <c r="M11" s="898">
        <f t="shared" si="2"/>
        <v>6178.2877316857903</v>
      </c>
      <c r="N11" s="898">
        <f t="shared" si="3"/>
        <v>9708.7378640776697</v>
      </c>
      <c r="O11" s="900">
        <v>1729.38</v>
      </c>
      <c r="P11" s="900">
        <f>'Appetizer &amp; Salad'!H53</f>
        <v>3404.602409638554</v>
      </c>
      <c r="Q11" s="901">
        <f t="shared" si="5"/>
        <v>0.27991250571428572</v>
      </c>
      <c r="R11" s="901">
        <f t="shared" si="6"/>
        <v>0.35067404819277109</v>
      </c>
      <c r="S11" s="857">
        <f t="shared" si="7"/>
        <v>4448.9077316857902</v>
      </c>
      <c r="T11" s="857">
        <f t="shared" si="8"/>
        <v>6304.1354544391161</v>
      </c>
      <c r="U11" s="857">
        <v>180</v>
      </c>
      <c r="V11" s="856">
        <f t="shared" si="4"/>
        <v>0.26627218934911245</v>
      </c>
      <c r="W11" s="860">
        <f t="shared" si="9"/>
        <v>3530.4501323918794</v>
      </c>
      <c r="X11" s="861">
        <f t="shared" si="10"/>
        <v>1675.2224096385539</v>
      </c>
      <c r="Y11" s="861">
        <f t="shared" si="11"/>
        <v>1855.2277227533259</v>
      </c>
      <c r="Z11" s="827"/>
      <c r="AA11" s="828"/>
    </row>
    <row r="12" spans="1:29" s="821" customFormat="1" ht="18.75" customHeight="1" x14ac:dyDescent="0.25">
      <c r="A12" s="892">
        <v>4</v>
      </c>
      <c r="B12" s="893" t="str">
        <f>'Appetizer &amp; Salad'!B62</f>
        <v>Crispy Fried Chicken</v>
      </c>
      <c r="C12" s="893"/>
      <c r="D12" s="894">
        <v>103</v>
      </c>
      <c r="E12" s="895" t="s">
        <v>884</v>
      </c>
      <c r="F12" s="895" t="s">
        <v>37</v>
      </c>
      <c r="G12" s="896" t="s">
        <v>951</v>
      </c>
      <c r="H12" s="895" t="s">
        <v>38</v>
      </c>
      <c r="I12" s="897">
        <v>14000</v>
      </c>
      <c r="J12" s="898">
        <v>16000</v>
      </c>
      <c r="K12" s="899">
        <f t="shared" si="0"/>
        <v>466.01941747572812</v>
      </c>
      <c r="L12" s="899">
        <f t="shared" si="1"/>
        <v>1412.180052956752</v>
      </c>
      <c r="M12" s="898">
        <f t="shared" si="2"/>
        <v>12356.575463371581</v>
      </c>
      <c r="N12" s="898">
        <f t="shared" si="3"/>
        <v>14121.800529567519</v>
      </c>
      <c r="O12" s="900">
        <v>3751</v>
      </c>
      <c r="P12" s="900">
        <f>'Appetizer &amp; Salad'!H76</f>
        <v>5461.2274074074066</v>
      </c>
      <c r="Q12" s="901">
        <f t="shared" si="5"/>
        <v>0.30356307142857142</v>
      </c>
      <c r="R12" s="901">
        <f t="shared" si="6"/>
        <v>0.38672316578703697</v>
      </c>
      <c r="S12" s="857">
        <f t="shared" si="7"/>
        <v>8605.5754633715806</v>
      </c>
      <c r="T12" s="857">
        <f t="shared" si="8"/>
        <v>8660.5731221601127</v>
      </c>
      <c r="U12" s="857">
        <v>77</v>
      </c>
      <c r="V12" s="856">
        <f t="shared" si="4"/>
        <v>0.11390532544378698</v>
      </c>
      <c r="W12" s="860">
        <f t="shared" si="9"/>
        <v>1765.2250661959388</v>
      </c>
      <c r="X12" s="861">
        <f t="shared" si="10"/>
        <v>1710.2274074074066</v>
      </c>
      <c r="Y12" s="861">
        <f t="shared" si="11"/>
        <v>54.997658788532135</v>
      </c>
      <c r="Z12" s="827"/>
      <c r="AA12" s="828"/>
    </row>
    <row r="13" spans="1:29" s="821" customFormat="1" ht="18.75" customHeight="1" x14ac:dyDescent="0.25">
      <c r="A13" s="892">
        <v>5</v>
      </c>
      <c r="B13" s="893" t="str">
        <f>'Appetizer &amp; Salad'!B85</f>
        <v xml:space="preserve"> Green Papaya Salad </v>
      </c>
      <c r="C13" s="893"/>
      <c r="D13" s="894">
        <v>102</v>
      </c>
      <c r="E13" s="895" t="s">
        <v>884</v>
      </c>
      <c r="F13" s="895" t="s">
        <v>37</v>
      </c>
      <c r="G13" s="896" t="s">
        <v>951</v>
      </c>
      <c r="H13" s="895" t="s">
        <v>38</v>
      </c>
      <c r="I13" s="897">
        <v>10000</v>
      </c>
      <c r="J13" s="898">
        <v>11000</v>
      </c>
      <c r="K13" s="899">
        <f t="shared" si="0"/>
        <v>320.38834951456312</v>
      </c>
      <c r="L13" s="899">
        <f t="shared" si="1"/>
        <v>970.87378640776706</v>
      </c>
      <c r="M13" s="898">
        <f t="shared" si="2"/>
        <v>8826.1253309796994</v>
      </c>
      <c r="N13" s="898">
        <f t="shared" si="3"/>
        <v>9708.7378640776697</v>
      </c>
      <c r="O13" s="900">
        <v>2638</v>
      </c>
      <c r="P13" s="900">
        <f>'Appetizer &amp; Salad'!H106</f>
        <v>3396.3144578313254</v>
      </c>
      <c r="Q13" s="901">
        <f t="shared" si="5"/>
        <v>0.29888540000000002</v>
      </c>
      <c r="R13" s="901">
        <f t="shared" si="6"/>
        <v>0.3498203891566265</v>
      </c>
      <c r="S13" s="857">
        <f t="shared" si="7"/>
        <v>6188.1253309796994</v>
      </c>
      <c r="T13" s="857">
        <f t="shared" si="8"/>
        <v>6312.4234062463438</v>
      </c>
      <c r="U13" s="857">
        <v>62</v>
      </c>
      <c r="V13" s="856">
        <f t="shared" si="4"/>
        <v>9.1715976331360943E-2</v>
      </c>
      <c r="W13" s="860">
        <f t="shared" si="9"/>
        <v>882.6125330979703</v>
      </c>
      <c r="X13" s="861">
        <f t="shared" si="10"/>
        <v>758.3144578313254</v>
      </c>
      <c r="Y13" s="861">
        <f t="shared" si="11"/>
        <v>124.29807526664445</v>
      </c>
      <c r="Z13" s="827"/>
      <c r="AA13" s="828"/>
    </row>
    <row r="14" spans="1:29" s="821" customFormat="1" ht="18.75" customHeight="1" x14ac:dyDescent="0.25">
      <c r="A14" s="892">
        <v>6</v>
      </c>
      <c r="B14" s="902" t="str">
        <f>'Appetizer &amp; Salad'!B114</f>
        <v>Spicy Chcken Feet Salad</v>
      </c>
      <c r="C14" s="902"/>
      <c r="D14" s="894">
        <v>102</v>
      </c>
      <c r="E14" s="895" t="s">
        <v>884</v>
      </c>
      <c r="F14" s="903" t="s">
        <v>37</v>
      </c>
      <c r="G14" s="896" t="s">
        <v>951</v>
      </c>
      <c r="H14" s="903" t="s">
        <v>38</v>
      </c>
      <c r="I14" s="897">
        <v>10000</v>
      </c>
      <c r="J14" s="898">
        <v>15000</v>
      </c>
      <c r="K14" s="899">
        <f t="shared" si="0"/>
        <v>436.89320388349512</v>
      </c>
      <c r="L14" s="899">
        <f t="shared" si="1"/>
        <v>1323.918799646955</v>
      </c>
      <c r="M14" s="898">
        <f t="shared" si="2"/>
        <v>8826.1253309796994</v>
      </c>
      <c r="N14" s="898">
        <f t="shared" si="3"/>
        <v>13239.187996469551</v>
      </c>
      <c r="O14" s="900">
        <v>2755</v>
      </c>
      <c r="P14" s="900">
        <f>'Appetizer &amp; Salad'!H76</f>
        <v>5461.2274074074066</v>
      </c>
      <c r="Q14" s="901">
        <f t="shared" si="5"/>
        <v>0.31214150000000002</v>
      </c>
      <c r="R14" s="901">
        <f t="shared" si="6"/>
        <v>0.41250471017283941</v>
      </c>
      <c r="S14" s="857">
        <f t="shared" si="7"/>
        <v>6071.1253309796994</v>
      </c>
      <c r="T14" s="857">
        <f t="shared" si="8"/>
        <v>7777.9605890621442</v>
      </c>
      <c r="U14" s="857">
        <v>44</v>
      </c>
      <c r="V14" s="856">
        <f t="shared" si="4"/>
        <v>6.5088757396449703E-2</v>
      </c>
      <c r="W14" s="860">
        <f t="shared" si="9"/>
        <v>4413.0626654898515</v>
      </c>
      <c r="X14" s="861">
        <f t="shared" si="10"/>
        <v>2706.2274074074066</v>
      </c>
      <c r="Y14" s="861">
        <f t="shared" si="11"/>
        <v>1706.8352580824449</v>
      </c>
      <c r="Z14" s="827"/>
      <c r="AA14" s="828"/>
    </row>
    <row r="15" spans="1:29" s="821" customFormat="1" ht="18.75" customHeight="1" x14ac:dyDescent="0.25">
      <c r="A15" s="892">
        <v>7</v>
      </c>
      <c r="B15" s="904" t="str">
        <f>'Appetizer &amp; Salad'!B140</f>
        <v>Fried Chicken Wings</v>
      </c>
      <c r="C15" s="904"/>
      <c r="D15" s="894">
        <v>103</v>
      </c>
      <c r="E15" s="895" t="s">
        <v>884</v>
      </c>
      <c r="F15" s="903" t="s">
        <v>37</v>
      </c>
      <c r="G15" s="896" t="s">
        <v>951</v>
      </c>
      <c r="H15" s="903" t="s">
        <v>38</v>
      </c>
      <c r="I15" s="897">
        <v>14000</v>
      </c>
      <c r="J15" s="898">
        <v>13000</v>
      </c>
      <c r="K15" s="899">
        <f t="shared" si="0"/>
        <v>378.64077669902912</v>
      </c>
      <c r="L15" s="899">
        <f t="shared" si="1"/>
        <v>1147.396293027361</v>
      </c>
      <c r="M15" s="898">
        <f t="shared" si="2"/>
        <v>12356.575463371581</v>
      </c>
      <c r="N15" s="898">
        <f t="shared" si="3"/>
        <v>11473.96293027361</v>
      </c>
      <c r="O15" s="900">
        <v>2650.65</v>
      </c>
      <c r="P15" s="900">
        <f>'Appetizer &amp; Salad'!H153</f>
        <v>4140.7120481927705</v>
      </c>
      <c r="Q15" s="901">
        <f t="shared" si="5"/>
        <v>0.21451331785714287</v>
      </c>
      <c r="R15" s="901">
        <f t="shared" si="6"/>
        <v>0.36087898081556991</v>
      </c>
      <c r="S15" s="857">
        <f t="shared" si="7"/>
        <v>9705.9254633715809</v>
      </c>
      <c r="T15" s="857">
        <f t="shared" si="8"/>
        <v>7333.2508820808398</v>
      </c>
      <c r="U15" s="857">
        <v>23</v>
      </c>
      <c r="V15" s="856">
        <f t="shared" si="4"/>
        <v>3.4023668639053255E-2</v>
      </c>
      <c r="W15" s="860">
        <f t="shared" si="9"/>
        <v>-882.6125330979703</v>
      </c>
      <c r="X15" s="861">
        <f t="shared" si="10"/>
        <v>1490.0620481927704</v>
      </c>
      <c r="Y15" s="861">
        <f t="shared" si="11"/>
        <v>-2372.6745812907411</v>
      </c>
      <c r="Z15" s="827"/>
      <c r="AA15" s="828"/>
    </row>
    <row r="16" spans="1:29" s="821" customFormat="1" ht="18.75" customHeight="1" x14ac:dyDescent="0.25">
      <c r="A16" s="892">
        <v>8</v>
      </c>
      <c r="B16" s="905" t="str">
        <f>'Appetizer &amp; Salad'!B162</f>
        <v>Grilled Pork Neck Salad</v>
      </c>
      <c r="C16" s="905"/>
      <c r="D16" s="894">
        <v>102</v>
      </c>
      <c r="E16" s="895" t="s">
        <v>884</v>
      </c>
      <c r="F16" s="903" t="s">
        <v>37</v>
      </c>
      <c r="G16" s="896" t="s">
        <v>951</v>
      </c>
      <c r="H16" s="903" t="s">
        <v>38</v>
      </c>
      <c r="I16" s="897">
        <v>12000</v>
      </c>
      <c r="J16" s="898">
        <v>15000</v>
      </c>
      <c r="K16" s="899">
        <f t="shared" si="0"/>
        <v>436.89320388349512</v>
      </c>
      <c r="L16" s="899">
        <f t="shared" si="1"/>
        <v>1323.918799646955</v>
      </c>
      <c r="M16" s="898">
        <f t="shared" si="2"/>
        <v>10591.35039717564</v>
      </c>
      <c r="N16" s="898">
        <f t="shared" si="3"/>
        <v>13239.187996469551</v>
      </c>
      <c r="O16" s="900">
        <v>2856</v>
      </c>
      <c r="P16" s="900">
        <f>'Appetizer &amp; Salad'!H181</f>
        <v>4850.954819277109</v>
      </c>
      <c r="Q16" s="901">
        <f t="shared" si="5"/>
        <v>0.269654</v>
      </c>
      <c r="R16" s="901">
        <f t="shared" si="6"/>
        <v>0.36640878734939758</v>
      </c>
      <c r="S16" s="857">
        <f t="shared" si="7"/>
        <v>7735.35039717564</v>
      </c>
      <c r="T16" s="857">
        <f t="shared" si="8"/>
        <v>8388.2331771924419</v>
      </c>
      <c r="U16" s="857">
        <v>82</v>
      </c>
      <c r="V16" s="856">
        <f t="shared" si="4"/>
        <v>0.12130177514792899</v>
      </c>
      <c r="W16" s="860">
        <f t="shared" si="9"/>
        <v>2647.8375992939109</v>
      </c>
      <c r="X16" s="861">
        <f t="shared" si="10"/>
        <v>1994.954819277109</v>
      </c>
      <c r="Y16" s="861">
        <f t="shared" si="11"/>
        <v>652.88278001680192</v>
      </c>
      <c r="Z16" s="827"/>
      <c r="AA16" s="828"/>
    </row>
    <row r="17" spans="1:27" s="821" customFormat="1" ht="18.75" customHeight="1" x14ac:dyDescent="0.25">
      <c r="A17" s="892">
        <v>9</v>
      </c>
      <c r="B17" s="904" t="str">
        <f>'Appetizer &amp; Salad'!B189</f>
        <v>Deep Fried Pork Spare Ribs</v>
      </c>
      <c r="C17" s="904"/>
      <c r="D17" s="894">
        <v>103</v>
      </c>
      <c r="E17" s="895" t="s">
        <v>884</v>
      </c>
      <c r="F17" s="903" t="s">
        <v>37</v>
      </c>
      <c r="G17" s="896" t="s">
        <v>951</v>
      </c>
      <c r="H17" s="903" t="s">
        <v>38</v>
      </c>
      <c r="I17" s="897">
        <v>0</v>
      </c>
      <c r="J17" s="898">
        <v>18000</v>
      </c>
      <c r="K17" s="899">
        <f t="shared" si="0"/>
        <v>524.27184466019423</v>
      </c>
      <c r="L17" s="899">
        <f t="shared" si="1"/>
        <v>1588.7025595763462</v>
      </c>
      <c r="M17" s="898">
        <f t="shared" si="2"/>
        <v>0</v>
      </c>
      <c r="N17" s="898">
        <f t="shared" si="3"/>
        <v>15887.025595763462</v>
      </c>
      <c r="O17" s="900">
        <v>0</v>
      </c>
      <c r="P17" s="900">
        <f>'Appetizer &amp; Salad'!H201</f>
        <v>5469.73</v>
      </c>
      <c r="Q17" s="901"/>
      <c r="R17" s="901">
        <f t="shared" si="6"/>
        <v>0.34428911611111102</v>
      </c>
      <c r="S17" s="857">
        <f t="shared" si="7"/>
        <v>0</v>
      </c>
      <c r="T17" s="857">
        <f t="shared" si="8"/>
        <v>10417.295595763462</v>
      </c>
      <c r="U17" s="857">
        <v>50</v>
      </c>
      <c r="V17" s="856">
        <f t="shared" si="4"/>
        <v>7.3964497041420121E-2</v>
      </c>
      <c r="W17" s="860">
        <f t="shared" si="9"/>
        <v>15887.025595763462</v>
      </c>
      <c r="X17" s="861">
        <f t="shared" si="10"/>
        <v>5469.73</v>
      </c>
      <c r="Y17" s="861">
        <f t="shared" si="11"/>
        <v>10417.295595763462</v>
      </c>
      <c r="Z17" s="827"/>
      <c r="AA17" s="828"/>
    </row>
    <row r="18" spans="1:27" s="821" customFormat="1" ht="18.75" customHeight="1" x14ac:dyDescent="0.25">
      <c r="A18" s="892"/>
      <c r="B18" s="904"/>
      <c r="C18" s="904"/>
      <c r="D18" s="904"/>
      <c r="E18" s="895"/>
      <c r="F18" s="903"/>
      <c r="G18" s="896"/>
      <c r="H18" s="903"/>
      <c r="I18" s="897"/>
      <c r="J18" s="898"/>
      <c r="K18" s="899"/>
      <c r="L18" s="899"/>
      <c r="M18" s="898"/>
      <c r="N18" s="898"/>
      <c r="O18" s="900"/>
      <c r="P18" s="900"/>
      <c r="Q18" s="901"/>
      <c r="R18" s="901"/>
      <c r="S18" s="857"/>
      <c r="T18" s="857"/>
      <c r="U18" s="857"/>
      <c r="V18" s="856"/>
      <c r="W18" s="860"/>
      <c r="X18" s="861"/>
      <c r="Y18" s="861"/>
      <c r="Z18" s="827"/>
      <c r="AA18" s="828"/>
    </row>
    <row r="19" spans="1:27" s="821" customFormat="1" ht="18.75" customHeight="1" x14ac:dyDescent="0.25">
      <c r="A19" s="892"/>
      <c r="B19" s="896" t="s">
        <v>39</v>
      </c>
      <c r="C19" s="896"/>
      <c r="D19" s="896"/>
      <c r="E19" s="903"/>
      <c r="F19" s="903"/>
      <c r="G19" s="896"/>
      <c r="H19" s="903"/>
      <c r="I19" s="897"/>
      <c r="J19" s="898"/>
      <c r="K19" s="899"/>
      <c r="L19" s="899"/>
      <c r="M19" s="898"/>
      <c r="N19" s="898"/>
      <c r="O19" s="900"/>
      <c r="P19" s="900"/>
      <c r="Q19" s="901"/>
      <c r="R19" s="901"/>
      <c r="S19" s="857"/>
      <c r="T19" s="857"/>
      <c r="U19" s="857"/>
      <c r="V19" s="856"/>
      <c r="W19" s="860"/>
      <c r="X19" s="861"/>
      <c r="Y19" s="861"/>
      <c r="Z19" s="827"/>
      <c r="AA19" s="828"/>
    </row>
    <row r="20" spans="1:27" s="821" customFormat="1" ht="18.75" customHeight="1" x14ac:dyDescent="0.25">
      <c r="A20" s="892">
        <v>1</v>
      </c>
      <c r="B20" s="893" t="str">
        <f>Soup!B5</f>
        <v>Swun Tan Soup</v>
      </c>
      <c r="C20" s="893"/>
      <c r="D20" s="894">
        <v>151</v>
      </c>
      <c r="E20" s="895" t="s">
        <v>884</v>
      </c>
      <c r="F20" s="895" t="s">
        <v>37</v>
      </c>
      <c r="G20" s="896" t="s">
        <v>952</v>
      </c>
      <c r="H20" s="895" t="s">
        <v>38</v>
      </c>
      <c r="I20" s="897">
        <v>10000</v>
      </c>
      <c r="J20" s="898">
        <v>12000</v>
      </c>
      <c r="K20" s="899">
        <f t="shared" ref="K20:K25" si="12">+J20/113.3*3.3</f>
        <v>349.51456310679612</v>
      </c>
      <c r="L20" s="899">
        <f t="shared" ref="L20:L25" si="13">+J20/113.3*10</f>
        <v>1059.135039717564</v>
      </c>
      <c r="M20" s="898">
        <f t="shared" ref="M20:N25" si="14">+I20/113.3*100</f>
        <v>8826.1253309796994</v>
      </c>
      <c r="N20" s="898">
        <f t="shared" si="14"/>
        <v>10591.35039717564</v>
      </c>
      <c r="O20" s="900">
        <v>2514</v>
      </c>
      <c r="P20" s="900">
        <f>Soup!H22</f>
        <v>4892.2048192771081</v>
      </c>
      <c r="Q20" s="901">
        <f t="shared" si="5"/>
        <v>0.28483620000000004</v>
      </c>
      <c r="R20" s="901">
        <f t="shared" si="6"/>
        <v>0.46190567168674695</v>
      </c>
      <c r="S20" s="857">
        <f t="shared" si="7"/>
        <v>6312.1253309796994</v>
      </c>
      <c r="T20" s="857">
        <f t="shared" si="8"/>
        <v>5699.1455778985319</v>
      </c>
      <c r="U20" s="857">
        <v>34</v>
      </c>
      <c r="V20" s="856">
        <f>U20/SUM($U$20:$U$25)</f>
        <v>0.18784530386740331</v>
      </c>
      <c r="W20" s="860">
        <f t="shared" ref="W20:W68" si="15">N20-M20</f>
        <v>1765.2250661959406</v>
      </c>
      <c r="X20" s="861">
        <f t="shared" ref="X20:X70" si="16">P20-O20</f>
        <v>2378.2048192771081</v>
      </c>
      <c r="Y20" s="861">
        <f t="shared" si="11"/>
        <v>-612.97975308116747</v>
      </c>
      <c r="Z20" s="827"/>
      <c r="AA20" s="828"/>
    </row>
    <row r="21" spans="1:27" s="821" customFormat="1" ht="18.75" customHeight="1" x14ac:dyDescent="0.25">
      <c r="A21" s="892">
        <v>2</v>
      </c>
      <c r="B21" s="906" t="str">
        <f>Soup!B28</f>
        <v>Kyaat Thouk Sann</v>
      </c>
      <c r="C21" s="906"/>
      <c r="D21" s="894">
        <v>151</v>
      </c>
      <c r="E21" s="895" t="s">
        <v>884</v>
      </c>
      <c r="F21" s="895" t="s">
        <v>37</v>
      </c>
      <c r="G21" s="896" t="s">
        <v>952</v>
      </c>
      <c r="H21" s="895" t="s">
        <v>38</v>
      </c>
      <c r="I21" s="897">
        <v>0</v>
      </c>
      <c r="J21" s="898">
        <v>15000</v>
      </c>
      <c r="K21" s="899">
        <f t="shared" si="12"/>
        <v>436.89320388349512</v>
      </c>
      <c r="L21" s="899">
        <f t="shared" si="13"/>
        <v>1323.918799646955</v>
      </c>
      <c r="M21" s="898">
        <f t="shared" si="14"/>
        <v>0</v>
      </c>
      <c r="N21" s="898">
        <f t="shared" si="14"/>
        <v>13239.187996469551</v>
      </c>
      <c r="O21" s="900">
        <v>0</v>
      </c>
      <c r="P21" s="900">
        <f>Soup!H46</f>
        <v>5297.7048192771081</v>
      </c>
      <c r="Q21" s="901"/>
      <c r="R21" s="901">
        <f t="shared" si="6"/>
        <v>0.40015330401606419</v>
      </c>
      <c r="S21" s="857">
        <f t="shared" si="7"/>
        <v>0</v>
      </c>
      <c r="T21" s="857">
        <f t="shared" si="8"/>
        <v>7941.4831771924428</v>
      </c>
      <c r="U21" s="857">
        <v>0</v>
      </c>
      <c r="V21" s="856">
        <f t="shared" ref="V21:V25" si="17">U21/SUM($U$20:$U$25)</f>
        <v>0</v>
      </c>
      <c r="W21" s="860">
        <f t="shared" si="15"/>
        <v>13239.187996469551</v>
      </c>
      <c r="X21" s="861">
        <f t="shared" si="16"/>
        <v>5297.7048192771081</v>
      </c>
      <c r="Y21" s="861">
        <f t="shared" si="11"/>
        <v>7941.4831771924428</v>
      </c>
      <c r="Z21" s="827"/>
      <c r="AA21" s="828"/>
    </row>
    <row r="22" spans="1:27" s="821" customFormat="1" ht="18.75" customHeight="1" x14ac:dyDescent="0.25">
      <c r="A22" s="892">
        <v>3</v>
      </c>
      <c r="B22" s="893" t="str">
        <f>Soup!B54</f>
        <v xml:space="preserve">Pork Spare Ribs with Mustard Soup </v>
      </c>
      <c r="C22" s="893"/>
      <c r="D22" s="894">
        <v>151</v>
      </c>
      <c r="E22" s="895" t="s">
        <v>884</v>
      </c>
      <c r="F22" s="895" t="s">
        <v>37</v>
      </c>
      <c r="G22" s="896" t="s">
        <v>952</v>
      </c>
      <c r="H22" s="895" t="s">
        <v>38</v>
      </c>
      <c r="I22" s="897">
        <v>12000</v>
      </c>
      <c r="J22" s="898">
        <v>15000</v>
      </c>
      <c r="K22" s="899">
        <f t="shared" si="12"/>
        <v>436.89320388349512</v>
      </c>
      <c r="L22" s="899">
        <f t="shared" si="13"/>
        <v>1323.918799646955</v>
      </c>
      <c r="M22" s="898">
        <f t="shared" si="14"/>
        <v>10591.35039717564</v>
      </c>
      <c r="N22" s="898">
        <f t="shared" si="14"/>
        <v>13239.187996469551</v>
      </c>
      <c r="O22" s="900">
        <v>3610</v>
      </c>
      <c r="P22" s="900">
        <f>Soup!H69</f>
        <v>5738.2048192771081</v>
      </c>
      <c r="Q22" s="901">
        <f t="shared" si="5"/>
        <v>0.34084416666666667</v>
      </c>
      <c r="R22" s="901">
        <f t="shared" si="6"/>
        <v>0.43342573734939754</v>
      </c>
      <c r="S22" s="857">
        <f t="shared" si="7"/>
        <v>6981.35039717564</v>
      </c>
      <c r="T22" s="857">
        <f t="shared" si="8"/>
        <v>7500.9831771924428</v>
      </c>
      <c r="U22" s="857">
        <v>27</v>
      </c>
      <c r="V22" s="856">
        <f t="shared" si="17"/>
        <v>0.14917127071823205</v>
      </c>
      <c r="W22" s="860">
        <f t="shared" si="15"/>
        <v>2647.8375992939109</v>
      </c>
      <c r="X22" s="861">
        <f t="shared" si="16"/>
        <v>2128.2048192771081</v>
      </c>
      <c r="Y22" s="861">
        <f t="shared" si="11"/>
        <v>519.63278001680283</v>
      </c>
      <c r="Z22" s="827"/>
      <c r="AA22" s="828"/>
    </row>
    <row r="23" spans="1:27" s="821" customFormat="1" ht="18.75" customHeight="1" x14ac:dyDescent="0.25">
      <c r="A23" s="892">
        <v>4</v>
      </c>
      <c r="B23" s="893" t="str">
        <f>Soup!B79</f>
        <v>Tom Yum Gong</v>
      </c>
      <c r="C23" s="893"/>
      <c r="D23" s="894">
        <v>151</v>
      </c>
      <c r="E23" s="895" t="s">
        <v>884</v>
      </c>
      <c r="F23" s="895" t="s">
        <v>37</v>
      </c>
      <c r="G23" s="896" t="s">
        <v>952</v>
      </c>
      <c r="H23" s="895" t="s">
        <v>38</v>
      </c>
      <c r="I23" s="897">
        <v>13000</v>
      </c>
      <c r="J23" s="898">
        <v>13000</v>
      </c>
      <c r="K23" s="899">
        <f t="shared" si="12"/>
        <v>378.64077669902912</v>
      </c>
      <c r="L23" s="899">
        <f t="shared" si="13"/>
        <v>1147.396293027361</v>
      </c>
      <c r="M23" s="898">
        <f t="shared" si="14"/>
        <v>11473.96293027361</v>
      </c>
      <c r="N23" s="898">
        <f t="shared" si="14"/>
        <v>11473.96293027361</v>
      </c>
      <c r="O23" s="900">
        <v>3446</v>
      </c>
      <c r="P23" s="900">
        <f>Soup!H97</f>
        <v>3860.0092592592591</v>
      </c>
      <c r="Q23" s="901">
        <f t="shared" si="5"/>
        <v>0.30033215384615386</v>
      </c>
      <c r="R23" s="901">
        <f t="shared" si="6"/>
        <v>0.33641465313390312</v>
      </c>
      <c r="S23" s="857">
        <f t="shared" si="7"/>
        <v>8027.9629302736103</v>
      </c>
      <c r="T23" s="857">
        <f t="shared" si="8"/>
        <v>7613.9536710143511</v>
      </c>
      <c r="U23" s="857">
        <v>110</v>
      </c>
      <c r="V23" s="856">
        <f>U23/SUM($U$20:$U$25)</f>
        <v>0.60773480662983426</v>
      </c>
      <c r="W23" s="860">
        <f t="shared" si="15"/>
        <v>0</v>
      </c>
      <c r="X23" s="861">
        <f t="shared" si="16"/>
        <v>414.00925925925912</v>
      </c>
      <c r="Y23" s="861">
        <f t="shared" si="11"/>
        <v>-414.00925925925912</v>
      </c>
      <c r="Z23" s="827"/>
      <c r="AA23" s="828"/>
    </row>
    <row r="24" spans="1:27" s="821" customFormat="1" ht="18.75" customHeight="1" x14ac:dyDescent="0.25">
      <c r="A24" s="892">
        <v>5</v>
      </c>
      <c r="B24" s="893" t="str">
        <f>Soup!B107</f>
        <v>Cream Of Mushroom Soup</v>
      </c>
      <c r="C24" s="893"/>
      <c r="D24" s="894">
        <v>151</v>
      </c>
      <c r="E24" s="895" t="s">
        <v>884</v>
      </c>
      <c r="F24" s="895" t="s">
        <v>37</v>
      </c>
      <c r="G24" s="896" t="s">
        <v>952</v>
      </c>
      <c r="H24" s="895" t="s">
        <v>38</v>
      </c>
      <c r="I24" s="897">
        <v>13000</v>
      </c>
      <c r="J24" s="898">
        <v>13000</v>
      </c>
      <c r="K24" s="899">
        <f t="shared" si="12"/>
        <v>378.64077669902912</v>
      </c>
      <c r="L24" s="899">
        <f t="shared" si="13"/>
        <v>1147.396293027361</v>
      </c>
      <c r="M24" s="898">
        <f t="shared" si="14"/>
        <v>11473.96293027361</v>
      </c>
      <c r="N24" s="898">
        <f t="shared" si="14"/>
        <v>11473.96293027361</v>
      </c>
      <c r="O24" s="900">
        <v>3497</v>
      </c>
      <c r="P24" s="900">
        <f>Soup!H121</f>
        <v>3274.2</v>
      </c>
      <c r="Q24" s="901">
        <f t="shared" si="5"/>
        <v>0.30477699999999996</v>
      </c>
      <c r="R24" s="901">
        <f t="shared" si="6"/>
        <v>0.28535912307692307</v>
      </c>
      <c r="S24" s="857">
        <f t="shared" si="7"/>
        <v>7976.9629302736103</v>
      </c>
      <c r="T24" s="857">
        <f t="shared" si="8"/>
        <v>8199.7629302736095</v>
      </c>
      <c r="U24" s="857">
        <v>10</v>
      </c>
      <c r="V24" s="856">
        <f t="shared" si="17"/>
        <v>5.5248618784530384E-2</v>
      </c>
      <c r="W24" s="860">
        <f t="shared" si="15"/>
        <v>0</v>
      </c>
      <c r="X24" s="861">
        <f t="shared" si="16"/>
        <v>-222.80000000000018</v>
      </c>
      <c r="Y24" s="861">
        <f t="shared" si="11"/>
        <v>222.79999999999927</v>
      </c>
      <c r="Z24" s="827"/>
      <c r="AA24" s="828"/>
    </row>
    <row r="25" spans="1:27" s="821" customFormat="1" ht="18.75" customHeight="1" x14ac:dyDescent="0.25">
      <c r="A25" s="892">
        <v>6</v>
      </c>
      <c r="B25" s="907" t="str">
        <f>Soup!B129</f>
        <v>Tomato Cream Soup</v>
      </c>
      <c r="C25" s="907"/>
      <c r="D25" s="894">
        <v>151</v>
      </c>
      <c r="E25" s="895" t="s">
        <v>884</v>
      </c>
      <c r="F25" s="895" t="s">
        <v>37</v>
      </c>
      <c r="G25" s="896" t="s">
        <v>952</v>
      </c>
      <c r="H25" s="895" t="s">
        <v>38</v>
      </c>
      <c r="I25" s="897">
        <v>0</v>
      </c>
      <c r="J25" s="898">
        <v>13000</v>
      </c>
      <c r="K25" s="899">
        <f t="shared" si="12"/>
        <v>378.64077669902912</v>
      </c>
      <c r="L25" s="899">
        <f t="shared" si="13"/>
        <v>1147.396293027361</v>
      </c>
      <c r="M25" s="898">
        <f t="shared" si="14"/>
        <v>0</v>
      </c>
      <c r="N25" s="898">
        <f t="shared" si="14"/>
        <v>11473.96293027361</v>
      </c>
      <c r="O25" s="900">
        <v>0</v>
      </c>
      <c r="P25" s="900">
        <f>Soup!H141</f>
        <v>3476.6867469879517</v>
      </c>
      <c r="Q25" s="901"/>
      <c r="R25" s="901">
        <f t="shared" si="6"/>
        <v>0.30300662187210375</v>
      </c>
      <c r="S25" s="857">
        <f t="shared" si="7"/>
        <v>0</v>
      </c>
      <c r="T25" s="857">
        <f t="shared" si="8"/>
        <v>7997.2761832856586</v>
      </c>
      <c r="U25" s="857">
        <v>0</v>
      </c>
      <c r="V25" s="856">
        <f t="shared" si="17"/>
        <v>0</v>
      </c>
      <c r="W25" s="860">
        <f t="shared" si="15"/>
        <v>11473.96293027361</v>
      </c>
      <c r="X25" s="861">
        <f t="shared" si="16"/>
        <v>3476.6867469879517</v>
      </c>
      <c r="Y25" s="861">
        <f t="shared" si="11"/>
        <v>7997.2761832856586</v>
      </c>
      <c r="Z25" s="827"/>
      <c r="AA25" s="828"/>
    </row>
    <row r="26" spans="1:27" s="821" customFormat="1" ht="18.75" customHeight="1" x14ac:dyDescent="0.25">
      <c r="A26" s="892"/>
      <c r="B26" s="893"/>
      <c r="C26" s="893"/>
      <c r="D26" s="893"/>
      <c r="E26" s="895"/>
      <c r="F26" s="895"/>
      <c r="G26" s="896"/>
      <c r="H26" s="895"/>
      <c r="I26" s="897"/>
      <c r="J26" s="898"/>
      <c r="K26" s="899"/>
      <c r="L26" s="899"/>
      <c r="M26" s="898">
        <f t="shared" ref="M26:M37" si="18">+I26/113.3*100</f>
        <v>0</v>
      </c>
      <c r="N26" s="898"/>
      <c r="O26" s="900"/>
      <c r="P26" s="900"/>
      <c r="Q26" s="901"/>
      <c r="R26" s="901"/>
      <c r="S26" s="857"/>
      <c r="T26" s="857"/>
      <c r="U26" s="857"/>
      <c r="V26" s="856"/>
      <c r="W26" s="860"/>
      <c r="X26" s="861"/>
      <c r="Y26" s="861"/>
      <c r="Z26" s="827"/>
      <c r="AA26" s="828"/>
    </row>
    <row r="27" spans="1:27" s="821" customFormat="1" ht="18.75" customHeight="1" x14ac:dyDescent="0.25">
      <c r="A27" s="892"/>
      <c r="B27" s="908" t="s">
        <v>905</v>
      </c>
      <c r="C27" s="908"/>
      <c r="D27" s="908"/>
      <c r="E27" s="909"/>
      <c r="F27" s="909"/>
      <c r="G27" s="896"/>
      <c r="H27" s="910"/>
      <c r="I27" s="897"/>
      <c r="J27" s="898"/>
      <c r="K27" s="899"/>
      <c r="L27" s="899"/>
      <c r="M27" s="898">
        <f t="shared" si="18"/>
        <v>0</v>
      </c>
      <c r="N27" s="898"/>
      <c r="O27" s="900"/>
      <c r="P27" s="900"/>
      <c r="Q27" s="901"/>
      <c r="R27" s="901"/>
      <c r="S27" s="857"/>
      <c r="T27" s="857"/>
      <c r="U27" s="857"/>
      <c r="V27" s="856"/>
      <c r="W27" s="860"/>
      <c r="X27" s="861"/>
      <c r="Y27" s="861"/>
      <c r="Z27" s="827"/>
      <c r="AA27" s="828"/>
    </row>
    <row r="28" spans="1:27" s="821" customFormat="1" ht="18.75" customHeight="1" x14ac:dyDescent="0.25">
      <c r="A28" s="892">
        <v>1</v>
      </c>
      <c r="B28" s="911" t="str">
        <f>'Oreintal Rice &amp; Noodle'!B5</f>
        <v>Fried Vermicelli with Chicken</v>
      </c>
      <c r="C28" s="911"/>
      <c r="D28" s="912">
        <v>138</v>
      </c>
      <c r="E28" s="895" t="s">
        <v>884</v>
      </c>
      <c r="F28" s="895" t="s">
        <v>37</v>
      </c>
      <c r="G28" s="896" t="s">
        <v>958</v>
      </c>
      <c r="H28" s="895" t="s">
        <v>38</v>
      </c>
      <c r="I28" s="897">
        <v>10000</v>
      </c>
      <c r="J28" s="898">
        <v>12000</v>
      </c>
      <c r="K28" s="899">
        <f t="shared" ref="K28:K37" si="19">+J28/113.3*3.3</f>
        <v>349.51456310679612</v>
      </c>
      <c r="L28" s="899">
        <f t="shared" ref="L28:L37" si="20">+J28/113.3*10</f>
        <v>1059.135039717564</v>
      </c>
      <c r="M28" s="898">
        <f t="shared" si="18"/>
        <v>8826.1253309796994</v>
      </c>
      <c r="N28" s="898">
        <f t="shared" ref="N28:N37" si="21">+J28/113.3*100</f>
        <v>10591.35039717564</v>
      </c>
      <c r="O28" s="900">
        <v>2548</v>
      </c>
      <c r="P28" s="900">
        <f>'Oreintal Rice &amp; Noodle'!H25</f>
        <v>3001.1066711289604</v>
      </c>
      <c r="Q28" s="901">
        <f t="shared" si="5"/>
        <v>0.28868840000000001</v>
      </c>
      <c r="R28" s="901">
        <f t="shared" si="6"/>
        <v>0.2833544881990927</v>
      </c>
      <c r="S28" s="857">
        <f t="shared" si="7"/>
        <v>6278.1253309796994</v>
      </c>
      <c r="T28" s="857">
        <f t="shared" si="8"/>
        <v>7590.2437260466795</v>
      </c>
      <c r="U28" s="857">
        <v>54</v>
      </c>
      <c r="V28" s="856">
        <f>U28/SUM($U$28:$U$37)</f>
        <v>6.775407779171895E-2</v>
      </c>
      <c r="W28" s="860">
        <f t="shared" si="15"/>
        <v>1765.2250661959406</v>
      </c>
      <c r="X28" s="861">
        <f t="shared" si="16"/>
        <v>453.10667112896044</v>
      </c>
      <c r="Y28" s="861">
        <f t="shared" si="11"/>
        <v>1312.1183950669802</v>
      </c>
      <c r="Z28" s="827"/>
      <c r="AA28" s="828"/>
    </row>
    <row r="29" spans="1:27" s="821" customFormat="1" ht="18.75" customHeight="1" x14ac:dyDescent="0.25">
      <c r="A29" s="892">
        <v>2</v>
      </c>
      <c r="B29" s="911" t="str">
        <f>'Oreintal Rice &amp; Noodle'!B34</f>
        <v>Fried Vermicelli With Pork</v>
      </c>
      <c r="C29" s="911"/>
      <c r="D29" s="912">
        <v>138</v>
      </c>
      <c r="E29" s="895" t="s">
        <v>884</v>
      </c>
      <c r="F29" s="895" t="s">
        <v>37</v>
      </c>
      <c r="G29" s="896" t="s">
        <v>958</v>
      </c>
      <c r="H29" s="895" t="s">
        <v>38</v>
      </c>
      <c r="I29" s="897">
        <v>10000</v>
      </c>
      <c r="J29" s="898">
        <v>12000</v>
      </c>
      <c r="K29" s="899">
        <f t="shared" si="19"/>
        <v>349.51456310679612</v>
      </c>
      <c r="L29" s="899">
        <f t="shared" si="20"/>
        <v>1059.135039717564</v>
      </c>
      <c r="M29" s="898">
        <f t="shared" si="18"/>
        <v>8826.1253309796994</v>
      </c>
      <c r="N29" s="898">
        <f t="shared" si="21"/>
        <v>10591.35039717564</v>
      </c>
      <c r="O29" s="900">
        <v>2798</v>
      </c>
      <c r="P29" s="900">
        <f>'Oreintal Rice &amp; Noodle'!H54</f>
        <v>3719.2548192771087</v>
      </c>
      <c r="Q29" s="901">
        <f t="shared" si="5"/>
        <v>0.3170134</v>
      </c>
      <c r="R29" s="901">
        <f t="shared" si="6"/>
        <v>0.35115964252008036</v>
      </c>
      <c r="S29" s="857">
        <f t="shared" si="7"/>
        <v>6028.1253309796994</v>
      </c>
      <c r="T29" s="857">
        <f t="shared" si="8"/>
        <v>6872.0955778985317</v>
      </c>
      <c r="U29" s="857">
        <v>29</v>
      </c>
      <c r="V29" s="856">
        <f t="shared" ref="V29:V37" si="22">U29/SUM($U$28:$U$37)</f>
        <v>3.6386449184441658E-2</v>
      </c>
      <c r="W29" s="860">
        <f t="shared" si="15"/>
        <v>1765.2250661959406</v>
      </c>
      <c r="X29" s="861">
        <f t="shared" si="16"/>
        <v>921.25481927710871</v>
      </c>
      <c r="Y29" s="861">
        <f t="shared" si="11"/>
        <v>843.97024691883234</v>
      </c>
      <c r="Z29" s="827"/>
      <c r="AA29" s="828"/>
    </row>
    <row r="30" spans="1:27" s="821" customFormat="1" ht="18.75" customHeight="1" x14ac:dyDescent="0.25">
      <c r="A30" s="892">
        <v>3</v>
      </c>
      <c r="B30" s="911" t="str">
        <f>'Oreintal Rice &amp; Noodle'!B64</f>
        <v>Fried Rice With Pork</v>
      </c>
      <c r="C30" s="911"/>
      <c r="D30" s="912">
        <v>138</v>
      </c>
      <c r="E30" s="895" t="s">
        <v>884</v>
      </c>
      <c r="F30" s="895" t="s">
        <v>37</v>
      </c>
      <c r="G30" s="896" t="s">
        <v>958</v>
      </c>
      <c r="H30" s="895" t="s">
        <v>38</v>
      </c>
      <c r="I30" s="897">
        <v>10000</v>
      </c>
      <c r="J30" s="898">
        <v>12000</v>
      </c>
      <c r="K30" s="899">
        <f t="shared" si="19"/>
        <v>349.51456310679612</v>
      </c>
      <c r="L30" s="899">
        <f t="shared" si="20"/>
        <v>1059.135039717564</v>
      </c>
      <c r="M30" s="898">
        <f t="shared" si="18"/>
        <v>8826.1253309796994</v>
      </c>
      <c r="N30" s="898">
        <f t="shared" si="21"/>
        <v>10591.35039717564</v>
      </c>
      <c r="O30" s="900">
        <v>2433</v>
      </c>
      <c r="P30" s="900">
        <f>'Oreintal Rice &amp; Noodle'!H83</f>
        <v>4095.9940763052205</v>
      </c>
      <c r="Q30" s="901">
        <f t="shared" si="5"/>
        <v>0.27565890000000004</v>
      </c>
      <c r="R30" s="901">
        <f t="shared" si="6"/>
        <v>0.38673010737115121</v>
      </c>
      <c r="S30" s="857">
        <f t="shared" si="7"/>
        <v>6393.1253309796994</v>
      </c>
      <c r="T30" s="857">
        <f t="shared" si="8"/>
        <v>6495.3563208704199</v>
      </c>
      <c r="U30" s="857">
        <v>113</v>
      </c>
      <c r="V30" s="856">
        <f t="shared" si="22"/>
        <v>0.14178168130489335</v>
      </c>
      <c r="W30" s="860">
        <f t="shared" si="15"/>
        <v>1765.2250661959406</v>
      </c>
      <c r="X30" s="861">
        <f t="shared" si="16"/>
        <v>1662.9940763052205</v>
      </c>
      <c r="Y30" s="861">
        <f t="shared" si="11"/>
        <v>102.23098989072059</v>
      </c>
      <c r="Z30" s="827"/>
      <c r="AA30" s="828"/>
    </row>
    <row r="31" spans="1:27" s="821" customFormat="1" ht="18.75" customHeight="1" x14ac:dyDescent="0.25">
      <c r="A31" s="892">
        <v>4</v>
      </c>
      <c r="B31" s="911" t="str">
        <f>'Oreintal Rice &amp; Noodle'!B91</f>
        <v xml:space="preserve">Fried Rice with Chicken </v>
      </c>
      <c r="C31" s="911"/>
      <c r="D31" s="912">
        <v>138</v>
      </c>
      <c r="E31" s="895" t="s">
        <v>884</v>
      </c>
      <c r="F31" s="895" t="s">
        <v>37</v>
      </c>
      <c r="G31" s="896" t="s">
        <v>958</v>
      </c>
      <c r="H31" s="895" t="s">
        <v>38</v>
      </c>
      <c r="I31" s="897">
        <v>10000</v>
      </c>
      <c r="J31" s="898">
        <v>12000</v>
      </c>
      <c r="K31" s="899">
        <f t="shared" si="19"/>
        <v>349.51456310679612</v>
      </c>
      <c r="L31" s="899">
        <f t="shared" si="20"/>
        <v>1059.135039717564</v>
      </c>
      <c r="M31" s="898">
        <f t="shared" si="18"/>
        <v>8826.1253309796994</v>
      </c>
      <c r="N31" s="898">
        <f t="shared" si="21"/>
        <v>10591.35039717564</v>
      </c>
      <c r="O31" s="900">
        <v>2183</v>
      </c>
      <c r="P31" s="900">
        <f>'Oreintal Rice &amp; Noodle'!H113</f>
        <v>4150.4483377956267</v>
      </c>
      <c r="Q31" s="901">
        <f t="shared" si="5"/>
        <v>0.24733390000000002</v>
      </c>
      <c r="R31" s="901">
        <f t="shared" si="6"/>
        <v>0.39187149722687042</v>
      </c>
      <c r="S31" s="857">
        <f t="shared" si="7"/>
        <v>6643.1253309796994</v>
      </c>
      <c r="T31" s="857">
        <f t="shared" si="8"/>
        <v>6440.9020593800133</v>
      </c>
      <c r="U31" s="857">
        <v>220</v>
      </c>
      <c r="V31" s="856">
        <f t="shared" si="22"/>
        <v>0.27603513174404015</v>
      </c>
      <c r="W31" s="860">
        <f t="shared" si="15"/>
        <v>1765.2250661959406</v>
      </c>
      <c r="X31" s="861">
        <f t="shared" si="16"/>
        <v>1967.4483377956267</v>
      </c>
      <c r="Y31" s="861">
        <f t="shared" si="11"/>
        <v>-202.22327159968609</v>
      </c>
      <c r="Z31" s="827"/>
      <c r="AA31" s="828"/>
    </row>
    <row r="32" spans="1:27" s="821" customFormat="1" ht="18.75" customHeight="1" x14ac:dyDescent="0.25">
      <c r="A32" s="892">
        <v>5</v>
      </c>
      <c r="B32" s="911" t="str">
        <f>'Oreintal Rice &amp; Noodle'!B120</f>
        <v>Fried  Noodle With chicken</v>
      </c>
      <c r="C32" s="911"/>
      <c r="D32" s="912">
        <v>138</v>
      </c>
      <c r="E32" s="895" t="s">
        <v>884</v>
      </c>
      <c r="F32" s="895" t="s">
        <v>37</v>
      </c>
      <c r="G32" s="896" t="s">
        <v>958</v>
      </c>
      <c r="H32" s="895" t="s">
        <v>38</v>
      </c>
      <c r="I32" s="897">
        <v>12000</v>
      </c>
      <c r="J32" s="898">
        <v>12000</v>
      </c>
      <c r="K32" s="899">
        <f t="shared" si="19"/>
        <v>349.51456310679612</v>
      </c>
      <c r="L32" s="899">
        <f t="shared" si="20"/>
        <v>1059.135039717564</v>
      </c>
      <c r="M32" s="898">
        <f t="shared" si="18"/>
        <v>10591.35039717564</v>
      </c>
      <c r="N32" s="898">
        <f t="shared" si="21"/>
        <v>10591.35039717564</v>
      </c>
      <c r="O32" s="900">
        <v>3068</v>
      </c>
      <c r="P32" s="900">
        <f>'Oreintal Rice &amp; Noodle'!H140</f>
        <v>4070.0620481927713</v>
      </c>
      <c r="Q32" s="901">
        <f t="shared" si="5"/>
        <v>0.28967033333333331</v>
      </c>
      <c r="R32" s="901">
        <f t="shared" si="6"/>
        <v>0.38428169171686749</v>
      </c>
      <c r="S32" s="857">
        <f t="shared" si="7"/>
        <v>7523.35039717564</v>
      </c>
      <c r="T32" s="857">
        <f t="shared" si="8"/>
        <v>6521.2883489828691</v>
      </c>
      <c r="U32" s="857">
        <v>95</v>
      </c>
      <c r="V32" s="856">
        <f t="shared" si="22"/>
        <v>0.1191969887076537</v>
      </c>
      <c r="W32" s="860">
        <f t="shared" si="15"/>
        <v>0</v>
      </c>
      <c r="X32" s="861">
        <f t="shared" si="16"/>
        <v>1002.0620481927713</v>
      </c>
      <c r="Y32" s="861">
        <f t="shared" si="11"/>
        <v>-1002.0620481927708</v>
      </c>
      <c r="Z32" s="827"/>
      <c r="AA32" s="828"/>
    </row>
    <row r="33" spans="1:27" s="821" customFormat="1" ht="18.75" customHeight="1" x14ac:dyDescent="0.25">
      <c r="A33" s="892">
        <v>6</v>
      </c>
      <c r="B33" s="911" t="str">
        <f>'Oreintal Rice &amp; Noodle'!B149</f>
        <v>Fried  Noodle With Pork</v>
      </c>
      <c r="C33" s="911"/>
      <c r="D33" s="912">
        <v>138</v>
      </c>
      <c r="E33" s="895" t="s">
        <v>884</v>
      </c>
      <c r="F33" s="895" t="s">
        <v>37</v>
      </c>
      <c r="G33" s="896" t="s">
        <v>958</v>
      </c>
      <c r="H33" s="895" t="s">
        <v>38</v>
      </c>
      <c r="I33" s="897">
        <v>12000</v>
      </c>
      <c r="J33" s="898">
        <v>12000</v>
      </c>
      <c r="K33" s="899">
        <f t="shared" si="19"/>
        <v>349.51456310679612</v>
      </c>
      <c r="L33" s="899">
        <f t="shared" si="20"/>
        <v>1059.135039717564</v>
      </c>
      <c r="M33" s="898">
        <f t="shared" si="18"/>
        <v>10591.35039717564</v>
      </c>
      <c r="N33" s="898">
        <f t="shared" si="21"/>
        <v>10591.35039717564</v>
      </c>
      <c r="O33" s="900">
        <v>3318</v>
      </c>
      <c r="P33" s="900">
        <f>'Oreintal Rice &amp; Noodle'!H169</f>
        <v>3753.2548192771087</v>
      </c>
      <c r="Q33" s="901">
        <f t="shared" si="5"/>
        <v>0.31327450000000001</v>
      </c>
      <c r="R33" s="901">
        <f t="shared" si="6"/>
        <v>0.35436980918674699</v>
      </c>
      <c r="S33" s="857">
        <f t="shared" si="7"/>
        <v>7273.35039717564</v>
      </c>
      <c r="T33" s="857">
        <f t="shared" si="8"/>
        <v>6838.0955778985317</v>
      </c>
      <c r="U33" s="857">
        <v>70</v>
      </c>
      <c r="V33" s="856">
        <f t="shared" si="22"/>
        <v>8.7829360100376411E-2</v>
      </c>
      <c r="W33" s="860">
        <f t="shared" si="15"/>
        <v>0</v>
      </c>
      <c r="X33" s="861">
        <f t="shared" si="16"/>
        <v>435.25481927710871</v>
      </c>
      <c r="Y33" s="861">
        <f t="shared" si="11"/>
        <v>-435.25481927710825</v>
      </c>
      <c r="Z33" s="827"/>
      <c r="AA33" s="828"/>
    </row>
    <row r="34" spans="1:27" s="821" customFormat="1" ht="18.75" customHeight="1" x14ac:dyDescent="0.25">
      <c r="A34" s="892">
        <v>7</v>
      </c>
      <c r="B34" s="911" t="str">
        <f>'Oreintal Rice &amp; Noodle'!B177</f>
        <v xml:space="preserve">Pashu Fried Rice with Chicken  </v>
      </c>
      <c r="C34" s="911"/>
      <c r="D34" s="912">
        <v>138</v>
      </c>
      <c r="E34" s="895" t="s">
        <v>884</v>
      </c>
      <c r="F34" s="895" t="s">
        <v>37</v>
      </c>
      <c r="G34" s="896" t="s">
        <v>958</v>
      </c>
      <c r="H34" s="895" t="s">
        <v>38</v>
      </c>
      <c r="I34" s="897">
        <v>12000</v>
      </c>
      <c r="J34" s="898">
        <v>12000</v>
      </c>
      <c r="K34" s="899">
        <f t="shared" si="19"/>
        <v>349.51456310679612</v>
      </c>
      <c r="L34" s="899">
        <f t="shared" si="20"/>
        <v>1059.135039717564</v>
      </c>
      <c r="M34" s="898">
        <f t="shared" si="18"/>
        <v>10591.35039717564</v>
      </c>
      <c r="N34" s="898">
        <f t="shared" si="21"/>
        <v>10591.35039717564</v>
      </c>
      <c r="O34" s="900">
        <v>2693</v>
      </c>
      <c r="P34" s="900">
        <f>'Oreintal Rice &amp; Noodle'!H200</f>
        <v>4066.6964859437749</v>
      </c>
      <c r="Q34" s="901">
        <f t="shared" si="5"/>
        <v>0.25426408333333334</v>
      </c>
      <c r="R34" s="901">
        <f t="shared" si="6"/>
        <v>0.38396392654785805</v>
      </c>
      <c r="S34" s="857">
        <f t="shared" si="7"/>
        <v>7898.35039717564</v>
      </c>
      <c r="T34" s="857">
        <f t="shared" si="8"/>
        <v>6524.6539112318651</v>
      </c>
      <c r="U34" s="857">
        <v>65</v>
      </c>
      <c r="V34" s="856">
        <f t="shared" si="22"/>
        <v>8.1555834378920958E-2</v>
      </c>
      <c r="W34" s="860">
        <f t="shared" si="15"/>
        <v>0</v>
      </c>
      <c r="X34" s="861">
        <f t="shared" si="16"/>
        <v>1373.6964859437749</v>
      </c>
      <c r="Y34" s="861">
        <f t="shared" si="11"/>
        <v>-1373.6964859437749</v>
      </c>
      <c r="Z34" s="827"/>
      <c r="AA34" s="828"/>
    </row>
    <row r="35" spans="1:27" s="821" customFormat="1" ht="18.75" customHeight="1" x14ac:dyDescent="0.25">
      <c r="A35" s="892">
        <v>8</v>
      </c>
      <c r="B35" s="911" t="str">
        <f>'Oreintal Rice &amp; Noodle'!B209</f>
        <v xml:space="preserve">Pashu Fried Rice with Pork  </v>
      </c>
      <c r="C35" s="911"/>
      <c r="D35" s="912">
        <v>138</v>
      </c>
      <c r="E35" s="895" t="s">
        <v>884</v>
      </c>
      <c r="F35" s="895" t="s">
        <v>37</v>
      </c>
      <c r="G35" s="896" t="s">
        <v>958</v>
      </c>
      <c r="H35" s="895" t="s">
        <v>38</v>
      </c>
      <c r="I35" s="897">
        <v>12000</v>
      </c>
      <c r="J35" s="898">
        <v>12000</v>
      </c>
      <c r="K35" s="899">
        <f t="shared" si="19"/>
        <v>349.51456310679612</v>
      </c>
      <c r="L35" s="899">
        <f t="shared" si="20"/>
        <v>1059.135039717564</v>
      </c>
      <c r="M35" s="898">
        <f t="shared" si="18"/>
        <v>10591.35039717564</v>
      </c>
      <c r="N35" s="898">
        <f t="shared" si="21"/>
        <v>10591.35039717564</v>
      </c>
      <c r="O35" s="900">
        <v>2883</v>
      </c>
      <c r="P35" s="900">
        <f>'Oreintal Rice &amp; Noodle'!H233</f>
        <v>4388.300189647478</v>
      </c>
      <c r="Q35" s="901">
        <f t="shared" si="5"/>
        <v>0.27220325000000001</v>
      </c>
      <c r="R35" s="901">
        <f t="shared" si="6"/>
        <v>0.41432867623921604</v>
      </c>
      <c r="S35" s="857">
        <f t="shared" si="7"/>
        <v>7708.35039717564</v>
      </c>
      <c r="T35" s="857">
        <f t="shared" si="8"/>
        <v>6203.050207528162</v>
      </c>
      <c r="U35" s="857">
        <v>65</v>
      </c>
      <c r="V35" s="856">
        <f t="shared" si="22"/>
        <v>8.1555834378920958E-2</v>
      </c>
      <c r="W35" s="860">
        <f t="shared" si="15"/>
        <v>0</v>
      </c>
      <c r="X35" s="861">
        <f t="shared" si="16"/>
        <v>1505.300189647478</v>
      </c>
      <c r="Y35" s="861">
        <f t="shared" si="11"/>
        <v>-1505.300189647478</v>
      </c>
      <c r="Z35" s="827"/>
      <c r="AA35" s="828"/>
    </row>
    <row r="36" spans="1:27" s="821" customFormat="1" ht="18.75" customHeight="1" x14ac:dyDescent="0.25">
      <c r="A36" s="892">
        <v>9</v>
      </c>
      <c r="B36" s="911" t="str">
        <f>'Oreintal Rice &amp; Noodle'!B243</f>
        <v xml:space="preserve">Steamed Rice with Chicken  </v>
      </c>
      <c r="C36" s="911"/>
      <c r="D36" s="912">
        <v>138</v>
      </c>
      <c r="E36" s="895" t="s">
        <v>884</v>
      </c>
      <c r="F36" s="895" t="s">
        <v>37</v>
      </c>
      <c r="G36" s="896" t="s">
        <v>958</v>
      </c>
      <c r="H36" s="895" t="s">
        <v>38</v>
      </c>
      <c r="I36" s="897">
        <v>15000</v>
      </c>
      <c r="J36" s="898">
        <v>12000</v>
      </c>
      <c r="K36" s="899">
        <f t="shared" si="19"/>
        <v>349.51456310679612</v>
      </c>
      <c r="L36" s="899">
        <f t="shared" si="20"/>
        <v>1059.135039717564</v>
      </c>
      <c r="M36" s="898">
        <f t="shared" si="18"/>
        <v>13239.187996469551</v>
      </c>
      <c r="N36" s="898">
        <f t="shared" si="21"/>
        <v>10591.35039717564</v>
      </c>
      <c r="O36" s="900">
        <v>4689</v>
      </c>
      <c r="P36" s="900">
        <f>'Oreintal Rice &amp; Noodle'!H266</f>
        <v>4091.0688955823289</v>
      </c>
      <c r="Q36" s="901">
        <f t="shared" si="5"/>
        <v>0.35417579999999999</v>
      </c>
      <c r="R36" s="901">
        <f t="shared" si="6"/>
        <v>0.3862650882245649</v>
      </c>
      <c r="S36" s="857">
        <f t="shared" si="7"/>
        <v>8550.1879964695509</v>
      </c>
      <c r="T36" s="857">
        <f t="shared" si="8"/>
        <v>6500.2815015933111</v>
      </c>
      <c r="U36" s="857">
        <v>40</v>
      </c>
      <c r="V36" s="856">
        <f t="shared" si="22"/>
        <v>5.0188205771643665E-2</v>
      </c>
      <c r="W36" s="860">
        <f t="shared" si="15"/>
        <v>-2647.8375992939109</v>
      </c>
      <c r="X36" s="861">
        <f t="shared" si="16"/>
        <v>-597.93110441767112</v>
      </c>
      <c r="Y36" s="861">
        <f t="shared" si="11"/>
        <v>-2049.9064948762398</v>
      </c>
      <c r="Z36" s="827"/>
      <c r="AA36" s="828"/>
    </row>
    <row r="37" spans="1:27" s="821" customFormat="1" ht="18.75" customHeight="1" x14ac:dyDescent="0.25">
      <c r="A37" s="892">
        <v>10</v>
      </c>
      <c r="B37" s="911" t="str">
        <f>'Oreintal Rice &amp; Noodle'!B275</f>
        <v xml:space="preserve"> Steamed Rice with Pork  </v>
      </c>
      <c r="C37" s="911"/>
      <c r="D37" s="912">
        <v>138</v>
      </c>
      <c r="E37" s="895" t="s">
        <v>884</v>
      </c>
      <c r="F37" s="895" t="s">
        <v>37</v>
      </c>
      <c r="G37" s="896" t="s">
        <v>958</v>
      </c>
      <c r="H37" s="895" t="s">
        <v>38</v>
      </c>
      <c r="I37" s="897">
        <v>15000</v>
      </c>
      <c r="J37" s="898">
        <v>12000</v>
      </c>
      <c r="K37" s="899">
        <f t="shared" si="19"/>
        <v>349.51456310679612</v>
      </c>
      <c r="L37" s="899">
        <f t="shared" si="20"/>
        <v>1059.135039717564</v>
      </c>
      <c r="M37" s="898">
        <f t="shared" si="18"/>
        <v>13239.187996469551</v>
      </c>
      <c r="N37" s="898">
        <f t="shared" si="21"/>
        <v>10591.35039717564</v>
      </c>
      <c r="O37" s="900">
        <v>4964</v>
      </c>
      <c r="P37" s="900">
        <f>'Oreintal Rice &amp; Noodle'!H297</f>
        <v>3991.9859326193664</v>
      </c>
      <c r="Q37" s="901">
        <f t="shared" si="5"/>
        <v>0.37494746666666662</v>
      </c>
      <c r="R37" s="901">
        <f t="shared" si="6"/>
        <v>0.37691000513814515</v>
      </c>
      <c r="S37" s="857">
        <f t="shared" si="7"/>
        <v>8275.1879964695509</v>
      </c>
      <c r="T37" s="857">
        <f t="shared" si="8"/>
        <v>6599.3644645562736</v>
      </c>
      <c r="U37" s="857">
        <v>46</v>
      </c>
      <c r="V37" s="856">
        <f t="shared" si="22"/>
        <v>5.7716436637390213E-2</v>
      </c>
      <c r="W37" s="860">
        <f t="shared" si="15"/>
        <v>-2647.8375992939109</v>
      </c>
      <c r="X37" s="861">
        <f t="shared" si="16"/>
        <v>-972.01406738063361</v>
      </c>
      <c r="Y37" s="861">
        <f t="shared" si="11"/>
        <v>-1675.8235319132773</v>
      </c>
      <c r="Z37" s="827"/>
      <c r="AA37" s="828"/>
    </row>
    <row r="38" spans="1:27" s="821" customFormat="1" ht="18.75" customHeight="1" x14ac:dyDescent="0.25">
      <c r="A38" s="892"/>
      <c r="B38" s="913"/>
      <c r="C38" s="913"/>
      <c r="D38" s="913"/>
      <c r="E38" s="895"/>
      <c r="F38" s="895"/>
      <c r="G38" s="896"/>
      <c r="H38" s="895"/>
      <c r="I38" s="897"/>
      <c r="J38" s="898"/>
      <c r="K38" s="899"/>
      <c r="L38" s="899"/>
      <c r="M38" s="898"/>
      <c r="N38" s="898"/>
      <c r="O38" s="900"/>
      <c r="P38" s="900"/>
      <c r="Q38" s="901"/>
      <c r="R38" s="901"/>
      <c r="S38" s="857"/>
      <c r="T38" s="857"/>
      <c r="U38" s="857"/>
      <c r="V38" s="856"/>
      <c r="W38" s="860"/>
      <c r="X38" s="861"/>
      <c r="Y38" s="861"/>
      <c r="Z38" s="827"/>
      <c r="AA38" s="828"/>
    </row>
    <row r="39" spans="1:27" s="821" customFormat="1" ht="18.75" customHeight="1" x14ac:dyDescent="0.25">
      <c r="A39" s="892"/>
      <c r="B39" s="914" t="s">
        <v>906</v>
      </c>
      <c r="C39" s="913"/>
      <c r="D39" s="913"/>
      <c r="E39" s="895"/>
      <c r="F39" s="895"/>
      <c r="G39" s="896"/>
      <c r="H39" s="895"/>
      <c r="I39" s="897"/>
      <c r="J39" s="898"/>
      <c r="K39" s="899"/>
      <c r="L39" s="899"/>
      <c r="M39" s="898"/>
      <c r="N39" s="898"/>
      <c r="O39" s="900"/>
      <c r="P39" s="900"/>
      <c r="Q39" s="901"/>
      <c r="R39" s="901"/>
      <c r="S39" s="857"/>
      <c r="T39" s="857"/>
      <c r="U39" s="857"/>
      <c r="V39" s="856"/>
      <c r="W39" s="860"/>
      <c r="X39" s="861"/>
      <c r="Y39" s="861"/>
      <c r="Z39" s="827"/>
      <c r="AA39" s="828"/>
    </row>
    <row r="40" spans="1:27" s="821" customFormat="1" ht="18.75" customHeight="1" x14ac:dyDescent="0.25">
      <c r="A40" s="892">
        <v>1</v>
      </c>
      <c r="B40" s="915" t="str">
        <f>'Asian Corner'!B5</f>
        <v>Hot and Sour Chicken</v>
      </c>
      <c r="C40" s="915"/>
      <c r="D40" s="894">
        <v>104</v>
      </c>
      <c r="E40" s="895" t="s">
        <v>884</v>
      </c>
      <c r="F40" s="895" t="s">
        <v>37</v>
      </c>
      <c r="G40" s="896" t="s">
        <v>906</v>
      </c>
      <c r="H40" s="895" t="s">
        <v>38</v>
      </c>
      <c r="I40" s="897">
        <v>16000</v>
      </c>
      <c r="J40" s="898">
        <v>20000</v>
      </c>
      <c r="K40" s="899">
        <f t="shared" ref="K40:K54" si="23">+J40/113.3*3.3</f>
        <v>582.52427184466012</v>
      </c>
      <c r="L40" s="899">
        <f t="shared" ref="L40:L54" si="24">+J40/113.3*10</f>
        <v>1765.2250661959399</v>
      </c>
      <c r="M40" s="898">
        <f t="shared" ref="M40:M54" si="25">+I40/113.3*100</f>
        <v>14121.800529567519</v>
      </c>
      <c r="N40" s="898">
        <f t="shared" ref="N40:N54" si="26">+J40/113.3*100</f>
        <v>17652.250661959399</v>
      </c>
      <c r="O40" s="900">
        <v>4115</v>
      </c>
      <c r="P40" s="900">
        <f>'Asian Corner'!H25</f>
        <v>6248.5025100401608</v>
      </c>
      <c r="Q40" s="901">
        <f t="shared" si="5"/>
        <v>0.29139343750000002</v>
      </c>
      <c r="R40" s="901">
        <f t="shared" si="6"/>
        <v>0.35397766719377516</v>
      </c>
      <c r="S40" s="857">
        <f t="shared" si="7"/>
        <v>10006.800529567519</v>
      </c>
      <c r="T40" s="857">
        <f t="shared" si="8"/>
        <v>11403.748151919237</v>
      </c>
      <c r="U40" s="857">
        <v>35</v>
      </c>
      <c r="V40" s="856">
        <f>U40/SUM($U$40:$U$54)</f>
        <v>6.3752276867030971E-2</v>
      </c>
      <c r="W40" s="860">
        <f t="shared" si="15"/>
        <v>3530.4501323918794</v>
      </c>
      <c r="X40" s="861">
        <f t="shared" si="16"/>
        <v>2133.5025100401608</v>
      </c>
      <c r="Y40" s="861">
        <f t="shared" si="11"/>
        <v>1396.9476223517177</v>
      </c>
      <c r="Z40" s="827"/>
      <c r="AA40" s="828"/>
    </row>
    <row r="41" spans="1:27" s="821" customFormat="1" ht="18.75" customHeight="1" x14ac:dyDescent="0.25">
      <c r="A41" s="892">
        <v>2</v>
      </c>
      <c r="B41" s="915" t="str">
        <f>'Asian Corner'!B33</f>
        <v>Sweet and Sour Chicken</v>
      </c>
      <c r="C41" s="915"/>
      <c r="D41" s="894">
        <v>104</v>
      </c>
      <c r="E41" s="895" t="s">
        <v>884</v>
      </c>
      <c r="F41" s="895" t="s">
        <v>37</v>
      </c>
      <c r="G41" s="896" t="s">
        <v>906</v>
      </c>
      <c r="H41" s="895" t="s">
        <v>38</v>
      </c>
      <c r="I41" s="897">
        <v>16000</v>
      </c>
      <c r="J41" s="898">
        <v>20000</v>
      </c>
      <c r="K41" s="899">
        <f t="shared" si="23"/>
        <v>582.52427184466012</v>
      </c>
      <c r="L41" s="899">
        <f t="shared" si="24"/>
        <v>1765.2250661959399</v>
      </c>
      <c r="M41" s="898">
        <f t="shared" si="25"/>
        <v>14121.800529567519</v>
      </c>
      <c r="N41" s="898">
        <f t="shared" si="26"/>
        <v>17652.250661959399</v>
      </c>
      <c r="O41" s="900">
        <v>3497</v>
      </c>
      <c r="P41" s="900">
        <f>'Asian Corner'!H53</f>
        <v>5596.0048192771083</v>
      </c>
      <c r="Q41" s="901">
        <f t="shared" si="5"/>
        <v>0.24763131250000001</v>
      </c>
      <c r="R41" s="901">
        <f t="shared" si="6"/>
        <v>0.31701367301204819</v>
      </c>
      <c r="S41" s="857">
        <f t="shared" si="7"/>
        <v>10624.800529567519</v>
      </c>
      <c r="T41" s="857">
        <f t="shared" si="8"/>
        <v>12056.24584268229</v>
      </c>
      <c r="U41" s="857">
        <v>33</v>
      </c>
      <c r="V41" s="856">
        <f t="shared" ref="V41:V54" si="27">U41/SUM($U$40:$U$54)</f>
        <v>6.0109289617486336E-2</v>
      </c>
      <c r="W41" s="860">
        <f t="shared" si="15"/>
        <v>3530.4501323918794</v>
      </c>
      <c r="X41" s="861">
        <f t="shared" si="16"/>
        <v>2099.0048192771083</v>
      </c>
      <c r="Y41" s="861">
        <f t="shared" si="11"/>
        <v>1431.4453131147711</v>
      </c>
      <c r="Z41" s="827"/>
      <c r="AA41" s="828"/>
    </row>
    <row r="42" spans="1:27" s="821" customFormat="1" ht="18.75" customHeight="1" x14ac:dyDescent="0.25">
      <c r="A42" s="892">
        <v>3</v>
      </c>
      <c r="B42" s="915" t="str">
        <f>'Asian Corner'!B62</f>
        <v xml:space="preserve">Kung Pao Chicken </v>
      </c>
      <c r="C42" s="915"/>
      <c r="D42" s="894">
        <v>104</v>
      </c>
      <c r="E42" s="895" t="s">
        <v>884</v>
      </c>
      <c r="F42" s="895" t="s">
        <v>37</v>
      </c>
      <c r="G42" s="896" t="s">
        <v>906</v>
      </c>
      <c r="H42" s="895" t="s">
        <v>38</v>
      </c>
      <c r="I42" s="897">
        <v>13000</v>
      </c>
      <c r="J42" s="898">
        <v>20000</v>
      </c>
      <c r="K42" s="899">
        <f t="shared" si="23"/>
        <v>582.52427184466012</v>
      </c>
      <c r="L42" s="899">
        <f t="shared" si="24"/>
        <v>1765.2250661959399</v>
      </c>
      <c r="M42" s="898">
        <f t="shared" si="25"/>
        <v>11473.96293027361</v>
      </c>
      <c r="N42" s="898">
        <f t="shared" si="26"/>
        <v>17652.250661959399</v>
      </c>
      <c r="O42" s="900">
        <v>2878</v>
      </c>
      <c r="P42" s="900">
        <f>'Asian Corner'!H82</f>
        <v>6022.0024096385541</v>
      </c>
      <c r="Q42" s="901">
        <f t="shared" si="5"/>
        <v>0.25082876923076924</v>
      </c>
      <c r="R42" s="901">
        <f t="shared" si="6"/>
        <v>0.34114643650602411</v>
      </c>
      <c r="S42" s="857">
        <f t="shared" si="7"/>
        <v>8595.9629302736103</v>
      </c>
      <c r="T42" s="857">
        <f t="shared" si="8"/>
        <v>11630.248252320845</v>
      </c>
      <c r="U42" s="857">
        <v>105</v>
      </c>
      <c r="V42" s="856">
        <f t="shared" si="27"/>
        <v>0.19125683060109289</v>
      </c>
      <c r="W42" s="860">
        <f t="shared" si="15"/>
        <v>6178.2877316857885</v>
      </c>
      <c r="X42" s="861">
        <f t="shared" si="16"/>
        <v>3144.0024096385541</v>
      </c>
      <c r="Y42" s="861">
        <f t="shared" si="11"/>
        <v>3034.2853220472352</v>
      </c>
      <c r="Z42" s="827"/>
      <c r="AA42" s="828"/>
    </row>
    <row r="43" spans="1:27" s="821" customFormat="1" ht="18.75" customHeight="1" x14ac:dyDescent="0.25">
      <c r="A43" s="892">
        <v>4</v>
      </c>
      <c r="B43" s="915" t="str">
        <f>'Asian Corner'!B91</f>
        <v>Chicken Basil Thai</v>
      </c>
      <c r="C43" s="915"/>
      <c r="D43" s="894">
        <v>104</v>
      </c>
      <c r="E43" s="895" t="s">
        <v>884</v>
      </c>
      <c r="F43" s="895" t="s">
        <v>37</v>
      </c>
      <c r="G43" s="896" t="s">
        <v>906</v>
      </c>
      <c r="H43" s="895" t="s">
        <v>38</v>
      </c>
      <c r="I43" s="897">
        <v>14000</v>
      </c>
      <c r="J43" s="898">
        <v>20000</v>
      </c>
      <c r="K43" s="899">
        <f t="shared" si="23"/>
        <v>582.52427184466012</v>
      </c>
      <c r="L43" s="899">
        <f t="shared" si="24"/>
        <v>1765.2250661959399</v>
      </c>
      <c r="M43" s="898">
        <f t="shared" si="25"/>
        <v>12356.575463371581</v>
      </c>
      <c r="N43" s="898">
        <f t="shared" si="26"/>
        <v>17652.250661959399</v>
      </c>
      <c r="O43" s="900">
        <v>3703</v>
      </c>
      <c r="P43" s="900">
        <f>'Asian Corner'!H109</f>
        <v>4400.4115499033169</v>
      </c>
      <c r="Q43" s="901">
        <f t="shared" si="5"/>
        <v>0.29967849999999996</v>
      </c>
      <c r="R43" s="901">
        <f t="shared" si="6"/>
        <v>0.24928331430202291</v>
      </c>
      <c r="S43" s="857">
        <f t="shared" si="7"/>
        <v>8653.5754633715806</v>
      </c>
      <c r="T43" s="857">
        <f t="shared" si="8"/>
        <v>13251.839112056081</v>
      </c>
      <c r="U43" s="857">
        <v>8</v>
      </c>
      <c r="V43" s="856">
        <f t="shared" si="27"/>
        <v>1.4571948998178506E-2</v>
      </c>
      <c r="W43" s="860">
        <f t="shared" si="15"/>
        <v>5295.6751985878182</v>
      </c>
      <c r="X43" s="861">
        <f t="shared" si="16"/>
        <v>697.41154990331688</v>
      </c>
      <c r="Y43" s="861">
        <f t="shared" si="11"/>
        <v>4598.2636486845004</v>
      </c>
      <c r="Z43" s="827"/>
      <c r="AA43" s="828"/>
    </row>
    <row r="44" spans="1:27" s="821" customFormat="1" ht="18.75" customHeight="1" x14ac:dyDescent="0.25">
      <c r="A44" s="892">
        <v>5</v>
      </c>
      <c r="B44" s="915" t="str">
        <f>'Asian Corner'!B119</f>
        <v>Hot and Sour Whole Fish</v>
      </c>
      <c r="C44" s="915"/>
      <c r="D44" s="894">
        <v>104</v>
      </c>
      <c r="E44" s="895" t="s">
        <v>884</v>
      </c>
      <c r="F44" s="895" t="s">
        <v>37</v>
      </c>
      <c r="G44" s="896" t="s">
        <v>906</v>
      </c>
      <c r="H44" s="895" t="s">
        <v>38</v>
      </c>
      <c r="I44" s="897">
        <v>0</v>
      </c>
      <c r="J44" s="898">
        <v>25000</v>
      </c>
      <c r="K44" s="899">
        <f t="shared" si="23"/>
        <v>728.15533980582518</v>
      </c>
      <c r="L44" s="899">
        <f t="shared" si="24"/>
        <v>2206.5313327449248</v>
      </c>
      <c r="M44" s="898">
        <f t="shared" si="25"/>
        <v>0</v>
      </c>
      <c r="N44" s="898">
        <f t="shared" si="26"/>
        <v>22065.31332744925</v>
      </c>
      <c r="O44" s="900">
        <v>0</v>
      </c>
      <c r="P44" s="900">
        <f>'Asian Corner'!H138</f>
        <v>6202.7193775100395</v>
      </c>
      <c r="Q44" s="901"/>
      <c r="R44" s="901">
        <f t="shared" si="6"/>
        <v>0.28110724218875499</v>
      </c>
      <c r="S44" s="857">
        <f t="shared" si="7"/>
        <v>0</v>
      </c>
      <c r="T44" s="857">
        <f t="shared" si="8"/>
        <v>15862.593949939212</v>
      </c>
      <c r="U44" s="857">
        <v>13</v>
      </c>
      <c r="V44" s="856">
        <f t="shared" si="27"/>
        <v>2.3679417122040074E-2</v>
      </c>
      <c r="W44" s="860">
        <f t="shared" si="15"/>
        <v>22065.31332744925</v>
      </c>
      <c r="X44" s="861">
        <f t="shared" si="16"/>
        <v>6202.7193775100395</v>
      </c>
      <c r="Y44" s="861">
        <f t="shared" si="11"/>
        <v>15862.593949939212</v>
      </c>
      <c r="Z44" s="827"/>
      <c r="AA44" s="828"/>
    </row>
    <row r="45" spans="1:27" s="821" customFormat="1" ht="18.75" customHeight="1" x14ac:dyDescent="0.25">
      <c r="A45" s="892">
        <v>6</v>
      </c>
      <c r="B45" s="911" t="str">
        <f>'Asian Corner'!B146</f>
        <v>Sweet and Sour Whole Fish</v>
      </c>
      <c r="C45" s="911"/>
      <c r="D45" s="894">
        <v>104</v>
      </c>
      <c r="E45" s="895" t="s">
        <v>884</v>
      </c>
      <c r="F45" s="895" t="s">
        <v>37</v>
      </c>
      <c r="G45" s="896" t="s">
        <v>906</v>
      </c>
      <c r="H45" s="895" t="s">
        <v>38</v>
      </c>
      <c r="I45" s="897">
        <v>16000</v>
      </c>
      <c r="J45" s="898">
        <v>25000</v>
      </c>
      <c r="K45" s="899">
        <f t="shared" si="23"/>
        <v>728.15533980582518</v>
      </c>
      <c r="L45" s="899">
        <f t="shared" si="24"/>
        <v>2206.5313327449248</v>
      </c>
      <c r="M45" s="898">
        <f t="shared" si="25"/>
        <v>14121.800529567519</v>
      </c>
      <c r="N45" s="898">
        <f t="shared" si="26"/>
        <v>22065.31332744925</v>
      </c>
      <c r="O45" s="900">
        <v>4373</v>
      </c>
      <c r="P45" s="900">
        <f>'Asian Corner'!H166</f>
        <v>6197.996485943775</v>
      </c>
      <c r="Q45" s="901">
        <f t="shared" si="5"/>
        <v>0.30966306250000003</v>
      </c>
      <c r="R45" s="901">
        <f t="shared" si="6"/>
        <v>0.28089320074297186</v>
      </c>
      <c r="S45" s="857">
        <f t="shared" si="7"/>
        <v>9748.8005295675193</v>
      </c>
      <c r="T45" s="857">
        <f t="shared" si="8"/>
        <v>15867.316841505475</v>
      </c>
      <c r="U45" s="857">
        <v>27</v>
      </c>
      <c r="V45" s="856">
        <f t="shared" si="27"/>
        <v>4.9180327868852458E-2</v>
      </c>
      <c r="W45" s="860">
        <f t="shared" si="15"/>
        <v>7943.5127978817309</v>
      </c>
      <c r="X45" s="861">
        <f t="shared" si="16"/>
        <v>1824.996485943775</v>
      </c>
      <c r="Y45" s="861">
        <f t="shared" si="11"/>
        <v>6118.5163119379558</v>
      </c>
      <c r="Z45" s="827"/>
      <c r="AA45" s="828"/>
    </row>
    <row r="46" spans="1:27" s="821" customFormat="1" ht="18.75" customHeight="1" x14ac:dyDescent="0.25">
      <c r="A46" s="892">
        <v>7</v>
      </c>
      <c r="B46" s="911" t="str">
        <f>'Asian Corner'!B176</f>
        <v>Steamed Whole Fish</v>
      </c>
      <c r="C46" s="911"/>
      <c r="D46" s="894">
        <v>104</v>
      </c>
      <c r="E46" s="895" t="s">
        <v>884</v>
      </c>
      <c r="F46" s="895" t="s">
        <v>37</v>
      </c>
      <c r="G46" s="896" t="s">
        <v>906</v>
      </c>
      <c r="H46" s="895" t="s">
        <v>38</v>
      </c>
      <c r="I46" s="897">
        <v>16000</v>
      </c>
      <c r="J46" s="898">
        <v>25000</v>
      </c>
      <c r="K46" s="899">
        <f t="shared" si="23"/>
        <v>728.15533980582518</v>
      </c>
      <c r="L46" s="899">
        <f t="shared" si="24"/>
        <v>2206.5313327449248</v>
      </c>
      <c r="M46" s="898">
        <f t="shared" si="25"/>
        <v>14121.800529567519</v>
      </c>
      <c r="N46" s="898">
        <f t="shared" si="26"/>
        <v>22065.31332744925</v>
      </c>
      <c r="O46" s="900">
        <v>4360</v>
      </c>
      <c r="P46" s="900">
        <f>'Asian Corner'!H191</f>
        <v>5860.996485943775</v>
      </c>
      <c r="Q46" s="901">
        <f t="shared" si="5"/>
        <v>0.30874250000000003</v>
      </c>
      <c r="R46" s="901">
        <f t="shared" si="6"/>
        <v>0.26562036074297191</v>
      </c>
      <c r="S46" s="857">
        <f t="shared" si="7"/>
        <v>9761.8005295675193</v>
      </c>
      <c r="T46" s="857">
        <f t="shared" si="8"/>
        <v>16204.316841505475</v>
      </c>
      <c r="U46" s="857">
        <v>49</v>
      </c>
      <c r="V46" s="856">
        <f t="shared" si="27"/>
        <v>8.9253187613843349E-2</v>
      </c>
      <c r="W46" s="860">
        <f t="shared" si="15"/>
        <v>7943.5127978817309</v>
      </c>
      <c r="X46" s="861">
        <f t="shared" si="16"/>
        <v>1500.996485943775</v>
      </c>
      <c r="Y46" s="861">
        <f t="shared" si="11"/>
        <v>6442.5163119379558</v>
      </c>
      <c r="Z46" s="827"/>
      <c r="AA46" s="828"/>
    </row>
    <row r="47" spans="1:27" s="821" customFormat="1" ht="18.75" customHeight="1" x14ac:dyDescent="0.25">
      <c r="A47" s="892">
        <v>8</v>
      </c>
      <c r="B47" s="911" t="str">
        <f>'Asian Corner'!B201</f>
        <v>Grilled Whole Fish</v>
      </c>
      <c r="C47" s="911"/>
      <c r="D47" s="894">
        <v>104</v>
      </c>
      <c r="E47" s="895" t="s">
        <v>884</v>
      </c>
      <c r="F47" s="895" t="s">
        <v>37</v>
      </c>
      <c r="G47" s="896" t="s">
        <v>906</v>
      </c>
      <c r="H47" s="895" t="s">
        <v>38</v>
      </c>
      <c r="I47" s="897">
        <v>16000</v>
      </c>
      <c r="J47" s="898">
        <v>25000</v>
      </c>
      <c r="K47" s="899">
        <f t="shared" si="23"/>
        <v>728.15533980582518</v>
      </c>
      <c r="L47" s="899">
        <f t="shared" si="24"/>
        <v>2206.5313327449248</v>
      </c>
      <c r="M47" s="898">
        <f t="shared" si="25"/>
        <v>14121.800529567519</v>
      </c>
      <c r="N47" s="898">
        <f t="shared" si="26"/>
        <v>22065.31332744925</v>
      </c>
      <c r="O47" s="900">
        <v>4633</v>
      </c>
      <c r="P47" s="900">
        <f>'Asian Corner'!H219</f>
        <v>6293.7964859437743</v>
      </c>
      <c r="Q47" s="901">
        <f t="shared" si="5"/>
        <v>0.32807431250000002</v>
      </c>
      <c r="R47" s="901">
        <f t="shared" si="6"/>
        <v>0.28523485674297183</v>
      </c>
      <c r="S47" s="857">
        <f t="shared" si="7"/>
        <v>9488.8005295675193</v>
      </c>
      <c r="T47" s="857">
        <f t="shared" si="8"/>
        <v>15771.516841505476</v>
      </c>
      <c r="U47" s="857">
        <v>83</v>
      </c>
      <c r="V47" s="856">
        <f t="shared" si="27"/>
        <v>0.151183970856102</v>
      </c>
      <c r="W47" s="860">
        <f t="shared" si="15"/>
        <v>7943.5127978817309</v>
      </c>
      <c r="X47" s="861">
        <f t="shared" si="16"/>
        <v>1660.7964859437743</v>
      </c>
      <c r="Y47" s="861">
        <f t="shared" si="11"/>
        <v>6282.7163119379566</v>
      </c>
      <c r="Z47" s="827"/>
      <c r="AA47" s="828"/>
    </row>
    <row r="48" spans="1:27" s="821" customFormat="1" ht="18.75" customHeight="1" x14ac:dyDescent="0.25">
      <c r="A48" s="892">
        <v>9</v>
      </c>
      <c r="B48" s="915" t="str">
        <f>'Asian Corner'!B228</f>
        <v>Fish Curry</v>
      </c>
      <c r="C48" s="915"/>
      <c r="D48" s="894">
        <v>104</v>
      </c>
      <c r="E48" s="895" t="s">
        <v>884</v>
      </c>
      <c r="F48" s="895" t="s">
        <v>37</v>
      </c>
      <c r="G48" s="896" t="s">
        <v>906</v>
      </c>
      <c r="H48" s="895" t="s">
        <v>38</v>
      </c>
      <c r="I48" s="897">
        <v>16000</v>
      </c>
      <c r="J48" s="898">
        <v>18000</v>
      </c>
      <c r="K48" s="899">
        <f t="shared" si="23"/>
        <v>524.27184466019423</v>
      </c>
      <c r="L48" s="899">
        <f t="shared" si="24"/>
        <v>1588.7025595763462</v>
      </c>
      <c r="M48" s="898">
        <f t="shared" si="25"/>
        <v>14121.800529567519</v>
      </c>
      <c r="N48" s="898">
        <f t="shared" si="26"/>
        <v>15887.025595763462</v>
      </c>
      <c r="O48" s="900">
        <v>4955</v>
      </c>
      <c r="P48" s="900">
        <f>'Asian Corner'!H244</f>
        <v>4978.4096385542171</v>
      </c>
      <c r="Q48" s="901">
        <f t="shared" si="5"/>
        <v>0.35087593750000001</v>
      </c>
      <c r="R48" s="901">
        <f t="shared" si="6"/>
        <v>0.31336322891566265</v>
      </c>
      <c r="S48" s="857">
        <f t="shared" si="7"/>
        <v>9166.8005295675193</v>
      </c>
      <c r="T48" s="857">
        <f t="shared" si="8"/>
        <v>10908.615957209244</v>
      </c>
      <c r="U48" s="857">
        <v>32</v>
      </c>
      <c r="V48" s="856">
        <f t="shared" si="27"/>
        <v>5.8287795992714025E-2</v>
      </c>
      <c r="W48" s="860">
        <f t="shared" si="15"/>
        <v>1765.2250661959424</v>
      </c>
      <c r="X48" s="861">
        <f t="shared" si="16"/>
        <v>23.409638554217054</v>
      </c>
      <c r="Y48" s="861">
        <f t="shared" si="11"/>
        <v>1741.8154276417245</v>
      </c>
      <c r="Z48" s="827"/>
      <c r="AA48" s="828"/>
    </row>
    <row r="49" spans="1:27" s="821" customFormat="1" ht="18.75" customHeight="1" x14ac:dyDescent="0.25">
      <c r="A49" s="892">
        <v>10</v>
      </c>
      <c r="B49" s="911" t="str">
        <f>'Asian Corner'!B253</f>
        <v>Pork Curry with Bamboo Shoot</v>
      </c>
      <c r="C49" s="911"/>
      <c r="D49" s="894">
        <v>104</v>
      </c>
      <c r="E49" s="895" t="s">
        <v>884</v>
      </c>
      <c r="F49" s="895" t="s">
        <v>37</v>
      </c>
      <c r="G49" s="896" t="s">
        <v>906</v>
      </c>
      <c r="H49" s="895" t="s">
        <v>38</v>
      </c>
      <c r="I49" s="897">
        <v>16000</v>
      </c>
      <c r="J49" s="898">
        <v>20000</v>
      </c>
      <c r="K49" s="899">
        <f t="shared" si="23"/>
        <v>582.52427184466012</v>
      </c>
      <c r="L49" s="899">
        <f t="shared" si="24"/>
        <v>1765.2250661959399</v>
      </c>
      <c r="M49" s="898">
        <f t="shared" si="25"/>
        <v>14121.800529567519</v>
      </c>
      <c r="N49" s="898">
        <f t="shared" si="26"/>
        <v>17652.250661959399</v>
      </c>
      <c r="O49" s="900">
        <v>3955</v>
      </c>
      <c r="P49" s="900">
        <f>'Asian Corner'!H270</f>
        <v>5736.996485943775</v>
      </c>
      <c r="Q49" s="901">
        <f t="shared" si="5"/>
        <v>0.28006343750000001</v>
      </c>
      <c r="R49" s="901">
        <f t="shared" si="6"/>
        <v>0.32500085092871489</v>
      </c>
      <c r="S49" s="857">
        <f t="shared" si="7"/>
        <v>10166.800529567519</v>
      </c>
      <c r="T49" s="857">
        <f t="shared" si="8"/>
        <v>11915.254176015624</v>
      </c>
      <c r="U49" s="857">
        <v>9</v>
      </c>
      <c r="V49" s="856">
        <f t="shared" si="27"/>
        <v>1.6393442622950821E-2</v>
      </c>
      <c r="W49" s="860">
        <f t="shared" si="15"/>
        <v>3530.4501323918794</v>
      </c>
      <c r="X49" s="861">
        <f t="shared" si="16"/>
        <v>1781.996485943775</v>
      </c>
      <c r="Y49" s="861">
        <f t="shared" si="11"/>
        <v>1748.4536464481043</v>
      </c>
      <c r="Z49" s="827"/>
      <c r="AA49" s="828"/>
    </row>
    <row r="50" spans="1:27" s="821" customFormat="1" ht="18.75" customHeight="1" x14ac:dyDescent="0.25">
      <c r="A50" s="892">
        <v>11</v>
      </c>
      <c r="B50" s="911" t="str">
        <f>'Asian Corner'!B278</f>
        <v>Hot and Sour Pork</v>
      </c>
      <c r="C50" s="911"/>
      <c r="D50" s="894">
        <v>104</v>
      </c>
      <c r="E50" s="895" t="s">
        <v>884</v>
      </c>
      <c r="F50" s="895" t="s">
        <v>37</v>
      </c>
      <c r="G50" s="896" t="s">
        <v>906</v>
      </c>
      <c r="H50" s="895" t="s">
        <v>38</v>
      </c>
      <c r="I50" s="897">
        <v>16000</v>
      </c>
      <c r="J50" s="898">
        <v>20000</v>
      </c>
      <c r="K50" s="899">
        <f t="shared" si="23"/>
        <v>582.52427184466012</v>
      </c>
      <c r="L50" s="899">
        <f t="shared" si="24"/>
        <v>1765.2250661959399</v>
      </c>
      <c r="M50" s="898">
        <f t="shared" si="25"/>
        <v>14121.800529567519</v>
      </c>
      <c r="N50" s="898">
        <f t="shared" si="26"/>
        <v>17652.250661959399</v>
      </c>
      <c r="O50" s="900">
        <v>5335</v>
      </c>
      <c r="P50" s="900">
        <f>'Asian Corner'!H297</f>
        <v>6656.7193775100404</v>
      </c>
      <c r="Q50" s="901">
        <f t="shared" si="5"/>
        <v>0.37778468749999999</v>
      </c>
      <c r="R50" s="901">
        <f t="shared" si="6"/>
        <v>0.3771031527359438</v>
      </c>
      <c r="S50" s="857">
        <f t="shared" si="7"/>
        <v>8786.8005295675193</v>
      </c>
      <c r="T50" s="857">
        <f t="shared" si="8"/>
        <v>10995.531284449358</v>
      </c>
      <c r="U50" s="857">
        <v>8</v>
      </c>
      <c r="V50" s="856">
        <f t="shared" si="27"/>
        <v>1.4571948998178506E-2</v>
      </c>
      <c r="W50" s="860">
        <f t="shared" si="15"/>
        <v>3530.4501323918794</v>
      </c>
      <c r="X50" s="861">
        <f t="shared" si="16"/>
        <v>1321.7193775100404</v>
      </c>
      <c r="Y50" s="861">
        <f t="shared" si="11"/>
        <v>2208.7307548818389</v>
      </c>
      <c r="Z50" s="827"/>
      <c r="AA50" s="828"/>
    </row>
    <row r="51" spans="1:27" s="821" customFormat="1" ht="18.75" customHeight="1" x14ac:dyDescent="0.25">
      <c r="A51" s="892">
        <v>12</v>
      </c>
      <c r="B51" s="911" t="str">
        <f>'Asian Corner'!B305</f>
        <v>Sweet and Sour Pork</v>
      </c>
      <c r="C51" s="911"/>
      <c r="D51" s="894">
        <v>104</v>
      </c>
      <c r="E51" s="895" t="s">
        <v>884</v>
      </c>
      <c r="F51" s="895" t="s">
        <v>37</v>
      </c>
      <c r="G51" s="896" t="s">
        <v>906</v>
      </c>
      <c r="H51" s="895" t="s">
        <v>38</v>
      </c>
      <c r="I51" s="897">
        <v>16000</v>
      </c>
      <c r="J51" s="898">
        <v>20000</v>
      </c>
      <c r="K51" s="899">
        <f t="shared" si="23"/>
        <v>582.52427184466012</v>
      </c>
      <c r="L51" s="899">
        <f t="shared" si="24"/>
        <v>1765.2250661959399</v>
      </c>
      <c r="M51" s="898">
        <f t="shared" si="25"/>
        <v>14121.800529567519</v>
      </c>
      <c r="N51" s="898">
        <f t="shared" si="26"/>
        <v>17652.250661959399</v>
      </c>
      <c r="O51" s="900">
        <v>4773</v>
      </c>
      <c r="P51" s="900">
        <f>'Asian Corner'!H325</f>
        <v>7531.8048192771093</v>
      </c>
      <c r="Q51" s="901">
        <f t="shared" si="5"/>
        <v>0.33798806250000002</v>
      </c>
      <c r="R51" s="901">
        <f t="shared" si="6"/>
        <v>0.42667674301204828</v>
      </c>
      <c r="S51" s="857">
        <f t="shared" si="7"/>
        <v>9348.8005295675193</v>
      </c>
      <c r="T51" s="857">
        <f t="shared" si="8"/>
        <v>10120.445842682289</v>
      </c>
      <c r="U51" s="857">
        <v>12</v>
      </c>
      <c r="V51" s="856">
        <f t="shared" si="27"/>
        <v>2.185792349726776E-2</v>
      </c>
      <c r="W51" s="860">
        <f t="shared" si="15"/>
        <v>3530.4501323918794</v>
      </c>
      <c r="X51" s="861">
        <f t="shared" si="16"/>
        <v>2758.8048192771093</v>
      </c>
      <c r="Y51" s="861">
        <f t="shared" si="11"/>
        <v>771.64531311477003</v>
      </c>
      <c r="Z51" s="827"/>
      <c r="AA51" s="828"/>
    </row>
    <row r="52" spans="1:27" s="821" customFormat="1" ht="18.75" customHeight="1" x14ac:dyDescent="0.25">
      <c r="A52" s="892">
        <v>13</v>
      </c>
      <c r="B52" s="911" t="str">
        <f>'Asian Corner'!B334</f>
        <v>Pork Curry</v>
      </c>
      <c r="C52" s="911"/>
      <c r="D52" s="894">
        <v>104</v>
      </c>
      <c r="E52" s="895" t="s">
        <v>884</v>
      </c>
      <c r="F52" s="895" t="s">
        <v>37</v>
      </c>
      <c r="G52" s="896" t="s">
        <v>906</v>
      </c>
      <c r="H52" s="895" t="s">
        <v>38</v>
      </c>
      <c r="I52" s="897">
        <v>18000</v>
      </c>
      <c r="J52" s="898">
        <v>20000</v>
      </c>
      <c r="K52" s="899">
        <f t="shared" si="23"/>
        <v>582.52427184466012</v>
      </c>
      <c r="L52" s="899">
        <f t="shared" si="24"/>
        <v>1765.2250661959399</v>
      </c>
      <c r="M52" s="898">
        <f t="shared" si="25"/>
        <v>15887.025595763462</v>
      </c>
      <c r="N52" s="898">
        <f t="shared" si="26"/>
        <v>17652.250661959399</v>
      </c>
      <c r="O52" s="900">
        <v>5026.88</v>
      </c>
      <c r="P52" s="900">
        <f>'Asian Corner'!H352</f>
        <v>7555.7916666666661</v>
      </c>
      <c r="Q52" s="901">
        <f t="shared" si="5"/>
        <v>0.31641416888888885</v>
      </c>
      <c r="R52" s="901">
        <f t="shared" si="6"/>
        <v>0.42803559791666668</v>
      </c>
      <c r="S52" s="857">
        <f t="shared" si="7"/>
        <v>10860.145595763461</v>
      </c>
      <c r="T52" s="857">
        <f t="shared" si="8"/>
        <v>10096.458995292733</v>
      </c>
      <c r="U52" s="857">
        <v>55</v>
      </c>
      <c r="V52" s="856">
        <f t="shared" si="27"/>
        <v>0.10018214936247723</v>
      </c>
      <c r="W52" s="860">
        <f t="shared" si="15"/>
        <v>1765.225066195937</v>
      </c>
      <c r="X52" s="861">
        <f t="shared" si="16"/>
        <v>2528.911666666666</v>
      </c>
      <c r="Y52" s="861">
        <f t="shared" si="11"/>
        <v>-763.68660047072808</v>
      </c>
      <c r="Z52" s="827"/>
      <c r="AA52" s="828"/>
    </row>
    <row r="53" spans="1:27" s="821" customFormat="1" ht="18.75" customHeight="1" x14ac:dyDescent="0.25">
      <c r="A53" s="892">
        <v>14</v>
      </c>
      <c r="B53" s="911" t="str">
        <f>'Asian Corner'!B361</f>
        <v>Leng Saap Pork Spare Ribs</v>
      </c>
      <c r="C53" s="911"/>
      <c r="D53" s="894">
        <v>104</v>
      </c>
      <c r="E53" s="895" t="s">
        <v>884</v>
      </c>
      <c r="F53" s="895" t="s">
        <v>37</v>
      </c>
      <c r="G53" s="896" t="s">
        <v>906</v>
      </c>
      <c r="H53" s="895" t="s">
        <v>38</v>
      </c>
      <c r="I53" s="897">
        <v>18000</v>
      </c>
      <c r="J53" s="898">
        <v>30000</v>
      </c>
      <c r="K53" s="899">
        <f t="shared" si="23"/>
        <v>873.78640776699024</v>
      </c>
      <c r="L53" s="899">
        <f t="shared" si="24"/>
        <v>2647.83759929391</v>
      </c>
      <c r="M53" s="898">
        <f t="shared" si="25"/>
        <v>15887.025595763462</v>
      </c>
      <c r="N53" s="898">
        <f t="shared" si="26"/>
        <v>26478.375992939102</v>
      </c>
      <c r="O53" s="900">
        <v>5168</v>
      </c>
      <c r="P53" s="900">
        <f>'Asian Corner'!H381</f>
        <v>9308.5000000000018</v>
      </c>
      <c r="Q53" s="901">
        <f t="shared" si="5"/>
        <v>0.32529688888888886</v>
      </c>
      <c r="R53" s="901">
        <f t="shared" si="6"/>
        <v>0.35155101666666672</v>
      </c>
      <c r="S53" s="857">
        <f t="shared" si="7"/>
        <v>10719.025595763462</v>
      </c>
      <c r="T53" s="857">
        <f t="shared" si="8"/>
        <v>17169.875992939102</v>
      </c>
      <c r="U53" s="857">
        <v>51</v>
      </c>
      <c r="V53" s="856">
        <f t="shared" si="27"/>
        <v>9.2896174863387984E-2</v>
      </c>
      <c r="W53" s="860">
        <f t="shared" si="15"/>
        <v>10591.35039717564</v>
      </c>
      <c r="X53" s="861">
        <f t="shared" si="16"/>
        <v>4140.5000000000018</v>
      </c>
      <c r="Y53" s="861">
        <f t="shared" si="11"/>
        <v>6450.85039717564</v>
      </c>
      <c r="Z53" s="827"/>
      <c r="AA53" s="828"/>
    </row>
    <row r="54" spans="1:27" s="821" customFormat="1" ht="18.75" customHeight="1" x14ac:dyDescent="0.25">
      <c r="A54" s="892">
        <v>15</v>
      </c>
      <c r="B54" s="911" t="str">
        <f>'Asian Corner'!B390</f>
        <v>Deep Fried Beef</v>
      </c>
      <c r="C54" s="911"/>
      <c r="D54" s="894">
        <v>104</v>
      </c>
      <c r="E54" s="895" t="s">
        <v>884</v>
      </c>
      <c r="F54" s="895" t="s">
        <v>37</v>
      </c>
      <c r="G54" s="896" t="s">
        <v>906</v>
      </c>
      <c r="H54" s="895" t="s">
        <v>38</v>
      </c>
      <c r="I54" s="897">
        <v>0</v>
      </c>
      <c r="J54" s="898">
        <v>25000</v>
      </c>
      <c r="K54" s="899">
        <f t="shared" si="23"/>
        <v>728.15533980582518</v>
      </c>
      <c r="L54" s="899">
        <f t="shared" si="24"/>
        <v>2206.5313327449248</v>
      </c>
      <c r="M54" s="898">
        <f t="shared" si="25"/>
        <v>0</v>
      </c>
      <c r="N54" s="898">
        <f t="shared" si="26"/>
        <v>22065.31332744925</v>
      </c>
      <c r="O54" s="900">
        <v>0</v>
      </c>
      <c r="P54" s="900">
        <f>'Asian Corner'!H405</f>
        <v>7200.7928714859436</v>
      </c>
      <c r="Q54" s="901"/>
      <c r="R54" s="901">
        <f t="shared" si="6"/>
        <v>0.32633993293574298</v>
      </c>
      <c r="S54" s="857">
        <f t="shared" si="7"/>
        <v>0</v>
      </c>
      <c r="T54" s="857">
        <f t="shared" si="8"/>
        <v>14864.520455963306</v>
      </c>
      <c r="U54" s="857">
        <v>29</v>
      </c>
      <c r="V54" s="856">
        <f t="shared" si="27"/>
        <v>5.2823315118397086E-2</v>
      </c>
      <c r="W54" s="860">
        <f t="shared" si="15"/>
        <v>22065.31332744925</v>
      </c>
      <c r="X54" s="861">
        <f t="shared" si="16"/>
        <v>7200.7928714859436</v>
      </c>
      <c r="Y54" s="861">
        <f t="shared" si="11"/>
        <v>14864.520455963306</v>
      </c>
      <c r="Z54" s="827"/>
      <c r="AA54" s="828"/>
    </row>
    <row r="55" spans="1:27" s="821" customFormat="1" ht="18.75" customHeight="1" x14ac:dyDescent="0.25">
      <c r="A55" s="892"/>
      <c r="B55" s="913"/>
      <c r="C55" s="913"/>
      <c r="D55" s="913"/>
      <c r="E55" s="895"/>
      <c r="F55" s="895"/>
      <c r="G55" s="896"/>
      <c r="H55" s="895"/>
      <c r="I55" s="897"/>
      <c r="J55" s="898"/>
      <c r="K55" s="899"/>
      <c r="L55" s="899"/>
      <c r="M55" s="898"/>
      <c r="N55" s="898"/>
      <c r="O55" s="900"/>
      <c r="P55" s="900"/>
      <c r="Q55" s="901"/>
      <c r="R55" s="901"/>
      <c r="S55" s="857"/>
      <c r="T55" s="857"/>
      <c r="U55" s="857"/>
      <c r="V55" s="856"/>
      <c r="W55" s="860"/>
      <c r="X55" s="861"/>
      <c r="Y55" s="861"/>
      <c r="Z55" s="827"/>
      <c r="AA55" s="828"/>
    </row>
    <row r="56" spans="1:27" s="821" customFormat="1" ht="18.75" customHeight="1" x14ac:dyDescent="0.25">
      <c r="A56" s="892"/>
      <c r="B56" s="908" t="s">
        <v>908</v>
      </c>
      <c r="C56" s="908"/>
      <c r="D56" s="908"/>
      <c r="E56" s="895"/>
      <c r="F56" s="895"/>
      <c r="G56" s="896"/>
      <c r="H56" s="895"/>
      <c r="I56" s="897"/>
      <c r="J56" s="898"/>
      <c r="K56" s="899"/>
      <c r="L56" s="899"/>
      <c r="M56" s="898"/>
      <c r="N56" s="898"/>
      <c r="O56" s="900"/>
      <c r="P56" s="900"/>
      <c r="Q56" s="901"/>
      <c r="R56" s="901"/>
      <c r="S56" s="857"/>
      <c r="T56" s="857"/>
      <c r="U56" s="857"/>
      <c r="V56" s="856"/>
      <c r="W56" s="860"/>
      <c r="X56" s="861"/>
      <c r="Y56" s="861"/>
      <c r="Z56" s="827"/>
      <c r="AA56" s="828"/>
    </row>
    <row r="57" spans="1:27" s="821" customFormat="1" ht="18.75" customHeight="1" x14ac:dyDescent="0.25">
      <c r="A57" s="892">
        <v>1</v>
      </c>
      <c r="B57" s="911" t="str">
        <f>'Indian Delight'!B6</f>
        <v>Dal Tadka</v>
      </c>
      <c r="C57" s="911"/>
      <c r="D57" s="894">
        <v>175</v>
      </c>
      <c r="E57" s="895" t="s">
        <v>884</v>
      </c>
      <c r="F57" s="895" t="s">
        <v>37</v>
      </c>
      <c r="G57" s="896" t="s">
        <v>908</v>
      </c>
      <c r="H57" s="895" t="s">
        <v>38</v>
      </c>
      <c r="I57" s="897">
        <v>8000</v>
      </c>
      <c r="J57" s="898">
        <v>15000</v>
      </c>
      <c r="K57" s="899">
        <f>+J57/113.3*3.3</f>
        <v>436.89320388349512</v>
      </c>
      <c r="L57" s="899">
        <f>+J57/113.3*10</f>
        <v>1323.918799646955</v>
      </c>
      <c r="M57" s="898">
        <f t="shared" ref="M57:N59" si="28">+I57/113.3*100</f>
        <v>7060.9002647837597</v>
      </c>
      <c r="N57" s="898">
        <f t="shared" si="28"/>
        <v>13239.187996469551</v>
      </c>
      <c r="O57" s="900">
        <v>1972</v>
      </c>
      <c r="P57" s="900">
        <f>'Indian Delight'!H26</f>
        <v>4552</v>
      </c>
      <c r="Q57" s="901">
        <f t="shared" si="5"/>
        <v>0.27928449999999999</v>
      </c>
      <c r="R57" s="901">
        <f t="shared" si="6"/>
        <v>0.34382773333333333</v>
      </c>
      <c r="S57" s="857">
        <f t="shared" si="7"/>
        <v>5088.9002647837597</v>
      </c>
      <c r="T57" s="857">
        <f t="shared" si="8"/>
        <v>8687.1879964695509</v>
      </c>
      <c r="U57" s="857">
        <v>25</v>
      </c>
      <c r="V57" s="856">
        <f>U57/SUM($U$57:$U$59)</f>
        <v>0.33333333333333331</v>
      </c>
      <c r="W57" s="860">
        <f t="shared" si="15"/>
        <v>6178.2877316857912</v>
      </c>
      <c r="X57" s="861">
        <f t="shared" si="16"/>
        <v>2580</v>
      </c>
      <c r="Y57" s="861">
        <f t="shared" si="11"/>
        <v>3598.2877316857912</v>
      </c>
      <c r="Z57" s="827"/>
      <c r="AA57" s="828"/>
    </row>
    <row r="58" spans="1:27" s="821" customFormat="1" ht="18.75" customHeight="1" x14ac:dyDescent="0.25">
      <c r="A58" s="892">
        <v>2</v>
      </c>
      <c r="B58" s="911" t="str">
        <f>'Indian Delight'!B34</f>
        <v>Mixed Vegetable Curry</v>
      </c>
      <c r="C58" s="911"/>
      <c r="D58" s="894">
        <v>175</v>
      </c>
      <c r="E58" s="895" t="s">
        <v>884</v>
      </c>
      <c r="F58" s="895" t="s">
        <v>37</v>
      </c>
      <c r="G58" s="896" t="s">
        <v>908</v>
      </c>
      <c r="H58" s="895" t="s">
        <v>38</v>
      </c>
      <c r="I58" s="897">
        <v>10000</v>
      </c>
      <c r="J58" s="898">
        <v>18000</v>
      </c>
      <c r="K58" s="899">
        <f>+J58/113.3*3.3</f>
        <v>524.27184466019423</v>
      </c>
      <c r="L58" s="899">
        <f>+J58/113.3*10</f>
        <v>1588.7025595763462</v>
      </c>
      <c r="M58" s="898">
        <f t="shared" si="28"/>
        <v>8826.1253309796994</v>
      </c>
      <c r="N58" s="898">
        <f t="shared" si="28"/>
        <v>15887.025595763462</v>
      </c>
      <c r="O58" s="900">
        <v>3126</v>
      </c>
      <c r="P58" s="900">
        <f>'Indian Delight'!H61</f>
        <v>5606</v>
      </c>
      <c r="Q58" s="901">
        <f t="shared" si="5"/>
        <v>0.35417580000000004</v>
      </c>
      <c r="R58" s="901">
        <f t="shared" si="6"/>
        <v>0.35286655555555552</v>
      </c>
      <c r="S58" s="857">
        <f t="shared" si="7"/>
        <v>5700.1253309796994</v>
      </c>
      <c r="T58" s="857">
        <f t="shared" si="8"/>
        <v>10281.025595763462</v>
      </c>
      <c r="U58" s="857">
        <v>27</v>
      </c>
      <c r="V58" s="856">
        <f t="shared" ref="V58:V59" si="29">U58/SUM($U$57:$U$59)</f>
        <v>0.36</v>
      </c>
      <c r="W58" s="860">
        <f t="shared" si="15"/>
        <v>7060.9002647837624</v>
      </c>
      <c r="X58" s="861">
        <f t="shared" si="16"/>
        <v>2480</v>
      </c>
      <c r="Y58" s="861">
        <f t="shared" si="11"/>
        <v>4580.9002647837624</v>
      </c>
      <c r="Z58" s="827"/>
      <c r="AA58" s="828"/>
    </row>
    <row r="59" spans="1:27" s="821" customFormat="1" ht="18.75" customHeight="1" x14ac:dyDescent="0.25">
      <c r="A59" s="892">
        <v>3</v>
      </c>
      <c r="B59" s="911" t="str">
        <f>'Indian Delight'!B71</f>
        <v>Butter Chicken</v>
      </c>
      <c r="C59" s="911"/>
      <c r="D59" s="894">
        <v>175</v>
      </c>
      <c r="E59" s="895" t="s">
        <v>884</v>
      </c>
      <c r="F59" s="895" t="s">
        <v>37</v>
      </c>
      <c r="G59" s="896" t="s">
        <v>908</v>
      </c>
      <c r="H59" s="895" t="s">
        <v>38</v>
      </c>
      <c r="I59" s="897">
        <v>20000</v>
      </c>
      <c r="J59" s="898">
        <v>20000</v>
      </c>
      <c r="K59" s="899">
        <f>+J59/113.3*3.3</f>
        <v>582.52427184466012</v>
      </c>
      <c r="L59" s="899">
        <f>+J59/113.3*10</f>
        <v>1765.2250661959399</v>
      </c>
      <c r="M59" s="898">
        <f t="shared" si="28"/>
        <v>17652.250661959399</v>
      </c>
      <c r="N59" s="898">
        <f t="shared" si="28"/>
        <v>17652.250661959399</v>
      </c>
      <c r="O59" s="900">
        <v>5885</v>
      </c>
      <c r="P59" s="900">
        <f>'Indian Delight'!H97</f>
        <v>8154</v>
      </c>
      <c r="Q59" s="901">
        <f t="shared" si="5"/>
        <v>0.33338525000000002</v>
      </c>
      <c r="R59" s="901">
        <f t="shared" si="6"/>
        <v>0.4619241</v>
      </c>
      <c r="S59" s="857">
        <f t="shared" si="7"/>
        <v>11767.250661959399</v>
      </c>
      <c r="T59" s="857">
        <f t="shared" si="8"/>
        <v>9498.2506619593987</v>
      </c>
      <c r="U59" s="857">
        <v>23</v>
      </c>
      <c r="V59" s="856">
        <f t="shared" si="29"/>
        <v>0.30666666666666664</v>
      </c>
      <c r="W59" s="860">
        <f t="shared" si="15"/>
        <v>0</v>
      </c>
      <c r="X59" s="861">
        <f t="shared" si="16"/>
        <v>2269</v>
      </c>
      <c r="Y59" s="861">
        <f t="shared" si="11"/>
        <v>-2269</v>
      </c>
      <c r="Z59" s="827"/>
      <c r="AA59" s="828"/>
    </row>
    <row r="60" spans="1:27" s="821" customFormat="1" ht="18.75" customHeight="1" x14ac:dyDescent="0.25">
      <c r="A60" s="892"/>
      <c r="B60" s="913"/>
      <c r="C60" s="913"/>
      <c r="D60" s="913"/>
      <c r="E60" s="895"/>
      <c r="F60" s="895"/>
      <c r="G60" s="896"/>
      <c r="H60" s="895"/>
      <c r="I60" s="897"/>
      <c r="J60" s="898"/>
      <c r="K60" s="899"/>
      <c r="L60" s="899"/>
      <c r="M60" s="898"/>
      <c r="N60" s="898"/>
      <c r="O60" s="900"/>
      <c r="P60" s="900"/>
      <c r="Q60" s="901"/>
      <c r="R60" s="901"/>
      <c r="S60" s="857"/>
      <c r="T60" s="857"/>
      <c r="U60" s="857"/>
      <c r="V60" s="856"/>
      <c r="W60" s="860"/>
      <c r="X60" s="861"/>
      <c r="Y60" s="861"/>
      <c r="Z60" s="827"/>
      <c r="AA60" s="828"/>
    </row>
    <row r="61" spans="1:27" s="821" customFormat="1" ht="18.75" customHeight="1" x14ac:dyDescent="0.25">
      <c r="A61" s="892"/>
      <c r="B61" s="908" t="s">
        <v>910</v>
      </c>
      <c r="C61" s="908"/>
      <c r="D61" s="908"/>
      <c r="E61" s="895"/>
      <c r="F61" s="895"/>
      <c r="G61" s="896"/>
      <c r="H61" s="895"/>
      <c r="I61" s="897"/>
      <c r="J61" s="898"/>
      <c r="K61" s="899"/>
      <c r="L61" s="899"/>
      <c r="M61" s="898"/>
      <c r="N61" s="898"/>
      <c r="O61" s="900"/>
      <c r="P61" s="900"/>
      <c r="Q61" s="901"/>
      <c r="R61" s="901"/>
      <c r="S61" s="857"/>
      <c r="T61" s="857"/>
      <c r="U61" s="857"/>
      <c r="V61" s="856"/>
      <c r="W61" s="860"/>
      <c r="X61" s="861"/>
      <c r="Y61" s="861"/>
      <c r="Z61" s="827"/>
      <c r="AA61" s="828"/>
    </row>
    <row r="62" spans="1:27" s="821" customFormat="1" ht="18.75" customHeight="1" x14ac:dyDescent="0.25">
      <c r="A62" s="892">
        <v>1</v>
      </c>
      <c r="B62" s="913" t="str">
        <f>'Regional Cuisine of Bagan'!B5</f>
        <v>Tamarind Fish Curry</v>
      </c>
      <c r="C62" s="913"/>
      <c r="D62" s="894">
        <v>125</v>
      </c>
      <c r="E62" s="895" t="s">
        <v>884</v>
      </c>
      <c r="F62" s="895" t="s">
        <v>37</v>
      </c>
      <c r="G62" s="896" t="s">
        <v>910</v>
      </c>
      <c r="H62" s="895" t="s">
        <v>38</v>
      </c>
      <c r="I62" s="897">
        <v>15000</v>
      </c>
      <c r="J62" s="898">
        <v>15000</v>
      </c>
      <c r="K62" s="899">
        <f>+J62/113.3*3.3</f>
        <v>436.89320388349512</v>
      </c>
      <c r="L62" s="899">
        <f>+J62/113.3*10</f>
        <v>1323.918799646955</v>
      </c>
      <c r="M62" s="898">
        <f t="shared" ref="M62:N65" si="30">+I62/113.3*100</f>
        <v>13239.187996469551</v>
      </c>
      <c r="N62" s="898">
        <f t="shared" si="30"/>
        <v>13239.187996469551</v>
      </c>
      <c r="O62" s="900">
        <v>4670</v>
      </c>
      <c r="P62" s="900">
        <f>'Regional Cuisine of Bagan'!H21</f>
        <v>4719.3726015171806</v>
      </c>
      <c r="Q62" s="901">
        <f t="shared" si="5"/>
        <v>0.35274066666666665</v>
      </c>
      <c r="R62" s="901">
        <f t="shared" si="6"/>
        <v>0.35646994383459768</v>
      </c>
      <c r="S62" s="857">
        <f t="shared" si="7"/>
        <v>8569.1879964695509</v>
      </c>
      <c r="T62" s="857">
        <f t="shared" si="8"/>
        <v>8519.8153949523694</v>
      </c>
      <c r="U62" s="857">
        <v>21</v>
      </c>
      <c r="V62" s="856">
        <f>U62/SUM($U$62:$U$65)</f>
        <v>0.13725490196078433</v>
      </c>
      <c r="W62" s="860">
        <f t="shared" si="15"/>
        <v>0</v>
      </c>
      <c r="X62" s="861">
        <f t="shared" si="16"/>
        <v>49.372601517180556</v>
      </c>
      <c r="Y62" s="861">
        <f t="shared" si="11"/>
        <v>-49.372601517181465</v>
      </c>
      <c r="Z62" s="827"/>
      <c r="AA62" s="828"/>
    </row>
    <row r="63" spans="1:27" s="821" customFormat="1" ht="18.75" customHeight="1" x14ac:dyDescent="0.25">
      <c r="A63" s="892">
        <v>2</v>
      </c>
      <c r="B63" s="913" t="str">
        <f>'Regional Cuisine of Bagan'!B29</f>
        <v>Chicken Curry</v>
      </c>
      <c r="C63" s="913"/>
      <c r="D63" s="894">
        <v>125</v>
      </c>
      <c r="E63" s="895" t="s">
        <v>884</v>
      </c>
      <c r="F63" s="895" t="s">
        <v>37</v>
      </c>
      <c r="G63" s="896" t="s">
        <v>910</v>
      </c>
      <c r="H63" s="895" t="s">
        <v>38</v>
      </c>
      <c r="I63" s="897">
        <v>14000</v>
      </c>
      <c r="J63" s="898">
        <v>20000</v>
      </c>
      <c r="K63" s="899">
        <f>+J63/113.3*3.3</f>
        <v>582.52427184466012</v>
      </c>
      <c r="L63" s="899">
        <f>+J63/113.3*10</f>
        <v>1765.2250661959399</v>
      </c>
      <c r="M63" s="898">
        <f t="shared" si="30"/>
        <v>12356.575463371581</v>
      </c>
      <c r="N63" s="898">
        <f t="shared" si="30"/>
        <v>17652.250661959399</v>
      </c>
      <c r="O63" s="900">
        <v>4398.5</v>
      </c>
      <c r="P63" s="900">
        <f>'Regional Cuisine of Bagan'!H44</f>
        <v>6653.375687936933</v>
      </c>
      <c r="Q63" s="901">
        <f t="shared" si="5"/>
        <v>0.35596432142857143</v>
      </c>
      <c r="R63" s="901">
        <f t="shared" si="6"/>
        <v>0.37691373272162726</v>
      </c>
      <c r="S63" s="857">
        <f t="shared" si="7"/>
        <v>7958.0754633715806</v>
      </c>
      <c r="T63" s="857">
        <f t="shared" si="8"/>
        <v>10998.874974022467</v>
      </c>
      <c r="U63" s="857">
        <v>33</v>
      </c>
      <c r="V63" s="856">
        <f t="shared" ref="V63:V65" si="31">U63/SUM($U$62:$U$65)</f>
        <v>0.21568627450980393</v>
      </c>
      <c r="W63" s="860">
        <f t="shared" si="15"/>
        <v>5295.6751985878182</v>
      </c>
      <c r="X63" s="861">
        <f t="shared" si="16"/>
        <v>2254.875687936933</v>
      </c>
      <c r="Y63" s="861">
        <f t="shared" si="11"/>
        <v>3040.7995106508861</v>
      </c>
      <c r="Z63" s="827"/>
      <c r="AA63" s="828"/>
    </row>
    <row r="64" spans="1:27" s="821" customFormat="1" ht="18.75" customHeight="1" x14ac:dyDescent="0.25">
      <c r="A64" s="892">
        <v>3</v>
      </c>
      <c r="B64" s="916" t="str">
        <f>'Regional Cuisine of Bagan'!B52</f>
        <v>Bagan Style Pork Curry</v>
      </c>
      <c r="C64" s="916"/>
      <c r="D64" s="894">
        <v>125</v>
      </c>
      <c r="E64" s="895" t="s">
        <v>884</v>
      </c>
      <c r="F64" s="895" t="s">
        <v>37</v>
      </c>
      <c r="G64" s="896" t="s">
        <v>910</v>
      </c>
      <c r="H64" s="895" t="s">
        <v>38</v>
      </c>
      <c r="I64" s="897">
        <v>18000</v>
      </c>
      <c r="J64" s="898">
        <v>23000</v>
      </c>
      <c r="K64" s="899">
        <f>+J64/113.3*3.3</f>
        <v>669.90291262135918</v>
      </c>
      <c r="L64" s="899">
        <f>+J64/113.3*10</f>
        <v>2030.0088261253311</v>
      </c>
      <c r="M64" s="898">
        <f t="shared" si="30"/>
        <v>15887.025595763462</v>
      </c>
      <c r="N64" s="898">
        <f t="shared" si="30"/>
        <v>20300.08826125331</v>
      </c>
      <c r="O64" s="900">
        <v>4873</v>
      </c>
      <c r="P64" s="900">
        <f>'Regional Cuisine of Bagan'!H70</f>
        <v>7277.2013052208831</v>
      </c>
      <c r="Q64" s="901">
        <f t="shared" si="5"/>
        <v>0.30672827777777772</v>
      </c>
      <c r="R64" s="901">
        <f t="shared" si="6"/>
        <v>0.35848126429631566</v>
      </c>
      <c r="S64" s="857">
        <f t="shared" si="7"/>
        <v>11014.025595763462</v>
      </c>
      <c r="T64" s="857">
        <f t="shared" si="8"/>
        <v>13022.886956032427</v>
      </c>
      <c r="U64" s="857">
        <v>55</v>
      </c>
      <c r="V64" s="856">
        <f t="shared" si="31"/>
        <v>0.35947712418300654</v>
      </c>
      <c r="W64" s="860">
        <f t="shared" si="15"/>
        <v>4413.0626654898479</v>
      </c>
      <c r="X64" s="861">
        <f t="shared" si="16"/>
        <v>2404.2013052208831</v>
      </c>
      <c r="Y64" s="861">
        <f t="shared" si="11"/>
        <v>2008.8613602689657</v>
      </c>
      <c r="Z64" s="827"/>
      <c r="AA64" s="828"/>
    </row>
    <row r="65" spans="1:29" s="821" customFormat="1" ht="18.75" customHeight="1" x14ac:dyDescent="0.25">
      <c r="A65" s="892">
        <v>4</v>
      </c>
      <c r="B65" s="913" t="str">
        <f>'Regional Cuisine of Bagan'!B78</f>
        <v>Beef Curry</v>
      </c>
      <c r="C65" s="913"/>
      <c r="D65" s="894">
        <v>125</v>
      </c>
      <c r="E65" s="895" t="s">
        <v>884</v>
      </c>
      <c r="F65" s="895" t="s">
        <v>37</v>
      </c>
      <c r="G65" s="896" t="s">
        <v>910</v>
      </c>
      <c r="H65" s="895" t="s">
        <v>38</v>
      </c>
      <c r="I65" s="897">
        <v>18000</v>
      </c>
      <c r="J65" s="898">
        <v>23000</v>
      </c>
      <c r="K65" s="899">
        <f>+J65/113.3*3.3</f>
        <v>669.90291262135918</v>
      </c>
      <c r="L65" s="899">
        <f>+J65/113.3*10</f>
        <v>2030.0088261253311</v>
      </c>
      <c r="M65" s="898">
        <f t="shared" si="30"/>
        <v>15887.025595763462</v>
      </c>
      <c r="N65" s="898">
        <f t="shared" si="30"/>
        <v>20300.08826125331</v>
      </c>
      <c r="O65" s="900">
        <v>4370</v>
      </c>
      <c r="P65" s="900">
        <f>'Regional Cuisine of Bagan'!H96</f>
        <v>6796.996485943775</v>
      </c>
      <c r="Q65" s="901">
        <f t="shared" si="5"/>
        <v>0.27506722222222219</v>
      </c>
      <c r="R65" s="901">
        <f t="shared" si="6"/>
        <v>0.33482595732931725</v>
      </c>
      <c r="S65" s="857">
        <f t="shared" si="7"/>
        <v>11517.025595763462</v>
      </c>
      <c r="T65" s="857">
        <f t="shared" si="8"/>
        <v>13503.091775309535</v>
      </c>
      <c r="U65" s="857">
        <v>44</v>
      </c>
      <c r="V65" s="856">
        <f t="shared" si="31"/>
        <v>0.28758169934640521</v>
      </c>
      <c r="W65" s="860">
        <f t="shared" si="15"/>
        <v>4413.0626654898479</v>
      </c>
      <c r="X65" s="861">
        <f t="shared" si="16"/>
        <v>2426.996485943775</v>
      </c>
      <c r="Y65" s="861">
        <f t="shared" si="11"/>
        <v>1986.0661795460728</v>
      </c>
      <c r="Z65" s="827"/>
      <c r="AA65" s="828"/>
    </row>
    <row r="66" spans="1:29" s="821" customFormat="1" ht="18.75" customHeight="1" x14ac:dyDescent="0.25">
      <c r="A66" s="892"/>
      <c r="B66" s="916"/>
      <c r="C66" s="916"/>
      <c r="D66" s="916"/>
      <c r="E66" s="895"/>
      <c r="F66" s="895"/>
      <c r="G66" s="906"/>
      <c r="H66" s="895"/>
      <c r="I66" s="897"/>
      <c r="J66" s="898"/>
      <c r="K66" s="899"/>
      <c r="L66" s="899"/>
      <c r="M66" s="898"/>
      <c r="N66" s="898"/>
      <c r="O66" s="900"/>
      <c r="P66" s="900"/>
      <c r="Q66" s="901"/>
      <c r="R66" s="901"/>
      <c r="S66" s="857"/>
      <c r="T66" s="857"/>
      <c r="U66" s="857"/>
      <c r="V66" s="856"/>
      <c r="W66" s="860"/>
      <c r="X66" s="861"/>
      <c r="Y66" s="861"/>
      <c r="Z66" s="827"/>
      <c r="AA66" s="828"/>
    </row>
    <row r="67" spans="1:29" s="821" customFormat="1" ht="18.75" customHeight="1" x14ac:dyDescent="0.25">
      <c r="A67" s="892"/>
      <c r="B67" s="908" t="s">
        <v>909</v>
      </c>
      <c r="C67" s="908"/>
      <c r="D67" s="908"/>
      <c r="E67" s="895"/>
      <c r="F67" s="895"/>
      <c r="G67" s="906"/>
      <c r="H67" s="895"/>
      <c r="I67" s="897"/>
      <c r="J67" s="898"/>
      <c r="K67" s="899"/>
      <c r="L67" s="899"/>
      <c r="M67" s="898"/>
      <c r="N67" s="898"/>
      <c r="O67" s="900"/>
      <c r="P67" s="900"/>
      <c r="Q67" s="901"/>
      <c r="R67" s="901"/>
      <c r="S67" s="857"/>
      <c r="T67" s="857"/>
      <c r="U67" s="857"/>
      <c r="V67" s="856"/>
      <c r="W67" s="860"/>
      <c r="X67" s="861"/>
      <c r="Y67" s="861"/>
      <c r="Z67" s="827"/>
      <c r="AA67" s="828"/>
    </row>
    <row r="68" spans="1:29" s="821" customFormat="1" ht="18.75" customHeight="1" x14ac:dyDescent="0.25">
      <c r="A68" s="892">
        <v>1</v>
      </c>
      <c r="B68" s="911" t="str">
        <f>'Aureum Signature Dishes'!B5</f>
        <v xml:space="preserve">Bagan Bean Sprout Soup </v>
      </c>
      <c r="C68" s="911"/>
      <c r="D68" s="894">
        <v>117</v>
      </c>
      <c r="E68" s="895" t="s">
        <v>884</v>
      </c>
      <c r="F68" s="895" t="s">
        <v>37</v>
      </c>
      <c r="G68" s="896" t="s">
        <v>909</v>
      </c>
      <c r="H68" s="895" t="s">
        <v>38</v>
      </c>
      <c r="I68" s="897">
        <v>9000</v>
      </c>
      <c r="J68" s="898">
        <v>12000</v>
      </c>
      <c r="K68" s="899">
        <f>+J68/113.3*3.3</f>
        <v>349.51456310679612</v>
      </c>
      <c r="L68" s="899">
        <f>+J68/113.3*10</f>
        <v>1059.135039717564</v>
      </c>
      <c r="M68" s="898">
        <f t="shared" ref="M68:N70" si="32">+I68/113.3*100</f>
        <v>7943.5127978817309</v>
      </c>
      <c r="N68" s="898">
        <f t="shared" si="32"/>
        <v>10591.35039717564</v>
      </c>
      <c r="O68" s="900">
        <v>1776</v>
      </c>
      <c r="P68" s="900">
        <f>'Aureum Signature Dishes'!H21</f>
        <v>3956.2048192771085</v>
      </c>
      <c r="Q68" s="901">
        <f t="shared" si="5"/>
        <v>0.22357866666666665</v>
      </c>
      <c r="R68" s="901">
        <f t="shared" si="6"/>
        <v>0.373531671686747</v>
      </c>
      <c r="S68" s="857">
        <f t="shared" si="7"/>
        <v>6167.5127978817309</v>
      </c>
      <c r="T68" s="857">
        <f t="shared" si="8"/>
        <v>6635.145577898531</v>
      </c>
      <c r="U68" s="857">
        <v>16</v>
      </c>
      <c r="V68" s="856">
        <f>U68/SUM($U$68:$U$70)</f>
        <v>0.12307692307692308</v>
      </c>
      <c r="W68" s="860">
        <f t="shared" si="15"/>
        <v>2647.8375992939091</v>
      </c>
      <c r="X68" s="861">
        <f t="shared" si="16"/>
        <v>2180.2048192771085</v>
      </c>
      <c r="Y68" s="861">
        <f t="shared" si="11"/>
        <v>467.6327800168001</v>
      </c>
      <c r="Z68" s="827"/>
      <c r="AA68" s="828"/>
    </row>
    <row r="69" spans="1:29" s="821" customFormat="1" ht="18.75" customHeight="1" x14ac:dyDescent="0.25">
      <c r="A69" s="892">
        <v>2</v>
      </c>
      <c r="B69" s="911" t="str">
        <f>'Aureum Signature Dishes'!B29</f>
        <v xml:space="preserve">Aureum Chef’s Salad </v>
      </c>
      <c r="C69" s="911"/>
      <c r="D69" s="894">
        <v>117</v>
      </c>
      <c r="E69" s="895" t="s">
        <v>884</v>
      </c>
      <c r="F69" s="895" t="s">
        <v>37</v>
      </c>
      <c r="G69" s="896" t="s">
        <v>909</v>
      </c>
      <c r="H69" s="895" t="s">
        <v>38</v>
      </c>
      <c r="I69" s="897">
        <v>12000</v>
      </c>
      <c r="J69" s="898">
        <v>12000</v>
      </c>
      <c r="K69" s="899">
        <f>+J69/113.3*3.3</f>
        <v>349.51456310679612</v>
      </c>
      <c r="L69" s="899">
        <f>+J69/113.3*10</f>
        <v>1059.135039717564</v>
      </c>
      <c r="M69" s="898">
        <f t="shared" si="32"/>
        <v>10591.35039717564</v>
      </c>
      <c r="N69" s="898">
        <f t="shared" si="32"/>
        <v>10591.35039717564</v>
      </c>
      <c r="O69" s="900">
        <v>3955</v>
      </c>
      <c r="P69" s="900">
        <f>'Aureum Signature Dishes'!H45</f>
        <v>3850.3246913580247</v>
      </c>
      <c r="Q69" s="901">
        <f t="shared" si="5"/>
        <v>0.37341791666666668</v>
      </c>
      <c r="R69" s="901">
        <f t="shared" si="6"/>
        <v>0.36353482294238681</v>
      </c>
      <c r="S69" s="857">
        <f t="shared" si="7"/>
        <v>6636.35039717564</v>
      </c>
      <c r="T69" s="857">
        <f t="shared" si="8"/>
        <v>6741.0257058176157</v>
      </c>
      <c r="U69" s="857">
        <v>31</v>
      </c>
      <c r="V69" s="856">
        <f t="shared" ref="V69:V70" si="33">U69/SUM($U$68:$U$70)</f>
        <v>0.23846153846153847</v>
      </c>
      <c r="W69" s="860">
        <f t="shared" ref="W69:W105" si="34">N69-M69</f>
        <v>0</v>
      </c>
      <c r="X69" s="861">
        <f t="shared" si="16"/>
        <v>-104.67530864197533</v>
      </c>
      <c r="Y69" s="861">
        <f t="shared" ref="Y69:Y105" si="35">T69-S69</f>
        <v>104.67530864197579</v>
      </c>
      <c r="Z69" s="827"/>
      <c r="AA69" s="828"/>
    </row>
    <row r="70" spans="1:29" s="821" customFormat="1" ht="18.75" customHeight="1" x14ac:dyDescent="0.25">
      <c r="A70" s="892">
        <v>3</v>
      </c>
      <c r="B70" s="911" t="str">
        <f>'Aureum Signature Dishes'!B53</f>
        <v>Tea Leave with Mutton Salad</v>
      </c>
      <c r="C70" s="911"/>
      <c r="D70" s="894">
        <v>117</v>
      </c>
      <c r="E70" s="895" t="s">
        <v>884</v>
      </c>
      <c r="F70" s="895" t="s">
        <v>37</v>
      </c>
      <c r="G70" s="896" t="s">
        <v>909</v>
      </c>
      <c r="H70" s="895" t="s">
        <v>38</v>
      </c>
      <c r="I70" s="897">
        <v>15000</v>
      </c>
      <c r="J70" s="898">
        <v>15000</v>
      </c>
      <c r="K70" s="899">
        <f>+J70/113.3*3.3</f>
        <v>436.89320388349512</v>
      </c>
      <c r="L70" s="899">
        <f>+J70/113.3*10</f>
        <v>1323.918799646955</v>
      </c>
      <c r="M70" s="898">
        <f t="shared" si="32"/>
        <v>13239.187996469551</v>
      </c>
      <c r="N70" s="898">
        <f t="shared" si="32"/>
        <v>13239.187996469551</v>
      </c>
      <c r="O70" s="900">
        <v>4398</v>
      </c>
      <c r="P70" s="900">
        <f>'Aureum Signature Dishes'!H70</f>
        <v>4475.204819277109</v>
      </c>
      <c r="Q70" s="901">
        <f t="shared" si="5"/>
        <v>0.33219559999999998</v>
      </c>
      <c r="R70" s="901">
        <f t="shared" si="6"/>
        <v>0.3380271373493976</v>
      </c>
      <c r="S70" s="857">
        <f t="shared" si="7"/>
        <v>8841.1879964695509</v>
      </c>
      <c r="T70" s="857">
        <f t="shared" si="8"/>
        <v>8763.9831771924419</v>
      </c>
      <c r="U70" s="857">
        <v>83</v>
      </c>
      <c r="V70" s="856">
        <f t="shared" si="33"/>
        <v>0.63846153846153841</v>
      </c>
      <c r="W70" s="860">
        <f t="shared" si="34"/>
        <v>0</v>
      </c>
      <c r="X70" s="861">
        <f t="shared" si="16"/>
        <v>77.204819277108982</v>
      </c>
      <c r="Y70" s="861">
        <f t="shared" si="35"/>
        <v>-77.204819277108982</v>
      </c>
      <c r="Z70" s="827"/>
      <c r="AA70" s="828"/>
    </row>
    <row r="71" spans="1:29" s="821" customFormat="1" ht="18.75" customHeight="1" x14ac:dyDescent="0.25">
      <c r="A71" s="892"/>
      <c r="B71" s="913"/>
      <c r="C71" s="913"/>
      <c r="D71" s="913"/>
      <c r="E71" s="895"/>
      <c r="F71" s="895"/>
      <c r="G71" s="906"/>
      <c r="H71" s="895"/>
      <c r="I71" s="897"/>
      <c r="J71" s="898"/>
      <c r="K71" s="899"/>
      <c r="L71" s="899"/>
      <c r="M71" s="898"/>
      <c r="N71" s="898"/>
      <c r="O71" s="900"/>
      <c r="P71" s="900"/>
      <c r="Q71" s="901"/>
      <c r="R71" s="901"/>
      <c r="S71" s="857"/>
      <c r="T71" s="857"/>
      <c r="U71" s="857"/>
      <c r="V71" s="856"/>
      <c r="W71" s="860"/>
      <c r="X71" s="861"/>
      <c r="Y71" s="861"/>
      <c r="Z71" s="827"/>
      <c r="AA71" s="828"/>
    </row>
    <row r="72" spans="1:29" s="821" customFormat="1" ht="18.75" customHeight="1" x14ac:dyDescent="0.25">
      <c r="A72" s="892"/>
      <c r="B72" s="908" t="s">
        <v>911</v>
      </c>
      <c r="C72" s="908"/>
      <c r="D72" s="908"/>
      <c r="E72" s="895"/>
      <c r="F72" s="895"/>
      <c r="G72" s="906"/>
      <c r="H72" s="895"/>
      <c r="I72" s="897"/>
      <c r="J72" s="898"/>
      <c r="K72" s="899"/>
      <c r="L72" s="899"/>
      <c r="M72" s="898"/>
      <c r="N72" s="898"/>
      <c r="O72" s="900"/>
      <c r="P72" s="900"/>
      <c r="Q72" s="901"/>
      <c r="R72" s="901"/>
      <c r="S72" s="857"/>
      <c r="T72" s="857"/>
      <c r="U72" s="857"/>
      <c r="V72" s="856"/>
      <c r="W72" s="860"/>
      <c r="X72" s="861"/>
      <c r="Y72" s="861"/>
      <c r="Z72" s="827"/>
      <c r="AA72" s="828"/>
    </row>
    <row r="73" spans="1:29" s="821" customFormat="1" ht="18.75" customHeight="1" x14ac:dyDescent="0.25">
      <c r="A73" s="892">
        <v>1</v>
      </c>
      <c r="B73" s="913" t="str">
        <f>'From the Grilled'!B5</f>
        <v xml:space="preserve">Grilled Fillet of Sea Bass </v>
      </c>
      <c r="C73" s="913"/>
      <c r="D73" s="914">
        <v>106</v>
      </c>
      <c r="E73" s="895" t="s">
        <v>884</v>
      </c>
      <c r="F73" s="895" t="s">
        <v>37</v>
      </c>
      <c r="G73" s="896" t="s">
        <v>804</v>
      </c>
      <c r="H73" s="895" t="s">
        <v>38</v>
      </c>
      <c r="I73" s="897">
        <v>25000</v>
      </c>
      <c r="J73" s="898">
        <v>60000</v>
      </c>
      <c r="K73" s="899">
        <f t="shared" ref="K73:K78" si="36">+J73/113.3*3.3</f>
        <v>1747.5728155339805</v>
      </c>
      <c r="L73" s="899">
        <f t="shared" ref="L73:L78" si="37">+J73/113.3*10</f>
        <v>5295.67519858782</v>
      </c>
      <c r="M73" s="898">
        <f t="shared" ref="M73:N78" si="38">+I73/113.3*100</f>
        <v>22065.31332744925</v>
      </c>
      <c r="N73" s="898">
        <f t="shared" si="38"/>
        <v>52956.751985878203</v>
      </c>
      <c r="O73" s="900">
        <v>6691</v>
      </c>
      <c r="P73" s="900">
        <f>'From the Grilled'!H22</f>
        <v>11991.34</v>
      </c>
      <c r="Q73" s="901">
        <f t="shared" si="5"/>
        <v>0.30323612</v>
      </c>
      <c r="R73" s="901">
        <f t="shared" si="6"/>
        <v>0.22643647033333331</v>
      </c>
      <c r="S73" s="857">
        <f t="shared" si="7"/>
        <v>15374.31332744925</v>
      </c>
      <c r="T73" s="857">
        <f t="shared" si="8"/>
        <v>40965.411985878207</v>
      </c>
      <c r="U73" s="857">
        <v>14</v>
      </c>
      <c r="V73" s="856">
        <f>U73/SUM($U$73:$U$78)</f>
        <v>0.14432989690721648</v>
      </c>
      <c r="W73" s="860">
        <f t="shared" si="34"/>
        <v>30891.438658428953</v>
      </c>
      <c r="X73" s="861">
        <f t="shared" ref="X73:X105" si="39">P73-O73</f>
        <v>5300.34</v>
      </c>
      <c r="Y73" s="861">
        <f t="shared" si="35"/>
        <v>25591.098658428957</v>
      </c>
      <c r="Z73" s="827"/>
      <c r="AA73" s="828"/>
    </row>
    <row r="74" spans="1:29" s="821" customFormat="1" ht="18.75" customHeight="1" x14ac:dyDescent="0.25">
      <c r="A74" s="892">
        <v>2</v>
      </c>
      <c r="B74" s="913" t="str">
        <f>'From the Grilled'!B30</f>
        <v xml:space="preserve">Chicken Breast Ballotine </v>
      </c>
      <c r="C74" s="913"/>
      <c r="D74" s="914">
        <v>106</v>
      </c>
      <c r="E74" s="895" t="s">
        <v>884</v>
      </c>
      <c r="F74" s="895" t="s">
        <v>37</v>
      </c>
      <c r="G74" s="896" t="s">
        <v>804</v>
      </c>
      <c r="H74" s="895" t="s">
        <v>38</v>
      </c>
      <c r="I74" s="897">
        <v>25000</v>
      </c>
      <c r="J74" s="898">
        <v>60000</v>
      </c>
      <c r="K74" s="899">
        <f t="shared" si="36"/>
        <v>1747.5728155339805</v>
      </c>
      <c r="L74" s="899">
        <f t="shared" si="37"/>
        <v>5295.67519858782</v>
      </c>
      <c r="M74" s="898">
        <f t="shared" si="38"/>
        <v>22065.31332744925</v>
      </c>
      <c r="N74" s="898">
        <f t="shared" si="38"/>
        <v>52956.751985878203</v>
      </c>
      <c r="O74" s="900">
        <v>6438</v>
      </c>
      <c r="P74" s="900">
        <f>'From the Grilled'!H50</f>
        <v>11895.54</v>
      </c>
      <c r="Q74" s="901">
        <f t="shared" ref="Q74:Q105" si="40">O74/M74</f>
        <v>0.29177016</v>
      </c>
      <c r="R74" s="901">
        <f t="shared" ref="R74:R105" si="41">P74/N74</f>
        <v>0.22462744700000001</v>
      </c>
      <c r="S74" s="857">
        <f t="shared" ref="S74:S105" si="42">M74-O74</f>
        <v>15627.31332744925</v>
      </c>
      <c r="T74" s="857">
        <f t="shared" ref="T74:T105" si="43">N74-P74</f>
        <v>41061.211985878203</v>
      </c>
      <c r="U74" s="857">
        <v>8</v>
      </c>
      <c r="V74" s="856">
        <f t="shared" ref="V74:V78" si="44">U74/SUM($U$73:$U$78)</f>
        <v>8.247422680412371E-2</v>
      </c>
      <c r="W74" s="860">
        <f t="shared" si="34"/>
        <v>30891.438658428953</v>
      </c>
      <c r="X74" s="861">
        <f t="shared" si="39"/>
        <v>5457.5400000000009</v>
      </c>
      <c r="Y74" s="861">
        <f t="shared" si="35"/>
        <v>25433.898658428952</v>
      </c>
      <c r="Z74" s="827"/>
      <c r="AA74" s="828"/>
    </row>
    <row r="75" spans="1:29" s="821" customFormat="1" ht="18.75" customHeight="1" x14ac:dyDescent="0.25">
      <c r="A75" s="892">
        <v>3</v>
      </c>
      <c r="B75" s="913" t="str">
        <f>'From the Grilled'!B58</f>
        <v xml:space="preserve">Grilled Pork Chop </v>
      </c>
      <c r="C75" s="913"/>
      <c r="D75" s="914">
        <v>106</v>
      </c>
      <c r="E75" s="895" t="s">
        <v>884</v>
      </c>
      <c r="F75" s="895" t="s">
        <v>37</v>
      </c>
      <c r="G75" s="896" t="s">
        <v>804</v>
      </c>
      <c r="H75" s="895" t="s">
        <v>38</v>
      </c>
      <c r="I75" s="897">
        <v>25000</v>
      </c>
      <c r="J75" s="898">
        <v>60000</v>
      </c>
      <c r="K75" s="899">
        <f t="shared" si="36"/>
        <v>1747.5728155339805</v>
      </c>
      <c r="L75" s="899">
        <f t="shared" si="37"/>
        <v>5295.67519858782</v>
      </c>
      <c r="M75" s="898">
        <f t="shared" si="38"/>
        <v>22065.31332744925</v>
      </c>
      <c r="N75" s="898">
        <f t="shared" si="38"/>
        <v>52956.751985878203</v>
      </c>
      <c r="O75" s="900">
        <v>6407</v>
      </c>
      <c r="P75" s="900">
        <f>'From the Grilled'!H78</f>
        <v>13767.34</v>
      </c>
      <c r="Q75" s="901">
        <f t="shared" si="40"/>
        <v>0.29036523999999997</v>
      </c>
      <c r="R75" s="901">
        <f t="shared" si="41"/>
        <v>0.25997327033333334</v>
      </c>
      <c r="S75" s="857">
        <f t="shared" si="42"/>
        <v>15658.31332744925</v>
      </c>
      <c r="T75" s="857">
        <f t="shared" si="43"/>
        <v>39189.411985878207</v>
      </c>
      <c r="U75" s="857">
        <v>41</v>
      </c>
      <c r="V75" s="856">
        <f t="shared" si="44"/>
        <v>0.42268041237113402</v>
      </c>
      <c r="W75" s="860">
        <f t="shared" si="34"/>
        <v>30891.438658428953</v>
      </c>
      <c r="X75" s="861">
        <f t="shared" si="39"/>
        <v>7360.34</v>
      </c>
      <c r="Y75" s="861">
        <f t="shared" si="35"/>
        <v>23531.098658428957</v>
      </c>
      <c r="Z75" s="827"/>
      <c r="AA75" s="828"/>
    </row>
    <row r="76" spans="1:29" s="821" customFormat="1" ht="18.75" customHeight="1" x14ac:dyDescent="0.25">
      <c r="A76" s="892">
        <v>4</v>
      </c>
      <c r="B76" s="913" t="str">
        <f>'From the Grilled'!B87</f>
        <v>Pan Fried Salmon Fillet</v>
      </c>
      <c r="C76" s="913"/>
      <c r="D76" s="914">
        <v>106</v>
      </c>
      <c r="E76" s="895" t="s">
        <v>884</v>
      </c>
      <c r="F76" s="895" t="s">
        <v>37</v>
      </c>
      <c r="G76" s="896" t="s">
        <v>804</v>
      </c>
      <c r="H76" s="895" t="s">
        <v>38</v>
      </c>
      <c r="I76" s="897">
        <v>45000</v>
      </c>
      <c r="J76" s="898">
        <v>60000</v>
      </c>
      <c r="K76" s="899">
        <f t="shared" si="36"/>
        <v>1747.5728155339805</v>
      </c>
      <c r="L76" s="899">
        <f t="shared" si="37"/>
        <v>5295.67519858782</v>
      </c>
      <c r="M76" s="898">
        <f t="shared" si="38"/>
        <v>39717.563989408649</v>
      </c>
      <c r="N76" s="898">
        <f t="shared" si="38"/>
        <v>52956.751985878203</v>
      </c>
      <c r="O76" s="900">
        <v>11248</v>
      </c>
      <c r="P76" s="900">
        <f>'From the Grilled'!H105</f>
        <v>18656.81457831325</v>
      </c>
      <c r="Q76" s="901">
        <f t="shared" si="40"/>
        <v>0.28319964444444445</v>
      </c>
      <c r="R76" s="901">
        <f t="shared" si="41"/>
        <v>0.35230284862048183</v>
      </c>
      <c r="S76" s="857">
        <f t="shared" si="42"/>
        <v>28469.563989408649</v>
      </c>
      <c r="T76" s="857">
        <f t="shared" si="43"/>
        <v>34299.937407564954</v>
      </c>
      <c r="U76" s="857">
        <v>20</v>
      </c>
      <c r="V76" s="856">
        <f t="shared" si="44"/>
        <v>0.20618556701030927</v>
      </c>
      <c r="W76" s="860">
        <f t="shared" si="34"/>
        <v>13239.187996469554</v>
      </c>
      <c r="X76" s="861">
        <f t="shared" si="39"/>
        <v>7408.8145783132495</v>
      </c>
      <c r="Y76" s="861">
        <f t="shared" si="35"/>
        <v>5830.373418156305</v>
      </c>
      <c r="Z76" s="827"/>
      <c r="AA76" s="828"/>
      <c r="AC76" s="821" t="s">
        <v>933</v>
      </c>
    </row>
    <row r="77" spans="1:29" s="821" customFormat="1" ht="18.75" customHeight="1" x14ac:dyDescent="0.25">
      <c r="A77" s="892">
        <v>5</v>
      </c>
      <c r="B77" s="913" t="str">
        <f>'From the Grilled'!B114</f>
        <v xml:space="preserve">Grilled Rack of Lamb </v>
      </c>
      <c r="C77" s="913"/>
      <c r="D77" s="914">
        <v>106</v>
      </c>
      <c r="E77" s="895" t="s">
        <v>884</v>
      </c>
      <c r="F77" s="895" t="s">
        <v>37</v>
      </c>
      <c r="G77" s="896" t="s">
        <v>804</v>
      </c>
      <c r="H77" s="895" t="s">
        <v>38</v>
      </c>
      <c r="I77" s="897">
        <v>55000</v>
      </c>
      <c r="J77" s="898">
        <v>80000</v>
      </c>
      <c r="K77" s="899">
        <f t="shared" si="36"/>
        <v>2330.0970873786405</v>
      </c>
      <c r="L77" s="899">
        <f t="shared" si="37"/>
        <v>7060.9002647837597</v>
      </c>
      <c r="M77" s="898">
        <f t="shared" si="38"/>
        <v>48543.689320388352</v>
      </c>
      <c r="N77" s="898">
        <f t="shared" si="38"/>
        <v>70609.002647837595</v>
      </c>
      <c r="O77" s="900">
        <v>13961</v>
      </c>
      <c r="P77" s="900">
        <f>'From the Grilled'!H130</f>
        <v>26492.76</v>
      </c>
      <c r="Q77" s="901">
        <f t="shared" si="40"/>
        <v>0.28759659999999998</v>
      </c>
      <c r="R77" s="901">
        <f t="shared" si="41"/>
        <v>0.37520371349999998</v>
      </c>
      <c r="S77" s="857">
        <f t="shared" si="42"/>
        <v>34582.689320388352</v>
      </c>
      <c r="T77" s="857">
        <f t="shared" si="43"/>
        <v>44116.2426478376</v>
      </c>
      <c r="U77" s="857">
        <v>14</v>
      </c>
      <c r="V77" s="856">
        <f t="shared" si="44"/>
        <v>0.14432989690721648</v>
      </c>
      <c r="W77" s="860">
        <f t="shared" si="34"/>
        <v>22065.313327449243</v>
      </c>
      <c r="X77" s="861">
        <f t="shared" si="39"/>
        <v>12531.759999999998</v>
      </c>
      <c r="Y77" s="861">
        <f t="shared" si="35"/>
        <v>9533.5533274492482</v>
      </c>
      <c r="Z77" s="827"/>
      <c r="AA77" s="828"/>
    </row>
    <row r="78" spans="1:29" s="821" customFormat="1" ht="18.75" customHeight="1" x14ac:dyDescent="0.25">
      <c r="A78" s="892">
        <v>6</v>
      </c>
      <c r="B78" s="913" t="str">
        <f>'From the Grilled'!B138</f>
        <v xml:space="preserve">Australian Beef Tenderloin </v>
      </c>
      <c r="C78" s="913"/>
      <c r="D78" s="914">
        <v>106</v>
      </c>
      <c r="E78" s="895" t="s">
        <v>884</v>
      </c>
      <c r="F78" s="895" t="s">
        <v>37</v>
      </c>
      <c r="G78" s="896" t="s">
        <v>804</v>
      </c>
      <c r="H78" s="895" t="s">
        <v>38</v>
      </c>
      <c r="I78" s="897">
        <v>55000</v>
      </c>
      <c r="J78" s="898">
        <v>80000</v>
      </c>
      <c r="K78" s="899">
        <f t="shared" si="36"/>
        <v>2330.0970873786405</v>
      </c>
      <c r="L78" s="899">
        <f t="shared" si="37"/>
        <v>7060.9002647837597</v>
      </c>
      <c r="M78" s="898">
        <f t="shared" si="38"/>
        <v>48543.689320388352</v>
      </c>
      <c r="N78" s="898">
        <f t="shared" si="38"/>
        <v>70609.002647837595</v>
      </c>
      <c r="O78" s="900">
        <v>13859</v>
      </c>
      <c r="P78" s="900">
        <f>'From the Grilled'!H158</f>
        <v>24659.999999999996</v>
      </c>
      <c r="Q78" s="901">
        <f t="shared" si="40"/>
        <v>0.28549540000000001</v>
      </c>
      <c r="R78" s="901">
        <f t="shared" si="41"/>
        <v>0.34924724999999995</v>
      </c>
      <c r="S78" s="857">
        <f t="shared" si="42"/>
        <v>34684.689320388352</v>
      </c>
      <c r="T78" s="857">
        <f t="shared" si="43"/>
        <v>45949.002647837595</v>
      </c>
      <c r="U78" s="857">
        <v>0</v>
      </c>
      <c r="V78" s="856">
        <f t="shared" si="44"/>
        <v>0</v>
      </c>
      <c r="W78" s="860">
        <f t="shared" si="34"/>
        <v>22065.313327449243</v>
      </c>
      <c r="X78" s="861">
        <f t="shared" si="39"/>
        <v>10800.999999999996</v>
      </c>
      <c r="Y78" s="861">
        <f t="shared" si="35"/>
        <v>11264.313327449243</v>
      </c>
      <c r="Z78" s="827"/>
      <c r="AA78" s="828"/>
    </row>
    <row r="79" spans="1:29" s="821" customFormat="1" ht="18.75" customHeight="1" x14ac:dyDescent="0.25">
      <c r="A79" s="892"/>
      <c r="B79" s="913"/>
      <c r="C79" s="913"/>
      <c r="D79" s="913"/>
      <c r="E79" s="895"/>
      <c r="F79" s="895"/>
      <c r="G79" s="906"/>
      <c r="H79" s="895"/>
      <c r="I79" s="897"/>
      <c r="J79" s="898"/>
      <c r="K79" s="899"/>
      <c r="L79" s="899"/>
      <c r="M79" s="898"/>
      <c r="N79" s="898"/>
      <c r="O79" s="900"/>
      <c r="P79" s="900"/>
      <c r="Q79" s="901"/>
      <c r="R79" s="901"/>
      <c r="S79" s="857"/>
      <c r="T79" s="857"/>
      <c r="U79" s="857"/>
      <c r="V79" s="856"/>
      <c r="W79" s="860"/>
      <c r="X79" s="861"/>
      <c r="Y79" s="861"/>
      <c r="Z79" s="827"/>
      <c r="AA79" s="828"/>
    </row>
    <row r="80" spans="1:29" s="821" customFormat="1" ht="18.75" customHeight="1" x14ac:dyDescent="0.25">
      <c r="A80" s="892"/>
      <c r="B80" s="908" t="s">
        <v>912</v>
      </c>
      <c r="C80" s="908"/>
      <c r="D80" s="908"/>
      <c r="E80" s="895"/>
      <c r="F80" s="895"/>
      <c r="G80" s="906"/>
      <c r="H80" s="895"/>
      <c r="I80" s="897"/>
      <c r="J80" s="898"/>
      <c r="K80" s="899"/>
      <c r="L80" s="899"/>
      <c r="M80" s="898"/>
      <c r="N80" s="898"/>
      <c r="O80" s="900"/>
      <c r="P80" s="900"/>
      <c r="Q80" s="901"/>
      <c r="R80" s="901"/>
      <c r="S80" s="857"/>
      <c r="T80" s="857"/>
      <c r="U80" s="857"/>
      <c r="V80" s="856"/>
      <c r="W80" s="860"/>
      <c r="X80" s="861"/>
      <c r="Y80" s="861"/>
      <c r="Z80" s="827"/>
      <c r="AA80" s="828"/>
    </row>
    <row r="81" spans="1:27" s="821" customFormat="1" ht="18.75" customHeight="1" x14ac:dyDescent="0.25">
      <c r="A81" s="892">
        <v>1</v>
      </c>
      <c r="B81" s="911" t="str">
        <f>'Pizza &amp; Pasta'!B5</f>
        <v>Vegetarian Pizza</v>
      </c>
      <c r="C81" s="911"/>
      <c r="D81" s="894">
        <v>133</v>
      </c>
      <c r="E81" s="895" t="s">
        <v>884</v>
      </c>
      <c r="F81" s="895" t="s">
        <v>37</v>
      </c>
      <c r="G81" s="896" t="s">
        <v>912</v>
      </c>
      <c r="H81" s="895" t="s">
        <v>38</v>
      </c>
      <c r="I81" s="897">
        <v>20000</v>
      </c>
      <c r="J81" s="898">
        <v>25000</v>
      </c>
      <c r="K81" s="899">
        <f>+J81/113.3*3.3</f>
        <v>728.15533980582518</v>
      </c>
      <c r="L81" s="899">
        <f>+J81/113.3*10</f>
        <v>2206.5313327449248</v>
      </c>
      <c r="M81" s="898">
        <f t="shared" ref="M81:N85" si="45">+I81/113.3*100</f>
        <v>17652.250661959399</v>
      </c>
      <c r="N81" s="898">
        <f t="shared" si="45"/>
        <v>22065.31332744925</v>
      </c>
      <c r="O81" s="900">
        <v>6356</v>
      </c>
      <c r="P81" s="900">
        <f>'Pizza &amp; Pasta'!H23</f>
        <v>7304.17</v>
      </c>
      <c r="Q81" s="901">
        <f t="shared" si="40"/>
        <v>0.36006740000000004</v>
      </c>
      <c r="R81" s="901">
        <f t="shared" si="41"/>
        <v>0.3310249844</v>
      </c>
      <c r="S81" s="857">
        <f t="shared" si="42"/>
        <v>11296.250661959399</v>
      </c>
      <c r="T81" s="857">
        <f t="shared" si="43"/>
        <v>14761.14332744925</v>
      </c>
      <c r="U81" s="857">
        <v>2</v>
      </c>
      <c r="V81" s="856">
        <f>U81/SUM($U$81:$U$85)</f>
        <v>1.680672268907563E-2</v>
      </c>
      <c r="W81" s="860">
        <f t="shared" si="34"/>
        <v>4413.0626654898515</v>
      </c>
      <c r="X81" s="861">
        <f t="shared" si="39"/>
        <v>948.17000000000007</v>
      </c>
      <c r="Y81" s="861">
        <f t="shared" si="35"/>
        <v>3464.8926654898514</v>
      </c>
      <c r="Z81" s="827"/>
      <c r="AA81" s="828"/>
    </row>
    <row r="82" spans="1:27" s="821" customFormat="1" ht="18.75" customHeight="1" x14ac:dyDescent="0.25">
      <c r="A82" s="892">
        <v>2</v>
      </c>
      <c r="B82" s="911" t="str">
        <f>'Pizza &amp; Pasta'!B32</f>
        <v>Pizza Margherita</v>
      </c>
      <c r="C82" s="911"/>
      <c r="D82" s="894">
        <v>133</v>
      </c>
      <c r="E82" s="895" t="s">
        <v>884</v>
      </c>
      <c r="F82" s="895" t="s">
        <v>37</v>
      </c>
      <c r="G82" s="896" t="s">
        <v>912</v>
      </c>
      <c r="H82" s="895" t="s">
        <v>38</v>
      </c>
      <c r="I82" s="897">
        <v>20000</v>
      </c>
      <c r="J82" s="898">
        <v>25000</v>
      </c>
      <c r="K82" s="899">
        <f>+J82/113.3*3.3</f>
        <v>728.15533980582518</v>
      </c>
      <c r="L82" s="899">
        <f>+J82/113.3*10</f>
        <v>2206.5313327449248</v>
      </c>
      <c r="M82" s="898">
        <f t="shared" si="45"/>
        <v>17652.250661959399</v>
      </c>
      <c r="N82" s="898">
        <f t="shared" si="45"/>
        <v>22065.31332744925</v>
      </c>
      <c r="O82" s="900">
        <v>5927</v>
      </c>
      <c r="P82" s="900">
        <f>'Pizza &amp; Pasta'!H47</f>
        <v>8105.21</v>
      </c>
      <c r="Q82" s="901">
        <f t="shared" si="40"/>
        <v>0.33576454999999999</v>
      </c>
      <c r="R82" s="901">
        <f t="shared" si="41"/>
        <v>0.36732811719999997</v>
      </c>
      <c r="S82" s="857">
        <f t="shared" si="42"/>
        <v>11725.250661959399</v>
      </c>
      <c r="T82" s="857">
        <f t="shared" si="43"/>
        <v>13960.103327449251</v>
      </c>
      <c r="U82" s="857">
        <v>28</v>
      </c>
      <c r="V82" s="856">
        <f t="shared" ref="V82:V85" si="46">U82/SUM($U$81:$U$85)</f>
        <v>0.23529411764705882</v>
      </c>
      <c r="W82" s="860">
        <f t="shared" si="34"/>
        <v>4413.0626654898515</v>
      </c>
      <c r="X82" s="861">
        <f t="shared" si="39"/>
        <v>2178.21</v>
      </c>
      <c r="Y82" s="861">
        <f t="shared" si="35"/>
        <v>2234.8526654898524</v>
      </c>
      <c r="Z82" s="827"/>
      <c r="AA82" s="828"/>
    </row>
    <row r="83" spans="1:27" s="821" customFormat="1" ht="18.75" customHeight="1" x14ac:dyDescent="0.25">
      <c r="A83" s="892">
        <v>3</v>
      </c>
      <c r="B83" s="915" t="str">
        <f>'Pizza &amp; Pasta'!B56</f>
        <v>Spicy Chicken Pizza</v>
      </c>
      <c r="C83" s="915"/>
      <c r="D83" s="894">
        <v>133</v>
      </c>
      <c r="E83" s="895" t="s">
        <v>884</v>
      </c>
      <c r="F83" s="895" t="s">
        <v>37</v>
      </c>
      <c r="G83" s="896" t="s">
        <v>912</v>
      </c>
      <c r="H83" s="895" t="s">
        <v>38</v>
      </c>
      <c r="I83" s="897">
        <v>20000</v>
      </c>
      <c r="J83" s="898">
        <v>30000</v>
      </c>
      <c r="K83" s="899">
        <f>+J83/113.3*3.3</f>
        <v>873.78640776699024</v>
      </c>
      <c r="L83" s="899">
        <f>+J83/113.3*10</f>
        <v>2647.83759929391</v>
      </c>
      <c r="M83" s="898">
        <f t="shared" si="45"/>
        <v>17652.250661959399</v>
      </c>
      <c r="N83" s="898">
        <f t="shared" si="45"/>
        <v>26478.375992939102</v>
      </c>
      <c r="O83" s="900">
        <v>5977</v>
      </c>
      <c r="P83" s="900">
        <f>'Pizza &amp; Pasta'!H73</f>
        <v>8773.6146913580251</v>
      </c>
      <c r="Q83" s="901">
        <f t="shared" si="40"/>
        <v>0.33859705000000001</v>
      </c>
      <c r="R83" s="901">
        <f t="shared" si="41"/>
        <v>0.33135018151028806</v>
      </c>
      <c r="S83" s="857">
        <f t="shared" si="42"/>
        <v>11675.250661959399</v>
      </c>
      <c r="T83" s="857">
        <f t="shared" si="43"/>
        <v>17704.761301581078</v>
      </c>
      <c r="U83" s="857">
        <v>34</v>
      </c>
      <c r="V83" s="856">
        <f t="shared" si="46"/>
        <v>0.2857142857142857</v>
      </c>
      <c r="W83" s="860">
        <f t="shared" si="34"/>
        <v>8826.125330979703</v>
      </c>
      <c r="X83" s="861">
        <f t="shared" si="39"/>
        <v>2796.6146913580251</v>
      </c>
      <c r="Y83" s="861">
        <f t="shared" si="35"/>
        <v>6029.5106396216797</v>
      </c>
      <c r="Z83" s="827"/>
      <c r="AA83" s="828"/>
    </row>
    <row r="84" spans="1:27" s="821" customFormat="1" ht="18.75" customHeight="1" x14ac:dyDescent="0.25">
      <c r="A84" s="892">
        <v>4</v>
      </c>
      <c r="B84" s="911" t="str">
        <f>'Pizza &amp; Pasta'!B82</f>
        <v>Spaghetti Aglio e Olio &amp; Chicken</v>
      </c>
      <c r="C84" s="911"/>
      <c r="D84" s="894">
        <v>133</v>
      </c>
      <c r="E84" s="895" t="s">
        <v>884</v>
      </c>
      <c r="F84" s="895" t="s">
        <v>37</v>
      </c>
      <c r="G84" s="896" t="s">
        <v>912</v>
      </c>
      <c r="H84" s="895" t="s">
        <v>38</v>
      </c>
      <c r="I84" s="897">
        <v>20000</v>
      </c>
      <c r="J84" s="898">
        <v>25000</v>
      </c>
      <c r="K84" s="899">
        <f>+J84/113.3*3.3</f>
        <v>728.15533980582518</v>
      </c>
      <c r="L84" s="899">
        <f>+J84/113.3*10</f>
        <v>2206.5313327449248</v>
      </c>
      <c r="M84" s="898">
        <f t="shared" si="45"/>
        <v>17652.250661959399</v>
      </c>
      <c r="N84" s="898">
        <f t="shared" si="45"/>
        <v>22065.31332744925</v>
      </c>
      <c r="O84" s="900">
        <v>5858</v>
      </c>
      <c r="P84" s="900">
        <f>'Pizza &amp; Pasta'!H97</f>
        <v>8037.9400000000005</v>
      </c>
      <c r="Q84" s="901">
        <f t="shared" si="40"/>
        <v>0.33185570000000003</v>
      </c>
      <c r="R84" s="901">
        <f t="shared" si="41"/>
        <v>0.36427944080000002</v>
      </c>
      <c r="S84" s="857">
        <f t="shared" si="42"/>
        <v>11794.250661959399</v>
      </c>
      <c r="T84" s="857">
        <f t="shared" si="43"/>
        <v>14027.37332744925</v>
      </c>
      <c r="U84" s="857">
        <v>34</v>
      </c>
      <c r="V84" s="856">
        <f t="shared" si="46"/>
        <v>0.2857142857142857</v>
      </c>
      <c r="W84" s="860">
        <f t="shared" si="34"/>
        <v>4413.0626654898515</v>
      </c>
      <c r="X84" s="861">
        <f t="shared" si="39"/>
        <v>2179.9400000000005</v>
      </c>
      <c r="Y84" s="861">
        <f t="shared" si="35"/>
        <v>2233.122665489851</v>
      </c>
      <c r="Z84" s="827"/>
      <c r="AA84" s="828"/>
    </row>
    <row r="85" spans="1:27" s="821" customFormat="1" ht="18.75" customHeight="1" x14ac:dyDescent="0.25">
      <c r="A85" s="892">
        <v>5</v>
      </c>
      <c r="B85" s="911" t="str">
        <f>'Pizza &amp; Pasta'!B106</f>
        <v>Spaghetti alla Carbonara</v>
      </c>
      <c r="C85" s="911"/>
      <c r="D85" s="894">
        <v>133</v>
      </c>
      <c r="E85" s="895" t="s">
        <v>884</v>
      </c>
      <c r="F85" s="895" t="s">
        <v>37</v>
      </c>
      <c r="G85" s="896" t="s">
        <v>912</v>
      </c>
      <c r="H85" s="895" t="s">
        <v>38</v>
      </c>
      <c r="I85" s="897">
        <v>20000</v>
      </c>
      <c r="J85" s="898">
        <v>25000</v>
      </c>
      <c r="K85" s="899">
        <f>+J85/113.3*3.3</f>
        <v>728.15533980582518</v>
      </c>
      <c r="L85" s="899">
        <f>+J85/113.3*10</f>
        <v>2206.5313327449248</v>
      </c>
      <c r="M85" s="898">
        <f t="shared" si="45"/>
        <v>17652.250661959399</v>
      </c>
      <c r="N85" s="898">
        <f t="shared" si="45"/>
        <v>22065.31332744925</v>
      </c>
      <c r="O85" s="900">
        <v>6119</v>
      </c>
      <c r="P85" s="900">
        <f>'Pizza &amp; Pasta'!H123</f>
        <v>7025.6</v>
      </c>
      <c r="Q85" s="901">
        <f t="shared" si="40"/>
        <v>0.34664135000000001</v>
      </c>
      <c r="R85" s="901">
        <f t="shared" si="41"/>
        <v>0.31840019200000003</v>
      </c>
      <c r="S85" s="857">
        <f t="shared" si="42"/>
        <v>11533.250661959399</v>
      </c>
      <c r="T85" s="857">
        <f t="shared" si="43"/>
        <v>15039.71332744925</v>
      </c>
      <c r="U85" s="857">
        <v>21</v>
      </c>
      <c r="V85" s="856">
        <f t="shared" si="46"/>
        <v>0.17647058823529413</v>
      </c>
      <c r="W85" s="860">
        <f t="shared" si="34"/>
        <v>4413.0626654898515</v>
      </c>
      <c r="X85" s="861">
        <f t="shared" si="39"/>
        <v>906.60000000000036</v>
      </c>
      <c r="Y85" s="861">
        <f t="shared" si="35"/>
        <v>3506.4626654898511</v>
      </c>
      <c r="Z85" s="827"/>
      <c r="AA85" s="828"/>
    </row>
    <row r="86" spans="1:27" s="821" customFormat="1" ht="18.75" customHeight="1" x14ac:dyDescent="0.25">
      <c r="A86" s="892"/>
      <c r="B86" s="913"/>
      <c r="C86" s="913"/>
      <c r="D86" s="913"/>
      <c r="E86" s="895"/>
      <c r="F86" s="895"/>
      <c r="G86" s="896"/>
      <c r="H86" s="895"/>
      <c r="I86" s="897"/>
      <c r="J86" s="898"/>
      <c r="K86" s="899"/>
      <c r="L86" s="899"/>
      <c r="M86" s="898"/>
      <c r="N86" s="898"/>
      <c r="O86" s="900"/>
      <c r="P86" s="900"/>
      <c r="Q86" s="901"/>
      <c r="R86" s="901"/>
      <c r="S86" s="857"/>
      <c r="T86" s="857"/>
      <c r="U86" s="857"/>
      <c r="V86" s="856"/>
      <c r="W86" s="860"/>
      <c r="X86" s="861"/>
      <c r="Y86" s="861"/>
      <c r="Z86" s="827"/>
      <c r="AA86" s="828"/>
    </row>
    <row r="87" spans="1:27" s="821" customFormat="1" ht="18.75" customHeight="1" x14ac:dyDescent="0.25">
      <c r="A87" s="892"/>
      <c r="B87" s="908" t="s">
        <v>913</v>
      </c>
      <c r="C87" s="908"/>
      <c r="D87" s="908"/>
      <c r="E87" s="895"/>
      <c r="F87" s="895"/>
      <c r="G87" s="896"/>
      <c r="H87" s="895"/>
      <c r="I87" s="897"/>
      <c r="J87" s="898"/>
      <c r="K87" s="899"/>
      <c r="L87" s="899"/>
      <c r="M87" s="898"/>
      <c r="N87" s="898"/>
      <c r="O87" s="900"/>
      <c r="P87" s="900"/>
      <c r="Q87" s="901"/>
      <c r="R87" s="901"/>
      <c r="S87" s="857"/>
      <c r="T87" s="857"/>
      <c r="U87" s="857"/>
      <c r="V87" s="856"/>
      <c r="W87" s="860"/>
      <c r="X87" s="861"/>
      <c r="Y87" s="861"/>
      <c r="Z87" s="827"/>
      <c r="AA87" s="828"/>
    </row>
    <row r="88" spans="1:27" s="821" customFormat="1" ht="18.75" customHeight="1" x14ac:dyDescent="0.25">
      <c r="A88" s="892">
        <v>1</v>
      </c>
      <c r="B88" s="911" t="str">
        <f>'Sandwich and Snack'!B5</f>
        <v xml:space="preserve">Aureum Beef Burger </v>
      </c>
      <c r="C88" s="911"/>
      <c r="D88" s="912">
        <v>143</v>
      </c>
      <c r="E88" s="895" t="s">
        <v>884</v>
      </c>
      <c r="F88" s="895" t="s">
        <v>37</v>
      </c>
      <c r="G88" s="896" t="s">
        <v>913</v>
      </c>
      <c r="H88" s="895" t="s">
        <v>38</v>
      </c>
      <c r="I88" s="897">
        <v>18000</v>
      </c>
      <c r="J88" s="898">
        <v>25000</v>
      </c>
      <c r="K88" s="899">
        <f>+J88/113.3*3.3</f>
        <v>728.15533980582518</v>
      </c>
      <c r="L88" s="899">
        <f>+J88/113.3*10</f>
        <v>2206.5313327449248</v>
      </c>
      <c r="M88" s="898">
        <f t="shared" ref="M88:N91" si="47">+I88/113.3*100</f>
        <v>15887.025595763462</v>
      </c>
      <c r="N88" s="898">
        <f t="shared" si="47"/>
        <v>22065.31332744925</v>
      </c>
      <c r="O88" s="900">
        <v>5664</v>
      </c>
      <c r="P88" s="900">
        <f>'Sandwich and Snack'!H36</f>
        <v>7388.15</v>
      </c>
      <c r="Q88" s="901">
        <f t="shared" si="40"/>
        <v>0.3565173333333333</v>
      </c>
      <c r="R88" s="901">
        <f t="shared" si="41"/>
        <v>0.33483095799999996</v>
      </c>
      <c r="S88" s="857">
        <f t="shared" si="42"/>
        <v>10223.025595763462</v>
      </c>
      <c r="T88" s="857">
        <f t="shared" si="43"/>
        <v>14677.163327449251</v>
      </c>
      <c r="U88" s="857">
        <v>19</v>
      </c>
      <c r="V88" s="856">
        <f>U88/SUM($U$88:$U$91)</f>
        <v>0.19387755102040816</v>
      </c>
      <c r="W88" s="860">
        <f t="shared" si="34"/>
        <v>6178.2877316857885</v>
      </c>
      <c r="X88" s="861">
        <f t="shared" si="39"/>
        <v>1724.1499999999996</v>
      </c>
      <c r="Y88" s="861">
        <f t="shared" si="35"/>
        <v>4454.1377316857888</v>
      </c>
      <c r="Z88" s="827"/>
      <c r="AA88" s="828"/>
    </row>
    <row r="89" spans="1:27" s="821" customFormat="1" ht="18.75" customHeight="1" x14ac:dyDescent="0.25">
      <c r="A89" s="892">
        <v>2</v>
      </c>
      <c r="B89" s="911" t="str">
        <f>'Sandwich and Snack'!B45</f>
        <v>Crispy Chicken Burger</v>
      </c>
      <c r="C89" s="911"/>
      <c r="D89" s="912">
        <v>143</v>
      </c>
      <c r="E89" s="895" t="s">
        <v>884</v>
      </c>
      <c r="F89" s="895" t="s">
        <v>37</v>
      </c>
      <c r="G89" s="896" t="s">
        <v>913</v>
      </c>
      <c r="H89" s="895" t="s">
        <v>38</v>
      </c>
      <c r="I89" s="897">
        <v>18000</v>
      </c>
      <c r="J89" s="898">
        <v>25000</v>
      </c>
      <c r="K89" s="899">
        <f>+J89/113.3*3.3</f>
        <v>728.15533980582518</v>
      </c>
      <c r="L89" s="899">
        <f>+J89/113.3*10</f>
        <v>2206.5313327449248</v>
      </c>
      <c r="M89" s="898">
        <f t="shared" si="47"/>
        <v>15887.025595763462</v>
      </c>
      <c r="N89" s="898">
        <f t="shared" si="47"/>
        <v>22065.31332744925</v>
      </c>
      <c r="O89" s="900">
        <v>5264</v>
      </c>
      <c r="P89" s="900">
        <f>'Sandwich and Snack'!H81</f>
        <v>8757.8030864197535</v>
      </c>
      <c r="Q89" s="901">
        <f t="shared" si="40"/>
        <v>0.3313395555555555</v>
      </c>
      <c r="R89" s="901">
        <f t="shared" si="41"/>
        <v>0.3969036358765432</v>
      </c>
      <c r="S89" s="857">
        <f t="shared" si="42"/>
        <v>10623.025595763462</v>
      </c>
      <c r="T89" s="857">
        <f t="shared" si="43"/>
        <v>13307.510241029497</v>
      </c>
      <c r="U89" s="857">
        <v>10</v>
      </c>
      <c r="V89" s="856">
        <f t="shared" ref="V89:V91" si="48">U89/SUM($U$88:$U$91)</f>
        <v>0.10204081632653061</v>
      </c>
      <c r="W89" s="860">
        <f t="shared" si="34"/>
        <v>6178.2877316857885</v>
      </c>
      <c r="X89" s="861">
        <f t="shared" si="39"/>
        <v>3493.8030864197535</v>
      </c>
      <c r="Y89" s="861">
        <f t="shared" si="35"/>
        <v>2684.4846452660349</v>
      </c>
      <c r="Z89" s="827"/>
      <c r="AA89" s="828"/>
    </row>
    <row r="90" spans="1:27" s="821" customFormat="1" ht="18.75" customHeight="1" x14ac:dyDescent="0.25">
      <c r="A90" s="892">
        <v>3</v>
      </c>
      <c r="B90" s="911" t="str">
        <f>'Sandwich and Snack'!B91</f>
        <v>Club Sandwich</v>
      </c>
      <c r="C90" s="911"/>
      <c r="D90" s="912">
        <v>143</v>
      </c>
      <c r="E90" s="895" t="s">
        <v>884</v>
      </c>
      <c r="F90" s="895" t="s">
        <v>37</v>
      </c>
      <c r="G90" s="896" t="s">
        <v>913</v>
      </c>
      <c r="H90" s="895" t="s">
        <v>38</v>
      </c>
      <c r="I90" s="897">
        <v>18000</v>
      </c>
      <c r="J90" s="898">
        <v>25000</v>
      </c>
      <c r="K90" s="899">
        <f>+J90/113.3*3.3</f>
        <v>728.15533980582518</v>
      </c>
      <c r="L90" s="899">
        <f>+J90/113.3*10</f>
        <v>2206.5313327449248</v>
      </c>
      <c r="M90" s="898">
        <f t="shared" si="47"/>
        <v>15887.025595763462</v>
      </c>
      <c r="N90" s="898">
        <f t="shared" si="47"/>
        <v>22065.31332744925</v>
      </c>
      <c r="O90" s="900">
        <v>3895</v>
      </c>
      <c r="P90" s="900">
        <f>'Sandwich and Snack'!H129</f>
        <v>8316.7000000000007</v>
      </c>
      <c r="Q90" s="901">
        <f t="shared" si="40"/>
        <v>0.24516861111111107</v>
      </c>
      <c r="R90" s="901">
        <f t="shared" si="41"/>
        <v>0.37691284400000002</v>
      </c>
      <c r="S90" s="857">
        <f t="shared" si="42"/>
        <v>11992.025595763462</v>
      </c>
      <c r="T90" s="857">
        <f t="shared" si="43"/>
        <v>13748.613327449249</v>
      </c>
      <c r="U90" s="857">
        <v>49</v>
      </c>
      <c r="V90" s="856">
        <f t="shared" si="48"/>
        <v>0.5</v>
      </c>
      <c r="W90" s="860">
        <f t="shared" si="34"/>
        <v>6178.2877316857885</v>
      </c>
      <c r="X90" s="861">
        <f t="shared" si="39"/>
        <v>4421.7000000000007</v>
      </c>
      <c r="Y90" s="861">
        <f t="shared" si="35"/>
        <v>1756.5877316857877</v>
      </c>
      <c r="Z90" s="827"/>
      <c r="AA90" s="828"/>
    </row>
    <row r="91" spans="1:27" s="821" customFormat="1" ht="18.75" customHeight="1" x14ac:dyDescent="0.25">
      <c r="A91" s="892">
        <v>4</v>
      </c>
      <c r="B91" s="911" t="str">
        <f>'Sandwich and Snack'!B138</f>
        <v>Classic Fish &amp; Chips</v>
      </c>
      <c r="C91" s="911"/>
      <c r="D91" s="912">
        <v>143</v>
      </c>
      <c r="E91" s="895" t="s">
        <v>884</v>
      </c>
      <c r="F91" s="895" t="s">
        <v>37</v>
      </c>
      <c r="G91" s="896" t="s">
        <v>913</v>
      </c>
      <c r="H91" s="895" t="s">
        <v>38</v>
      </c>
      <c r="I91" s="897">
        <v>18000</v>
      </c>
      <c r="J91" s="898">
        <v>25000</v>
      </c>
      <c r="K91" s="899">
        <f>+J91/113.3*3.3</f>
        <v>728.15533980582518</v>
      </c>
      <c r="L91" s="899">
        <f>+J91/113.3*10</f>
        <v>2206.5313327449248</v>
      </c>
      <c r="M91" s="898">
        <f t="shared" si="47"/>
        <v>15887.025595763462</v>
      </c>
      <c r="N91" s="898">
        <f t="shared" si="47"/>
        <v>22065.31332744925</v>
      </c>
      <c r="O91" s="900">
        <v>5402</v>
      </c>
      <c r="P91" s="900">
        <f>'Sandwich and Snack'!H160</f>
        <v>7320.3825301204815</v>
      </c>
      <c r="Q91" s="901">
        <f t="shared" si="40"/>
        <v>0.34002588888888885</v>
      </c>
      <c r="R91" s="901">
        <f t="shared" si="41"/>
        <v>0.33175973626506022</v>
      </c>
      <c r="S91" s="857">
        <f t="shared" si="42"/>
        <v>10485.025595763462</v>
      </c>
      <c r="T91" s="857">
        <f t="shared" si="43"/>
        <v>14744.930797328769</v>
      </c>
      <c r="U91" s="857">
        <v>20</v>
      </c>
      <c r="V91" s="856">
        <f t="shared" si="48"/>
        <v>0.20408163265306123</v>
      </c>
      <c r="W91" s="860">
        <f t="shared" si="34"/>
        <v>6178.2877316857885</v>
      </c>
      <c r="X91" s="861">
        <f t="shared" si="39"/>
        <v>1918.3825301204815</v>
      </c>
      <c r="Y91" s="861">
        <f t="shared" si="35"/>
        <v>4259.9052015653069</v>
      </c>
      <c r="Z91" s="827"/>
      <c r="AA91" s="828"/>
    </row>
    <row r="92" spans="1:27" s="821" customFormat="1" ht="18.75" customHeight="1" x14ac:dyDescent="0.25">
      <c r="A92" s="892"/>
      <c r="B92" s="911"/>
      <c r="C92" s="911"/>
      <c r="D92" s="911"/>
      <c r="E92" s="895"/>
      <c r="F92" s="895"/>
      <c r="G92" s="906"/>
      <c r="H92" s="895"/>
      <c r="I92" s="897"/>
      <c r="J92" s="898"/>
      <c r="K92" s="899"/>
      <c r="L92" s="899"/>
      <c r="M92" s="898"/>
      <c r="N92" s="898"/>
      <c r="O92" s="900"/>
      <c r="P92" s="900"/>
      <c r="Q92" s="901"/>
      <c r="R92" s="901"/>
      <c r="S92" s="857"/>
      <c r="T92" s="857"/>
      <c r="U92" s="857"/>
      <c r="V92" s="856"/>
      <c r="W92" s="860"/>
      <c r="X92" s="861"/>
      <c r="Y92" s="861"/>
      <c r="Z92" s="827"/>
      <c r="AA92" s="828"/>
    </row>
    <row r="93" spans="1:27" s="821" customFormat="1" ht="18.75" customHeight="1" x14ac:dyDescent="0.25">
      <c r="A93" s="892"/>
      <c r="B93" s="908" t="s">
        <v>607</v>
      </c>
      <c r="C93" s="908"/>
      <c r="D93" s="908"/>
      <c r="E93" s="895"/>
      <c r="F93" s="895"/>
      <c r="G93" s="906"/>
      <c r="H93" s="895"/>
      <c r="I93" s="897"/>
      <c r="J93" s="898"/>
      <c r="K93" s="917"/>
      <c r="L93" s="917"/>
      <c r="M93" s="898"/>
      <c r="N93" s="898"/>
      <c r="O93" s="900"/>
      <c r="P93" s="900"/>
      <c r="Q93" s="901"/>
      <c r="R93" s="901"/>
      <c r="S93" s="857"/>
      <c r="T93" s="857"/>
      <c r="U93" s="857"/>
      <c r="V93" s="856"/>
      <c r="W93" s="860"/>
      <c r="X93" s="861"/>
      <c r="Y93" s="861"/>
      <c r="Z93" s="827"/>
      <c r="AA93" s="828"/>
    </row>
    <row r="94" spans="1:27" s="821" customFormat="1" ht="18.75" customHeight="1" x14ac:dyDescent="0.25">
      <c r="A94" s="892">
        <v>1</v>
      </c>
      <c r="B94" s="913" t="str">
        <f>Dessert!B5</f>
        <v>Seasonal Fresh Fruit Platter</v>
      </c>
      <c r="C94" s="913"/>
      <c r="D94" s="914">
        <v>120</v>
      </c>
      <c r="E94" s="895" t="s">
        <v>884</v>
      </c>
      <c r="F94" s="895" t="s">
        <v>37</v>
      </c>
      <c r="G94" s="896" t="s">
        <v>607</v>
      </c>
      <c r="H94" s="895" t="s">
        <v>38</v>
      </c>
      <c r="I94" s="897">
        <v>5000</v>
      </c>
      <c r="J94" s="898">
        <v>8000</v>
      </c>
      <c r="K94" s="899">
        <f t="shared" ref="K94:K99" si="49">+J94/113.3*3.3</f>
        <v>233.00970873786406</v>
      </c>
      <c r="L94" s="899">
        <f t="shared" ref="L94:L99" si="50">+J94/113.3*10</f>
        <v>706.09002647837599</v>
      </c>
      <c r="M94" s="898">
        <f t="shared" ref="M94:N99" si="51">+I94/113.3*100</f>
        <v>4413.0626654898497</v>
      </c>
      <c r="N94" s="898">
        <f t="shared" si="51"/>
        <v>7060.9002647837597</v>
      </c>
      <c r="O94" s="900">
        <v>1640</v>
      </c>
      <c r="P94" s="900">
        <f>Dessert!H16</f>
        <v>2962</v>
      </c>
      <c r="Q94" s="901">
        <f t="shared" si="40"/>
        <v>0.37162400000000001</v>
      </c>
      <c r="R94" s="901">
        <f t="shared" si="41"/>
        <v>0.41949325000000004</v>
      </c>
      <c r="S94" s="857">
        <f t="shared" si="42"/>
        <v>2773.0626654898497</v>
      </c>
      <c r="T94" s="857">
        <f t="shared" si="43"/>
        <v>4098.9002647837597</v>
      </c>
      <c r="U94" s="857">
        <v>145</v>
      </c>
      <c r="V94" s="856">
        <f>U94/SUM($U$94:$U$99)</f>
        <v>0.31590413943355122</v>
      </c>
      <c r="W94" s="860">
        <f t="shared" si="34"/>
        <v>2647.83759929391</v>
      </c>
      <c r="X94" s="861">
        <f t="shared" si="39"/>
        <v>1322</v>
      </c>
      <c r="Y94" s="861">
        <f t="shared" si="35"/>
        <v>1325.83759929391</v>
      </c>
      <c r="Z94" s="827"/>
      <c r="AA94" s="828"/>
    </row>
    <row r="95" spans="1:27" s="821" customFormat="1" ht="18.75" customHeight="1" x14ac:dyDescent="0.25">
      <c r="A95" s="892">
        <v>2</v>
      </c>
      <c r="B95" s="913" t="str">
        <f>Dessert!B23</f>
        <v>Bagan Pone Yee Gyi Cake</v>
      </c>
      <c r="C95" s="913"/>
      <c r="D95" s="914">
        <v>120</v>
      </c>
      <c r="E95" s="895" t="s">
        <v>884</v>
      </c>
      <c r="F95" s="895" t="s">
        <v>37</v>
      </c>
      <c r="G95" s="896" t="s">
        <v>607</v>
      </c>
      <c r="H95" s="895" t="s">
        <v>38</v>
      </c>
      <c r="I95" s="897">
        <v>5000</v>
      </c>
      <c r="J95" s="898">
        <v>7000</v>
      </c>
      <c r="K95" s="899">
        <f t="shared" si="49"/>
        <v>203.88349514563106</v>
      </c>
      <c r="L95" s="899">
        <f t="shared" si="50"/>
        <v>617.828773168579</v>
      </c>
      <c r="M95" s="898">
        <f t="shared" si="51"/>
        <v>4413.0626654898497</v>
      </c>
      <c r="N95" s="898">
        <f t="shared" si="51"/>
        <v>6178.2877316857903</v>
      </c>
      <c r="O95" s="900">
        <v>1005</v>
      </c>
      <c r="P95" s="900">
        <f>Dessert!H38</f>
        <v>975.1787037037036</v>
      </c>
      <c r="Q95" s="901">
        <f t="shared" si="40"/>
        <v>0.22773300000000002</v>
      </c>
      <c r="R95" s="901">
        <f t="shared" si="41"/>
        <v>0.15783963875661372</v>
      </c>
      <c r="S95" s="857">
        <f t="shared" si="42"/>
        <v>3408.0626654898497</v>
      </c>
      <c r="T95" s="857">
        <f t="shared" si="43"/>
        <v>5203.1090279820864</v>
      </c>
      <c r="U95" s="857">
        <v>49</v>
      </c>
      <c r="V95" s="856">
        <f t="shared" ref="V95:V99" si="52">U95/SUM($U$94:$U$99)</f>
        <v>0.10675381263616558</v>
      </c>
      <c r="W95" s="860">
        <f t="shared" si="34"/>
        <v>1765.2250661959406</v>
      </c>
      <c r="X95" s="861">
        <f t="shared" si="39"/>
        <v>-29.821296296296396</v>
      </c>
      <c r="Y95" s="861">
        <f t="shared" si="35"/>
        <v>1795.0463624922368</v>
      </c>
      <c r="Z95" s="827"/>
      <c r="AA95" s="828"/>
    </row>
    <row r="96" spans="1:27" s="821" customFormat="1" ht="18.75" customHeight="1" x14ac:dyDescent="0.25">
      <c r="A96" s="892">
        <v>3</v>
      </c>
      <c r="B96" s="913" t="s">
        <v>914</v>
      </c>
      <c r="C96" s="913"/>
      <c r="D96" s="914">
        <v>120</v>
      </c>
      <c r="E96" s="895" t="s">
        <v>884</v>
      </c>
      <c r="F96" s="895" t="s">
        <v>37</v>
      </c>
      <c r="G96" s="896" t="s">
        <v>607</v>
      </c>
      <c r="H96" s="895" t="s">
        <v>38</v>
      </c>
      <c r="I96" s="897">
        <v>5000</v>
      </c>
      <c r="J96" s="898">
        <v>7000</v>
      </c>
      <c r="K96" s="899">
        <f t="shared" si="49"/>
        <v>203.88349514563106</v>
      </c>
      <c r="L96" s="899">
        <f t="shared" si="50"/>
        <v>617.828773168579</v>
      </c>
      <c r="M96" s="898">
        <f t="shared" si="51"/>
        <v>4413.0626654898497</v>
      </c>
      <c r="N96" s="898">
        <f t="shared" si="51"/>
        <v>6178.2877316857903</v>
      </c>
      <c r="O96" s="900">
        <v>1516</v>
      </c>
      <c r="P96" s="900">
        <f>Dessert!H58</f>
        <v>1928</v>
      </c>
      <c r="Q96" s="901">
        <f t="shared" si="40"/>
        <v>0.34352560000000004</v>
      </c>
      <c r="R96" s="901">
        <f t="shared" si="41"/>
        <v>0.31206057142857141</v>
      </c>
      <c r="S96" s="857">
        <f t="shared" si="42"/>
        <v>2897.0626654898497</v>
      </c>
      <c r="T96" s="857">
        <f t="shared" si="43"/>
        <v>4250.2877316857903</v>
      </c>
      <c r="U96" s="857">
        <v>194</v>
      </c>
      <c r="V96" s="856">
        <f t="shared" si="52"/>
        <v>0.42265795206971679</v>
      </c>
      <c r="W96" s="860">
        <f t="shared" si="34"/>
        <v>1765.2250661959406</v>
      </c>
      <c r="X96" s="861">
        <f t="shared" si="39"/>
        <v>412</v>
      </c>
      <c r="Y96" s="861">
        <f t="shared" si="35"/>
        <v>1353.2250661959406</v>
      </c>
      <c r="Z96" s="827"/>
      <c r="AA96" s="828"/>
    </row>
    <row r="97" spans="1:27" s="821" customFormat="1" ht="18.75" customHeight="1" x14ac:dyDescent="0.25">
      <c r="A97" s="892">
        <v>4</v>
      </c>
      <c r="B97" s="913" t="str">
        <f>Dessert!B108</f>
        <v>Aureum Caramel</v>
      </c>
      <c r="C97" s="913"/>
      <c r="D97" s="914">
        <v>120</v>
      </c>
      <c r="E97" s="895" t="s">
        <v>884</v>
      </c>
      <c r="F97" s="895" t="s">
        <v>37</v>
      </c>
      <c r="G97" s="896" t="s">
        <v>607</v>
      </c>
      <c r="H97" s="895" t="s">
        <v>38</v>
      </c>
      <c r="I97" s="897">
        <v>5000</v>
      </c>
      <c r="J97" s="898">
        <v>7000</v>
      </c>
      <c r="K97" s="899">
        <f t="shared" si="49"/>
        <v>203.88349514563106</v>
      </c>
      <c r="L97" s="899">
        <f t="shared" si="50"/>
        <v>617.828773168579</v>
      </c>
      <c r="M97" s="898">
        <f t="shared" si="51"/>
        <v>4413.0626654898497</v>
      </c>
      <c r="N97" s="898">
        <f t="shared" si="51"/>
        <v>6178.2877316857903</v>
      </c>
      <c r="O97" s="900">
        <v>1013</v>
      </c>
      <c r="P97" s="900">
        <f>Dessert!H119</f>
        <v>828.8</v>
      </c>
      <c r="Q97" s="901">
        <f t="shared" si="40"/>
        <v>0.22954580000000002</v>
      </c>
      <c r="R97" s="901">
        <f t="shared" si="41"/>
        <v>0.13414719999999999</v>
      </c>
      <c r="S97" s="857">
        <f t="shared" si="42"/>
        <v>3400.0626654898497</v>
      </c>
      <c r="T97" s="857">
        <f t="shared" si="43"/>
        <v>5349.4877316857901</v>
      </c>
      <c r="U97" s="857">
        <v>32</v>
      </c>
      <c r="V97" s="856">
        <f t="shared" si="52"/>
        <v>6.9716775599128547E-2</v>
      </c>
      <c r="W97" s="860">
        <f t="shared" si="34"/>
        <v>1765.2250661959406</v>
      </c>
      <c r="X97" s="861">
        <f t="shared" si="39"/>
        <v>-184.20000000000005</v>
      </c>
      <c r="Y97" s="861">
        <f t="shared" si="35"/>
        <v>1949.4250661959404</v>
      </c>
      <c r="Z97" s="827"/>
      <c r="AA97" s="828"/>
    </row>
    <row r="98" spans="1:27" s="821" customFormat="1" ht="18.75" customHeight="1" x14ac:dyDescent="0.25">
      <c r="A98" s="892">
        <v>5</v>
      </c>
      <c r="B98" s="913" t="str">
        <f>Dessert!B127</f>
        <v>Aureum Chocolate Cup Mousse</v>
      </c>
      <c r="C98" s="913"/>
      <c r="D98" s="914">
        <v>120</v>
      </c>
      <c r="E98" s="895" t="s">
        <v>884</v>
      </c>
      <c r="F98" s="895" t="s">
        <v>37</v>
      </c>
      <c r="G98" s="896" t="s">
        <v>607</v>
      </c>
      <c r="H98" s="895" t="s">
        <v>38</v>
      </c>
      <c r="I98" s="897">
        <v>10000</v>
      </c>
      <c r="J98" s="898">
        <v>8000</v>
      </c>
      <c r="K98" s="899">
        <f t="shared" si="49"/>
        <v>233.00970873786406</v>
      </c>
      <c r="L98" s="899">
        <f t="shared" si="50"/>
        <v>706.09002647837599</v>
      </c>
      <c r="M98" s="898">
        <f t="shared" si="51"/>
        <v>8826.1253309796994</v>
      </c>
      <c r="N98" s="898">
        <f t="shared" si="51"/>
        <v>7060.9002647837597</v>
      </c>
      <c r="O98" s="900">
        <v>2560</v>
      </c>
      <c r="P98" s="900">
        <f>Dessert!H140</f>
        <v>1787.9074074074074</v>
      </c>
      <c r="Q98" s="901">
        <f t="shared" si="40"/>
        <v>0.29004800000000003</v>
      </c>
      <c r="R98" s="901">
        <f t="shared" si="41"/>
        <v>0.25321238657407408</v>
      </c>
      <c r="S98" s="857">
        <f t="shared" si="42"/>
        <v>6266.1253309796994</v>
      </c>
      <c r="T98" s="857">
        <f t="shared" si="43"/>
        <v>5272.9928573763518</v>
      </c>
      <c r="U98" s="857">
        <v>12</v>
      </c>
      <c r="V98" s="856">
        <f t="shared" si="52"/>
        <v>2.6143790849673203E-2</v>
      </c>
      <c r="W98" s="860">
        <f t="shared" si="34"/>
        <v>-1765.2250661959397</v>
      </c>
      <c r="X98" s="861">
        <f t="shared" si="39"/>
        <v>-772.09259259259261</v>
      </c>
      <c r="Y98" s="861">
        <f t="shared" si="35"/>
        <v>-993.13247360334753</v>
      </c>
      <c r="Z98" s="827"/>
      <c r="AA98" s="828"/>
    </row>
    <row r="99" spans="1:27" s="821" customFormat="1" ht="18.75" customHeight="1" x14ac:dyDescent="0.25">
      <c r="A99" s="892">
        <v>6</v>
      </c>
      <c r="B99" s="913" t="str">
        <f>Dessert!B148</f>
        <v>Blueberry Cake</v>
      </c>
      <c r="C99" s="913"/>
      <c r="D99" s="914">
        <v>120</v>
      </c>
      <c r="E99" s="895" t="s">
        <v>884</v>
      </c>
      <c r="F99" s="895" t="s">
        <v>37</v>
      </c>
      <c r="G99" s="896" t="s">
        <v>607</v>
      </c>
      <c r="H99" s="895" t="s">
        <v>38</v>
      </c>
      <c r="I99" s="897">
        <v>10000</v>
      </c>
      <c r="J99" s="898">
        <v>8000</v>
      </c>
      <c r="K99" s="899">
        <f t="shared" si="49"/>
        <v>233.00970873786406</v>
      </c>
      <c r="L99" s="899">
        <f t="shared" si="50"/>
        <v>706.09002647837599</v>
      </c>
      <c r="M99" s="898">
        <f t="shared" si="51"/>
        <v>8826.1253309796994</v>
      </c>
      <c r="N99" s="898">
        <f t="shared" si="51"/>
        <v>7060.9002647837597</v>
      </c>
      <c r="O99" s="900">
        <v>2306</v>
      </c>
      <c r="P99" s="900">
        <f>Dessert!H161</f>
        <v>1507.875</v>
      </c>
      <c r="Q99" s="901">
        <f t="shared" si="40"/>
        <v>0.2612698</v>
      </c>
      <c r="R99" s="901">
        <f t="shared" si="41"/>
        <v>0.21355279687500001</v>
      </c>
      <c r="S99" s="857">
        <f t="shared" si="42"/>
        <v>6520.1253309796994</v>
      </c>
      <c r="T99" s="857">
        <f t="shared" si="43"/>
        <v>5553.0252647837597</v>
      </c>
      <c r="U99" s="857">
        <v>27</v>
      </c>
      <c r="V99" s="856">
        <f t="shared" si="52"/>
        <v>5.8823529411764705E-2</v>
      </c>
      <c r="W99" s="860">
        <f t="shared" si="34"/>
        <v>-1765.2250661959397</v>
      </c>
      <c r="X99" s="861">
        <f t="shared" si="39"/>
        <v>-798.125</v>
      </c>
      <c r="Y99" s="861">
        <f t="shared" si="35"/>
        <v>-967.10006619593969</v>
      </c>
      <c r="Z99" s="827"/>
      <c r="AA99" s="828"/>
    </row>
    <row r="100" spans="1:27" s="821" customFormat="1" ht="18.75" customHeight="1" x14ac:dyDescent="0.25">
      <c r="A100" s="892"/>
      <c r="B100" s="913"/>
      <c r="C100" s="913"/>
      <c r="D100" s="913"/>
      <c r="E100" s="895"/>
      <c r="F100" s="895"/>
      <c r="G100" s="906"/>
      <c r="H100" s="895"/>
      <c r="I100" s="897"/>
      <c r="J100" s="898"/>
      <c r="K100" s="899"/>
      <c r="L100" s="899"/>
      <c r="M100" s="898"/>
      <c r="N100" s="898"/>
      <c r="O100" s="900"/>
      <c r="P100" s="900"/>
      <c r="Q100" s="901"/>
      <c r="R100" s="901"/>
      <c r="S100" s="857"/>
      <c r="T100" s="857"/>
      <c r="U100" s="857"/>
      <c r="V100" s="856"/>
      <c r="W100" s="860"/>
      <c r="X100" s="861"/>
      <c r="Y100" s="861"/>
      <c r="Z100" s="827"/>
      <c r="AA100" s="828"/>
    </row>
    <row r="101" spans="1:27" s="821" customFormat="1" ht="18.75" customHeight="1" x14ac:dyDescent="0.25">
      <c r="A101" s="892"/>
      <c r="B101" s="908" t="s">
        <v>915</v>
      </c>
      <c r="C101" s="908"/>
      <c r="D101" s="908"/>
      <c r="E101" s="895"/>
      <c r="F101" s="895"/>
      <c r="G101" s="906"/>
      <c r="H101" s="895"/>
      <c r="I101" s="897"/>
      <c r="J101" s="898"/>
      <c r="K101" s="899"/>
      <c r="L101" s="899"/>
      <c r="M101" s="898"/>
      <c r="N101" s="898"/>
      <c r="O101" s="900"/>
      <c r="P101" s="900"/>
      <c r="Q101" s="901"/>
      <c r="R101" s="901"/>
      <c r="S101" s="857"/>
      <c r="T101" s="857"/>
      <c r="U101" s="857"/>
      <c r="V101" s="856"/>
      <c r="W101" s="860"/>
      <c r="X101" s="861"/>
      <c r="Y101" s="861"/>
      <c r="Z101" s="827"/>
      <c r="AA101" s="828"/>
    </row>
    <row r="102" spans="1:27" s="821" customFormat="1" ht="18.75" customHeight="1" x14ac:dyDescent="0.25">
      <c r="A102" s="892">
        <v>1</v>
      </c>
      <c r="B102" s="911" t="str">
        <f>'A Little Aureum'!B5</f>
        <v>Ironman's Chicken Nugget</v>
      </c>
      <c r="C102" s="911"/>
      <c r="D102" s="912">
        <v>176</v>
      </c>
      <c r="E102" s="895" t="s">
        <v>884</v>
      </c>
      <c r="F102" s="895" t="s">
        <v>37</v>
      </c>
      <c r="G102" s="896" t="s">
        <v>915</v>
      </c>
      <c r="H102" s="895" t="s">
        <v>38</v>
      </c>
      <c r="I102" s="897">
        <v>10000</v>
      </c>
      <c r="J102" s="898">
        <v>10000</v>
      </c>
      <c r="K102" s="899">
        <f>+J102/113.3*3.3</f>
        <v>291.26213592233006</v>
      </c>
      <c r="L102" s="899">
        <f>+J102/113.3*10</f>
        <v>882.61253309796996</v>
      </c>
      <c r="M102" s="898">
        <f t="shared" ref="M102:N105" si="53">+I102/113.3*100</f>
        <v>8826.1253309796994</v>
      </c>
      <c r="N102" s="898">
        <f t="shared" si="53"/>
        <v>8826.1253309796994</v>
      </c>
      <c r="O102" s="900">
        <v>2752</v>
      </c>
      <c r="P102" s="900">
        <f>'A Little Aureum'!H24</f>
        <v>2703.0887564399009</v>
      </c>
      <c r="Q102" s="901">
        <f t="shared" si="40"/>
        <v>0.31180160000000001</v>
      </c>
      <c r="R102" s="901">
        <f t="shared" si="41"/>
        <v>0.3062599561046408</v>
      </c>
      <c r="S102" s="857">
        <f t="shared" si="42"/>
        <v>6074.1253309796994</v>
      </c>
      <c r="T102" s="857">
        <f t="shared" si="43"/>
        <v>6123.0365745397985</v>
      </c>
      <c r="U102" s="857">
        <v>9</v>
      </c>
      <c r="V102" s="856">
        <f>U102/SUM($U$102:$U$105)</f>
        <v>0.31034482758620691</v>
      </c>
      <c r="W102" s="860">
        <f t="shared" si="34"/>
        <v>0</v>
      </c>
      <c r="X102" s="861">
        <f t="shared" si="39"/>
        <v>-48.911243560099138</v>
      </c>
      <c r="Y102" s="861">
        <f t="shared" si="35"/>
        <v>48.911243560099138</v>
      </c>
      <c r="Z102" s="827"/>
      <c r="AA102" s="828"/>
    </row>
    <row r="103" spans="1:27" s="821" customFormat="1" ht="18.75" customHeight="1" x14ac:dyDescent="0.25">
      <c r="A103" s="892">
        <v>2</v>
      </c>
      <c r="B103" s="911" t="str">
        <f>'A Little Aureum'!B33</f>
        <v>Nemo’s Fish &amp; Chips</v>
      </c>
      <c r="C103" s="911"/>
      <c r="D103" s="912">
        <v>176</v>
      </c>
      <c r="E103" s="895" t="s">
        <v>884</v>
      </c>
      <c r="F103" s="895" t="s">
        <v>37</v>
      </c>
      <c r="G103" s="896" t="s">
        <v>915</v>
      </c>
      <c r="H103" s="895" t="s">
        <v>38</v>
      </c>
      <c r="I103" s="897">
        <v>12000</v>
      </c>
      <c r="J103" s="898">
        <v>20000</v>
      </c>
      <c r="K103" s="899">
        <f>+J103/113.3*3.3</f>
        <v>582.52427184466012</v>
      </c>
      <c r="L103" s="899">
        <f>+J103/113.3*10</f>
        <v>1765.2250661959399</v>
      </c>
      <c r="M103" s="898">
        <f t="shared" si="53"/>
        <v>10591.35039717564</v>
      </c>
      <c r="N103" s="898">
        <f t="shared" si="53"/>
        <v>17652.250661959399</v>
      </c>
      <c r="O103" s="900">
        <v>3281</v>
      </c>
      <c r="P103" s="900">
        <f>'A Little Aureum'!H50</f>
        <v>5704.75</v>
      </c>
      <c r="Q103" s="901">
        <f t="shared" si="40"/>
        <v>0.30978108333333332</v>
      </c>
      <c r="R103" s="901">
        <f t="shared" si="41"/>
        <v>0.32317408750000004</v>
      </c>
      <c r="S103" s="857">
        <f t="shared" si="42"/>
        <v>7310.35039717564</v>
      </c>
      <c r="T103" s="857">
        <f t="shared" si="43"/>
        <v>11947.500661959399</v>
      </c>
      <c r="U103" s="857">
        <v>2</v>
      </c>
      <c r="V103" s="856">
        <f t="shared" ref="V103:V105" si="54">U103/SUM($U$102:$U$105)</f>
        <v>6.8965517241379309E-2</v>
      </c>
      <c r="W103" s="860">
        <f t="shared" si="34"/>
        <v>7060.9002647837588</v>
      </c>
      <c r="X103" s="861">
        <f t="shared" si="39"/>
        <v>2423.75</v>
      </c>
      <c r="Y103" s="861">
        <f t="shared" si="35"/>
        <v>4637.1502647837588</v>
      </c>
      <c r="Z103" s="827"/>
      <c r="AA103" s="828"/>
    </row>
    <row r="104" spans="1:27" s="821" customFormat="1" ht="18.75" customHeight="1" x14ac:dyDescent="0.25">
      <c r="A104" s="892">
        <v>3</v>
      </c>
      <c r="B104" s="911" t="str">
        <f>'A Little Aureum'!B60</f>
        <v>Tom &amp; Jerry’s Sandwich</v>
      </c>
      <c r="C104" s="911"/>
      <c r="D104" s="912">
        <v>176</v>
      </c>
      <c r="E104" s="895" t="s">
        <v>884</v>
      </c>
      <c r="F104" s="895" t="s">
        <v>37</v>
      </c>
      <c r="G104" s="896" t="s">
        <v>915</v>
      </c>
      <c r="H104" s="895" t="s">
        <v>38</v>
      </c>
      <c r="I104" s="897">
        <v>12000</v>
      </c>
      <c r="J104" s="898">
        <v>25000</v>
      </c>
      <c r="K104" s="899">
        <f>+J104/113.3*3.3</f>
        <v>728.15533980582518</v>
      </c>
      <c r="L104" s="899">
        <f>+J104/113.3*10</f>
        <v>2206.5313327449248</v>
      </c>
      <c r="M104" s="898">
        <f t="shared" si="53"/>
        <v>10591.35039717564</v>
      </c>
      <c r="N104" s="898">
        <f t="shared" si="53"/>
        <v>22065.31332744925</v>
      </c>
      <c r="O104" s="900">
        <v>3404</v>
      </c>
      <c r="P104" s="900">
        <f>'A Little Aureum'!H78</f>
        <v>8176.3072289156626</v>
      </c>
      <c r="Q104" s="901">
        <f t="shared" si="40"/>
        <v>0.32139433333333334</v>
      </c>
      <c r="R104" s="901">
        <f t="shared" si="41"/>
        <v>0.37055024361445782</v>
      </c>
      <c r="S104" s="857">
        <f t="shared" si="42"/>
        <v>7187.35039717564</v>
      </c>
      <c r="T104" s="857">
        <f t="shared" si="43"/>
        <v>13889.006098533588</v>
      </c>
      <c r="U104" s="857">
        <v>9</v>
      </c>
      <c r="V104" s="856">
        <f t="shared" si="54"/>
        <v>0.31034482758620691</v>
      </c>
      <c r="W104" s="860">
        <f t="shared" si="34"/>
        <v>11473.96293027361</v>
      </c>
      <c r="X104" s="861">
        <f t="shared" si="39"/>
        <v>4772.3072289156626</v>
      </c>
      <c r="Y104" s="861">
        <f t="shared" si="35"/>
        <v>6701.6557013579477</v>
      </c>
      <c r="Z104" s="827"/>
      <c r="AA104" s="828"/>
    </row>
    <row r="105" spans="1:27" s="821" customFormat="1" ht="18.75" customHeight="1" thickBot="1" x14ac:dyDescent="0.3">
      <c r="A105" s="918">
        <v>4</v>
      </c>
      <c r="B105" s="919" t="str">
        <f>'A Little Aureum'!B86</f>
        <v>Snow White's Spaghetti</v>
      </c>
      <c r="C105" s="919"/>
      <c r="D105" s="920">
        <v>176</v>
      </c>
      <c r="E105" s="921" t="s">
        <v>884</v>
      </c>
      <c r="F105" s="921" t="s">
        <v>37</v>
      </c>
      <c r="G105" s="922" t="s">
        <v>915</v>
      </c>
      <c r="H105" s="921" t="s">
        <v>38</v>
      </c>
      <c r="I105" s="923">
        <v>15000</v>
      </c>
      <c r="J105" s="924">
        <v>20000</v>
      </c>
      <c r="K105" s="925">
        <f>+J105/113.3*3.3</f>
        <v>582.52427184466012</v>
      </c>
      <c r="L105" s="925">
        <f>+J105/113.3*10</f>
        <v>1765.2250661959399</v>
      </c>
      <c r="M105" s="924">
        <f t="shared" si="53"/>
        <v>13239.187996469551</v>
      </c>
      <c r="N105" s="924">
        <f t="shared" si="53"/>
        <v>17652.250661959399</v>
      </c>
      <c r="O105" s="926">
        <v>4184</v>
      </c>
      <c r="P105" s="926">
        <f>'A Little Aureum'!H104</f>
        <v>6103.1325301204815</v>
      </c>
      <c r="Q105" s="927">
        <f t="shared" si="40"/>
        <v>0.31603146666666665</v>
      </c>
      <c r="R105" s="927">
        <f t="shared" si="41"/>
        <v>0.34574245783132529</v>
      </c>
      <c r="S105" s="862">
        <f t="shared" si="42"/>
        <v>9055.1879964695509</v>
      </c>
      <c r="T105" s="862">
        <f t="shared" si="43"/>
        <v>11549.118131838917</v>
      </c>
      <c r="U105" s="857">
        <v>9</v>
      </c>
      <c r="V105" s="856">
        <f t="shared" si="54"/>
        <v>0.31034482758620691</v>
      </c>
      <c r="W105" s="863">
        <f t="shared" si="34"/>
        <v>4413.0626654898479</v>
      </c>
      <c r="X105" s="864">
        <f t="shared" si="39"/>
        <v>1919.1325301204815</v>
      </c>
      <c r="Y105" s="864">
        <f t="shared" si="35"/>
        <v>2493.9301353693663</v>
      </c>
      <c r="Z105" s="830"/>
      <c r="AA105" s="831"/>
    </row>
    <row r="106" spans="1:27" s="821" customFormat="1" x14ac:dyDescent="0.25">
      <c r="A106" s="844"/>
      <c r="B106" s="865"/>
      <c r="C106" s="865"/>
      <c r="D106" s="865"/>
      <c r="E106" s="866"/>
      <c r="F106" s="866"/>
      <c r="G106" s="867"/>
      <c r="H106" s="866"/>
      <c r="I106" s="866"/>
      <c r="J106" s="868"/>
      <c r="K106" s="869"/>
      <c r="L106" s="869"/>
      <c r="M106" s="869"/>
      <c r="N106" s="869"/>
      <c r="O106" s="869"/>
      <c r="P106" s="870"/>
      <c r="Q106" s="870"/>
      <c r="R106" s="870">
        <f>AVERAGE(R9:R105)</f>
        <v>0.33863476586440577</v>
      </c>
      <c r="S106" s="870"/>
      <c r="T106" s="871"/>
      <c r="U106" s="871"/>
      <c r="V106" s="871"/>
      <c r="W106" s="871"/>
      <c r="X106" s="871"/>
      <c r="Y106" s="871"/>
      <c r="Z106" s="832"/>
      <c r="AA106" s="832"/>
    </row>
    <row r="107" spans="1:27" s="821" customFormat="1" ht="15" customHeight="1" x14ac:dyDescent="0.25">
      <c r="A107" s="872"/>
      <c r="B107" s="873" t="s">
        <v>466</v>
      </c>
      <c r="C107" s="873"/>
      <c r="D107" s="873"/>
      <c r="E107" s="932" t="s">
        <v>467</v>
      </c>
      <c r="F107" s="932"/>
      <c r="G107" s="932"/>
      <c r="H107" s="932"/>
      <c r="I107" s="932"/>
      <c r="J107" s="930" t="s">
        <v>468</v>
      </c>
      <c r="K107" s="930"/>
      <c r="L107" s="930"/>
      <c r="M107" s="930"/>
      <c r="N107" s="930"/>
      <c r="O107" s="930"/>
      <c r="P107" s="930"/>
      <c r="Q107" s="930"/>
      <c r="R107" s="930"/>
      <c r="S107" s="876"/>
      <c r="T107" s="929"/>
      <c r="U107" s="929"/>
      <c r="V107" s="929"/>
      <c r="W107" s="877"/>
      <c r="X107" s="877"/>
      <c r="Y107" s="877"/>
      <c r="Z107" s="834"/>
      <c r="AA107" s="834"/>
    </row>
    <row r="108" spans="1:27" s="821" customFormat="1" x14ac:dyDescent="0.25">
      <c r="A108" s="844"/>
      <c r="B108" s="838"/>
      <c r="C108" s="838"/>
      <c r="D108" s="838"/>
      <c r="E108" s="839"/>
      <c r="F108" s="839"/>
      <c r="G108" s="839"/>
      <c r="H108" s="928"/>
      <c r="I108" s="840"/>
      <c r="J108" s="878"/>
      <c r="K108" s="878"/>
      <c r="L108" s="878"/>
      <c r="M108" s="841"/>
      <c r="N108" s="841"/>
      <c r="O108" s="841"/>
      <c r="P108" s="842"/>
      <c r="Q108" s="842"/>
      <c r="R108" s="842"/>
      <c r="S108" s="842"/>
      <c r="T108" s="841"/>
      <c r="U108" s="841"/>
      <c r="V108" s="842"/>
      <c r="W108" s="843"/>
      <c r="X108" s="843"/>
      <c r="Y108" s="843"/>
      <c r="Z108" s="835"/>
      <c r="AA108" s="833"/>
    </row>
    <row r="109" spans="1:27" s="821" customFormat="1" x14ac:dyDescent="0.25">
      <c r="A109" s="872"/>
      <c r="B109" s="879"/>
      <c r="C109" s="879"/>
      <c r="D109" s="879"/>
      <c r="E109" s="874"/>
      <c r="F109" s="874"/>
      <c r="G109" s="839"/>
      <c r="H109" s="928"/>
      <c r="I109" s="840"/>
      <c r="J109" s="880"/>
      <c r="K109" s="872"/>
      <c r="L109" s="872"/>
      <c r="M109" s="875"/>
      <c r="N109" s="841"/>
      <c r="O109" s="841"/>
      <c r="P109" s="842"/>
      <c r="Q109" s="842"/>
      <c r="R109" s="842"/>
      <c r="S109" s="842"/>
      <c r="T109" s="841"/>
      <c r="U109" s="841"/>
      <c r="V109" s="842"/>
      <c r="W109" s="877"/>
      <c r="X109" s="877"/>
      <c r="Y109" s="877"/>
      <c r="Z109" s="834"/>
      <c r="AA109" s="834"/>
    </row>
    <row r="110" spans="1:27" s="821" customFormat="1" x14ac:dyDescent="0.25">
      <c r="A110" s="879"/>
      <c r="B110" s="873" t="s">
        <v>964</v>
      </c>
      <c r="C110" s="873"/>
      <c r="D110" s="873"/>
      <c r="E110" s="932" t="s">
        <v>962</v>
      </c>
      <c r="F110" s="932"/>
      <c r="G110" s="932"/>
      <c r="H110" s="932"/>
      <c r="I110" s="932"/>
      <c r="J110" s="930" t="s">
        <v>966</v>
      </c>
      <c r="K110" s="930"/>
      <c r="L110" s="930"/>
      <c r="M110" s="930"/>
      <c r="N110" s="930"/>
      <c r="O110" s="930"/>
      <c r="P110" s="930"/>
      <c r="Q110" s="930"/>
      <c r="R110" s="930"/>
      <c r="S110" s="876"/>
      <c r="T110" s="929"/>
      <c r="U110" s="929"/>
      <c r="V110" s="929"/>
      <c r="W110" s="881"/>
      <c r="X110" s="881"/>
      <c r="Y110" s="881"/>
      <c r="Z110" s="836"/>
      <c r="AA110" s="837"/>
    </row>
    <row r="111" spans="1:27" s="821" customFormat="1" x14ac:dyDescent="0.25">
      <c r="A111" s="879"/>
      <c r="B111" s="873" t="s">
        <v>965</v>
      </c>
      <c r="C111" s="873"/>
      <c r="D111" s="873"/>
      <c r="E111" s="932" t="s">
        <v>963</v>
      </c>
      <c r="F111" s="932"/>
      <c r="G111" s="932"/>
      <c r="H111" s="932"/>
      <c r="I111" s="932"/>
      <c r="J111" s="930" t="s">
        <v>967</v>
      </c>
      <c r="K111" s="930"/>
      <c r="L111" s="930"/>
      <c r="M111" s="930"/>
      <c r="N111" s="930"/>
      <c r="O111" s="930"/>
      <c r="P111" s="930"/>
      <c r="Q111" s="930"/>
      <c r="R111" s="930"/>
      <c r="S111" s="876"/>
      <c r="T111" s="929"/>
      <c r="U111" s="929"/>
      <c r="V111" s="929"/>
      <c r="W111" s="881"/>
      <c r="X111" s="881"/>
      <c r="Y111" s="881"/>
      <c r="Z111" s="836"/>
      <c r="AA111" s="837"/>
    </row>
    <row r="112" spans="1:27" s="821" customFormat="1" x14ac:dyDescent="0.25">
      <c r="A112" s="844"/>
      <c r="B112" s="838"/>
      <c r="C112" s="838"/>
      <c r="D112" s="838"/>
      <c r="E112" s="839"/>
      <c r="F112" s="839"/>
      <c r="G112" s="839"/>
      <c r="H112" s="840"/>
      <c r="I112" s="840"/>
      <c r="J112" s="839"/>
      <c r="K112" s="840"/>
      <c r="L112" s="840"/>
      <c r="M112" s="841"/>
      <c r="N112" s="841"/>
      <c r="O112" s="841"/>
      <c r="P112" s="842"/>
      <c r="Q112" s="842"/>
      <c r="R112" s="842"/>
      <c r="S112" s="842"/>
      <c r="T112" s="841"/>
      <c r="U112" s="841"/>
      <c r="V112" s="842"/>
      <c r="W112" s="843"/>
      <c r="X112" s="843"/>
      <c r="Y112" s="843"/>
      <c r="Z112" s="835"/>
      <c r="AA112" s="833"/>
    </row>
    <row r="113" spans="1:27" s="821" customFormat="1" x14ac:dyDescent="0.25">
      <c r="A113" s="844"/>
      <c r="B113" s="838"/>
      <c r="C113" s="838"/>
      <c r="D113" s="838"/>
      <c r="E113" s="839"/>
      <c r="F113" s="839"/>
      <c r="G113" s="839"/>
      <c r="H113" s="840"/>
      <c r="I113" s="840"/>
      <c r="J113" s="841"/>
      <c r="K113" s="841"/>
      <c r="L113" s="841"/>
      <c r="M113" s="841"/>
      <c r="N113" s="841"/>
      <c r="O113" s="841"/>
      <c r="P113" s="842"/>
      <c r="Q113" s="842"/>
      <c r="R113" s="842"/>
      <c r="S113" s="842"/>
      <c r="T113" s="843"/>
      <c r="U113" s="843"/>
      <c r="V113" s="843"/>
      <c r="W113" s="843"/>
      <c r="X113" s="843"/>
      <c r="Y113" s="843"/>
      <c r="Z113" s="835"/>
      <c r="AA113" s="833"/>
    </row>
    <row r="114" spans="1:27" s="821" customFormat="1" x14ac:dyDescent="0.25">
      <c r="A114" s="844"/>
      <c r="B114" s="838"/>
      <c r="C114" s="838"/>
      <c r="D114" s="838"/>
      <c r="E114" s="839"/>
      <c r="F114" s="839"/>
      <c r="G114" s="839"/>
      <c r="H114" s="840"/>
      <c r="I114" s="840"/>
      <c r="J114" s="841"/>
      <c r="K114" s="841"/>
      <c r="L114" s="841"/>
      <c r="M114" s="841"/>
      <c r="N114" s="841"/>
      <c r="O114" s="841"/>
      <c r="P114" s="842"/>
      <c r="Q114" s="842"/>
      <c r="R114" s="842"/>
      <c r="S114" s="842"/>
      <c r="T114" s="843"/>
      <c r="U114" s="843"/>
      <c r="V114" s="843"/>
      <c r="W114" s="843"/>
      <c r="X114" s="843"/>
      <c r="Y114" s="843"/>
      <c r="Z114" s="835"/>
      <c r="AA114" s="833"/>
    </row>
  </sheetData>
  <mergeCells count="14">
    <mergeCell ref="A1:B1"/>
    <mergeCell ref="A2:B2"/>
    <mergeCell ref="A4:B4"/>
    <mergeCell ref="A5:E5"/>
    <mergeCell ref="E111:I111"/>
    <mergeCell ref="A3:E3"/>
    <mergeCell ref="E107:I107"/>
    <mergeCell ref="E110:I110"/>
    <mergeCell ref="T107:V107"/>
    <mergeCell ref="T110:V110"/>
    <mergeCell ref="T111:V111"/>
    <mergeCell ref="J107:R107"/>
    <mergeCell ref="J110:R110"/>
    <mergeCell ref="J111:R111"/>
  </mergeCells>
  <phoneticPr fontId="27" type="noConversion"/>
  <conditionalFormatting sqref="R9:S105">
    <cfRule type="expression" dxfId="2" priority="1">
      <formula>$R9&gt;$Q9</formula>
    </cfRule>
  </conditionalFormatting>
  <conditionalFormatting sqref="V9:V105">
    <cfRule type="expression" dxfId="1" priority="2">
      <formula>$R9&gt;$Q9</formula>
    </cfRule>
  </conditionalFormatting>
  <conditionalFormatting sqref="Z106:AA106">
    <cfRule type="cellIs" dxfId="0" priority="23" operator="greaterThan">
      <formula>0.35</formula>
    </cfRule>
  </conditionalFormatting>
  <printOptions horizontalCentered="1"/>
  <pageMargins left="0.2" right="0.2" top="0.5" bottom="0.5" header="0.3" footer="0.3"/>
  <pageSetup paperSize="9" scale="85" orientation="landscape" verticalDpi="1200" r:id="rId1"/>
  <colBreaks count="1" manualBreakCount="1">
    <brk id="27" max="1048575" man="1"/>
  </colBreaks>
  <ignoredErrors>
    <ignoredError sqref="P13" formula="1"/>
    <ignoredError sqref="V9:V105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3" tint="0.39997558519241921"/>
  </sheetPr>
  <dimension ref="A2:J158"/>
  <sheetViews>
    <sheetView zoomScale="96" zoomScaleNormal="96" workbookViewId="0">
      <selection activeCell="A113" sqref="A113"/>
    </sheetView>
  </sheetViews>
  <sheetFormatPr defaultColWidth="9.140625" defaultRowHeight="18" x14ac:dyDescent="0.5"/>
  <cols>
    <col min="1" max="1" width="17.7109375" style="74" customWidth="1"/>
    <col min="2" max="2" width="37" style="74" customWidth="1"/>
    <col min="3" max="3" width="10.7109375" style="74" customWidth="1"/>
    <col min="4" max="4" width="10.140625" style="188" customWidth="1"/>
    <col min="5" max="6" width="12" style="188" customWidth="1"/>
    <col min="7" max="7" width="14.85546875" style="296" customWidth="1"/>
    <col min="8" max="8" width="16" style="190" customWidth="1"/>
    <col min="9" max="9" width="19.28515625" style="74" customWidth="1"/>
    <col min="10" max="10" width="13" style="74" hidden="1" customWidth="1"/>
    <col min="11" max="11" width="18.28515625" style="74" customWidth="1"/>
    <col min="12" max="12" width="14.7109375" style="74" customWidth="1"/>
    <col min="13" max="16384" width="9.140625" style="74"/>
  </cols>
  <sheetData>
    <row r="2" spans="1:9" ht="21.75" x14ac:dyDescent="0.5">
      <c r="A2" s="946" t="s">
        <v>832</v>
      </c>
      <c r="B2" s="946"/>
      <c r="C2" s="946"/>
      <c r="D2" s="946"/>
      <c r="E2" s="946"/>
      <c r="F2" s="946"/>
      <c r="G2" s="946"/>
      <c r="H2" s="946"/>
      <c r="I2" s="946"/>
    </row>
    <row r="3" spans="1:9" x14ac:dyDescent="0.5">
      <c r="I3" s="74">
        <v>2100</v>
      </c>
    </row>
    <row r="4" spans="1:9" ht="18.75" thickBot="1" x14ac:dyDescent="0.55000000000000004">
      <c r="A4" s="945" t="s">
        <v>0</v>
      </c>
      <c r="B4" s="945"/>
      <c r="C4" s="945"/>
      <c r="D4" s="945"/>
      <c r="E4" s="945"/>
      <c r="F4" s="945"/>
      <c r="G4" s="945"/>
      <c r="H4" s="945"/>
      <c r="I4" s="945"/>
    </row>
    <row r="5" spans="1:9" ht="18.75" thickBot="1" x14ac:dyDescent="0.55000000000000004">
      <c r="A5" s="558" t="s">
        <v>665</v>
      </c>
      <c r="B5" s="610" t="s">
        <v>831</v>
      </c>
      <c r="C5" s="547"/>
      <c r="D5" s="548"/>
      <c r="E5" s="548"/>
      <c r="F5" s="548"/>
      <c r="G5" s="599" t="s">
        <v>1</v>
      </c>
      <c r="H5" s="541" t="s">
        <v>868</v>
      </c>
      <c r="I5" s="564" t="s">
        <v>595</v>
      </c>
    </row>
    <row r="6" spans="1:9" x14ac:dyDescent="0.5">
      <c r="A6" s="550"/>
      <c r="B6" s="539" t="s">
        <v>5</v>
      </c>
      <c r="C6" s="539" t="s">
        <v>4</v>
      </c>
      <c r="D6" s="540" t="s">
        <v>3</v>
      </c>
      <c r="E6" s="540" t="s">
        <v>613</v>
      </c>
      <c r="F6" s="540" t="s">
        <v>614</v>
      </c>
      <c r="G6" s="600" t="s">
        <v>6</v>
      </c>
      <c r="H6" s="543" t="s">
        <v>7</v>
      </c>
      <c r="I6" s="636">
        <v>45574</v>
      </c>
    </row>
    <row r="7" spans="1:9" ht="18.75" thickBot="1" x14ac:dyDescent="0.55000000000000004">
      <c r="A7" s="589"/>
      <c r="B7" s="552"/>
      <c r="C7" s="552"/>
      <c r="D7" s="553">
        <v>1</v>
      </c>
      <c r="E7" s="553"/>
      <c r="F7" s="553"/>
      <c r="G7" s="632">
        <f>Summary!J81</f>
        <v>25000</v>
      </c>
      <c r="H7" s="633">
        <f>H26</f>
        <v>0.3310249844</v>
      </c>
      <c r="I7" s="555"/>
    </row>
    <row r="8" spans="1:9" ht="18.75" thickBot="1" x14ac:dyDescent="0.55000000000000004">
      <c r="B8" s="60"/>
      <c r="C8" s="60"/>
      <c r="D8" s="61"/>
      <c r="E8" s="61"/>
      <c r="F8" s="61"/>
      <c r="G8" s="289"/>
      <c r="H8" s="62"/>
      <c r="I8" s="60"/>
    </row>
    <row r="9" spans="1:9" x14ac:dyDescent="0.5">
      <c r="A9" s="64" t="s">
        <v>904</v>
      </c>
      <c r="B9" s="303" t="s">
        <v>10</v>
      </c>
      <c r="C9" s="22" t="s">
        <v>9</v>
      </c>
      <c r="D9" s="54" t="s">
        <v>8</v>
      </c>
      <c r="E9" s="54" t="s">
        <v>613</v>
      </c>
      <c r="F9" s="54" t="s">
        <v>614</v>
      </c>
      <c r="G9" s="291" t="s">
        <v>11</v>
      </c>
      <c r="H9" s="55" t="s">
        <v>12</v>
      </c>
      <c r="I9" s="22" t="s">
        <v>12</v>
      </c>
    </row>
    <row r="10" spans="1:9" x14ac:dyDescent="0.5">
      <c r="A10" s="69"/>
      <c r="B10" s="33" t="s">
        <v>831</v>
      </c>
      <c r="C10" s="22"/>
      <c r="D10" s="54"/>
      <c r="E10" s="54"/>
      <c r="F10" s="54"/>
      <c r="G10" s="291"/>
      <c r="H10" s="55"/>
      <c r="I10" s="22"/>
    </row>
    <row r="11" spans="1:9" x14ac:dyDescent="0.5">
      <c r="A11" s="520">
        <v>1</v>
      </c>
      <c r="B11" s="21" t="s">
        <v>833</v>
      </c>
      <c r="C11" s="19" t="s">
        <v>23</v>
      </c>
      <c r="D11" s="20">
        <v>0.1</v>
      </c>
      <c r="E11" s="86">
        <v>0</v>
      </c>
      <c r="F11" s="20">
        <v>0.1</v>
      </c>
      <c r="G11" s="34">
        <v>4375</v>
      </c>
      <c r="H11" s="55">
        <f t="shared" ref="H11:H16" si="0">F11*G11</f>
        <v>437.5</v>
      </c>
      <c r="I11" s="87">
        <f t="shared" ref="I11:I21" si="1">H11/I$3</f>
        <v>0.20833333333333334</v>
      </c>
    </row>
    <row r="12" spans="1:9" x14ac:dyDescent="0.5">
      <c r="A12" s="520">
        <v>2</v>
      </c>
      <c r="B12" s="21" t="s">
        <v>834</v>
      </c>
      <c r="C12" s="19" t="s">
        <v>23</v>
      </c>
      <c r="D12" s="20">
        <v>0.1</v>
      </c>
      <c r="E12" s="86">
        <v>0</v>
      </c>
      <c r="F12" s="20">
        <v>0.1</v>
      </c>
      <c r="G12" s="34">
        <v>42300</v>
      </c>
      <c r="H12" s="55">
        <f t="shared" si="0"/>
        <v>4230</v>
      </c>
      <c r="I12" s="87">
        <f t="shared" si="1"/>
        <v>2.0142857142857142</v>
      </c>
    </row>
    <row r="13" spans="1:9" x14ac:dyDescent="0.5">
      <c r="A13" s="393">
        <v>3</v>
      </c>
      <c r="B13" s="89" t="s">
        <v>631</v>
      </c>
      <c r="C13" s="19" t="s">
        <v>463</v>
      </c>
      <c r="D13" s="20">
        <v>0.03</v>
      </c>
      <c r="E13" s="86">
        <v>0</v>
      </c>
      <c r="F13" s="20">
        <v>0.03</v>
      </c>
      <c r="G13" s="291">
        <v>16500</v>
      </c>
      <c r="H13" s="55">
        <f t="shared" si="0"/>
        <v>495</v>
      </c>
      <c r="I13" s="87">
        <f t="shared" si="1"/>
        <v>0.23571428571428571</v>
      </c>
    </row>
    <row r="14" spans="1:9" x14ac:dyDescent="0.5">
      <c r="A14" s="520">
        <v>4</v>
      </c>
      <c r="B14" s="21" t="s">
        <v>629</v>
      </c>
      <c r="C14" s="19" t="s">
        <v>808</v>
      </c>
      <c r="D14" s="20">
        <v>0.01</v>
      </c>
      <c r="E14" s="86">
        <v>0</v>
      </c>
      <c r="F14" s="20">
        <v>0.01</v>
      </c>
      <c r="G14" s="34">
        <v>46667</v>
      </c>
      <c r="H14" s="55">
        <f t="shared" si="0"/>
        <v>466.67</v>
      </c>
      <c r="I14" s="87">
        <f t="shared" si="1"/>
        <v>0.22222380952380952</v>
      </c>
    </row>
    <row r="15" spans="1:9" x14ac:dyDescent="0.5">
      <c r="A15" s="520">
        <v>5</v>
      </c>
      <c r="B15" s="21" t="s">
        <v>610</v>
      </c>
      <c r="C15" s="19" t="s">
        <v>463</v>
      </c>
      <c r="D15" s="20">
        <v>0.2</v>
      </c>
      <c r="E15" s="86">
        <v>0</v>
      </c>
      <c r="F15" s="20">
        <v>0.2</v>
      </c>
      <c r="G15" s="293">
        <v>1200</v>
      </c>
      <c r="H15" s="55">
        <f t="shared" si="0"/>
        <v>240</v>
      </c>
      <c r="I15" s="87">
        <f t="shared" si="1"/>
        <v>0.11428571428571428</v>
      </c>
    </row>
    <row r="16" spans="1:9" s="119" customFormat="1" x14ac:dyDescent="0.5">
      <c r="A16" s="393">
        <v>6</v>
      </c>
      <c r="B16" s="23" t="s">
        <v>826</v>
      </c>
      <c r="C16" s="24" t="s">
        <v>23</v>
      </c>
      <c r="D16" s="25">
        <v>0.05</v>
      </c>
      <c r="E16" s="139">
        <v>0</v>
      </c>
      <c r="F16" s="25">
        <v>0.05</v>
      </c>
      <c r="G16" s="35">
        <v>13700</v>
      </c>
      <c r="H16" s="122">
        <f t="shared" si="0"/>
        <v>685</v>
      </c>
      <c r="I16" s="140">
        <f t="shared" si="1"/>
        <v>0.3261904761904762</v>
      </c>
    </row>
    <row r="17" spans="1:9" s="119" customFormat="1" x14ac:dyDescent="0.5">
      <c r="A17" s="520">
        <v>7</v>
      </c>
      <c r="B17" s="26" t="s">
        <v>673</v>
      </c>
      <c r="C17" s="24" t="s">
        <v>471</v>
      </c>
      <c r="D17" s="25">
        <v>0.02</v>
      </c>
      <c r="E17" s="139">
        <v>0.2</v>
      </c>
      <c r="F17" s="25">
        <v>0.02</v>
      </c>
      <c r="G17" s="178">
        <v>4500</v>
      </c>
      <c r="H17" s="122">
        <f>F17*G17</f>
        <v>90</v>
      </c>
      <c r="I17" s="140">
        <f t="shared" si="1"/>
        <v>4.2857142857142858E-2</v>
      </c>
    </row>
    <row r="18" spans="1:9" s="119" customFormat="1" x14ac:dyDescent="0.5">
      <c r="A18" s="520">
        <v>8</v>
      </c>
      <c r="B18" s="26" t="s">
        <v>760</v>
      </c>
      <c r="C18" s="24" t="s">
        <v>471</v>
      </c>
      <c r="D18" s="25">
        <v>0.03</v>
      </c>
      <c r="E18" s="139">
        <v>0.1</v>
      </c>
      <c r="F18" s="25">
        <v>0.03</v>
      </c>
      <c r="G18" s="283">
        <v>22000</v>
      </c>
      <c r="H18" s="122">
        <f>F18*G18</f>
        <v>660</v>
      </c>
      <c r="I18" s="140">
        <f t="shared" si="1"/>
        <v>0.31428571428571428</v>
      </c>
    </row>
    <row r="19" spans="1:9" s="119" customFormat="1" x14ac:dyDescent="0.5">
      <c r="A19" s="525">
        <v>9</v>
      </c>
      <c r="B19" s="26" t="s">
        <v>754</v>
      </c>
      <c r="C19" s="24" t="s">
        <v>19</v>
      </c>
      <c r="D19" s="25">
        <v>0.05</v>
      </c>
      <c r="E19" s="139">
        <v>0.1</v>
      </c>
      <c r="F19" s="25">
        <v>0.05</v>
      </c>
      <c r="G19" s="283">
        <v>7000</v>
      </c>
      <c r="H19" s="122">
        <f t="shared" ref="H19:H21" si="2">F19*G19</f>
        <v>350</v>
      </c>
      <c r="I19" s="140">
        <f t="shared" si="1"/>
        <v>0.16666666666666666</v>
      </c>
    </row>
    <row r="20" spans="1:9" s="119" customFormat="1" x14ac:dyDescent="0.5">
      <c r="A20" s="520">
        <v>10</v>
      </c>
      <c r="B20" s="26" t="s">
        <v>625</v>
      </c>
      <c r="C20" s="24" t="s">
        <v>471</v>
      </c>
      <c r="D20" s="25">
        <v>0.05</v>
      </c>
      <c r="E20" s="139">
        <v>0.3</v>
      </c>
      <c r="F20" s="25">
        <v>0.05</v>
      </c>
      <c r="G20" s="283">
        <v>7000</v>
      </c>
      <c r="H20" s="122">
        <f t="shared" si="2"/>
        <v>350</v>
      </c>
      <c r="I20" s="140">
        <f t="shared" si="1"/>
        <v>0.16666666666666666</v>
      </c>
    </row>
    <row r="21" spans="1:9" s="119" customFormat="1" ht="18.75" thickBot="1" x14ac:dyDescent="0.55000000000000004">
      <c r="A21" s="520">
        <v>11</v>
      </c>
      <c r="B21" s="26" t="s">
        <v>674</v>
      </c>
      <c r="C21" s="24" t="s">
        <v>471</v>
      </c>
      <c r="D21" s="25">
        <v>0.01</v>
      </c>
      <c r="E21" s="139">
        <v>0.2</v>
      </c>
      <c r="F21" s="25">
        <v>0.01</v>
      </c>
      <c r="G21" s="283">
        <v>21000</v>
      </c>
      <c r="H21" s="122">
        <f t="shared" si="2"/>
        <v>210</v>
      </c>
      <c r="I21" s="140">
        <f t="shared" si="1"/>
        <v>0.1</v>
      </c>
    </row>
    <row r="22" spans="1:9" x14ac:dyDescent="0.5">
      <c r="B22" s="305" t="s">
        <v>4</v>
      </c>
      <c r="C22" s="306"/>
      <c r="D22" s="307"/>
      <c r="E22" s="307"/>
      <c r="F22" s="307"/>
      <c r="G22" s="308"/>
      <c r="H22" s="309">
        <f>SUM(H11:H18)</f>
        <v>7304.17</v>
      </c>
      <c r="I22" s="208">
        <f>SUM(I11:I21)</f>
        <v>3.9115095238095239</v>
      </c>
    </row>
    <row r="23" spans="1:9" x14ac:dyDescent="0.5">
      <c r="A23" s="302"/>
      <c r="B23" s="310" t="s">
        <v>14</v>
      </c>
      <c r="C23" s="311"/>
      <c r="D23" s="312"/>
      <c r="E23" s="312"/>
      <c r="F23" s="312"/>
      <c r="G23" s="313"/>
      <c r="H23" s="314">
        <f>H22/1</f>
        <v>7304.17</v>
      </c>
      <c r="I23" s="104"/>
    </row>
    <row r="24" spans="1:9" x14ac:dyDescent="0.5">
      <c r="A24" s="302"/>
      <c r="B24" s="310" t="s">
        <v>453</v>
      </c>
      <c r="C24" s="311"/>
      <c r="D24" s="312"/>
      <c r="E24" s="312"/>
      <c r="F24" s="312"/>
      <c r="G24" s="313"/>
      <c r="H24" s="476">
        <f>G7</f>
        <v>25000</v>
      </c>
      <c r="I24" s="476"/>
    </row>
    <row r="25" spans="1:9" x14ac:dyDescent="0.5">
      <c r="A25" s="302"/>
      <c r="B25" s="310" t="s">
        <v>704</v>
      </c>
      <c r="C25" s="311"/>
      <c r="D25" s="312"/>
      <c r="E25" s="312"/>
      <c r="F25" s="312"/>
      <c r="G25" s="312"/>
      <c r="H25" s="104">
        <f>H24/113.3%</f>
        <v>22065.31332744925</v>
      </c>
      <c r="I25" s="104"/>
    </row>
    <row r="26" spans="1:9" x14ac:dyDescent="0.5">
      <c r="A26" s="302"/>
      <c r="B26" s="310" t="s">
        <v>16</v>
      </c>
      <c r="C26" s="311"/>
      <c r="D26" s="312"/>
      <c r="E26" s="312"/>
      <c r="F26" s="312"/>
      <c r="G26" s="313"/>
      <c r="H26" s="609">
        <f>H23/H25</f>
        <v>0.3310249844</v>
      </c>
      <c r="I26" s="609"/>
    </row>
    <row r="27" spans="1:9" x14ac:dyDescent="0.5">
      <c r="A27" s="302"/>
      <c r="B27" s="310"/>
      <c r="C27" s="311"/>
      <c r="D27" s="312"/>
      <c r="E27" s="312"/>
      <c r="F27" s="312"/>
      <c r="G27" s="313"/>
      <c r="H27" s="314"/>
      <c r="I27" s="215"/>
    </row>
    <row r="28" spans="1:9" ht="18.75" thickBot="1" x14ac:dyDescent="0.55000000000000004">
      <c r="A28" s="302"/>
      <c r="B28" s="315"/>
      <c r="C28" s="316"/>
      <c r="D28" s="317"/>
      <c r="E28" s="317"/>
      <c r="F28" s="317"/>
      <c r="G28" s="318"/>
      <c r="H28" s="319"/>
      <c r="I28" s="220"/>
    </row>
    <row r="29" spans="1:9" x14ac:dyDescent="0.5">
      <c r="A29" s="302"/>
    </row>
    <row r="30" spans="1:9" x14ac:dyDescent="0.5">
      <c r="A30" s="302"/>
    </row>
    <row r="31" spans="1:9" s="119" customFormat="1" x14ac:dyDescent="0.5">
      <c r="A31" s="154"/>
      <c r="B31" s="154"/>
      <c r="C31" s="154"/>
      <c r="D31" s="155" t="s">
        <v>0</v>
      </c>
      <c r="E31" s="155"/>
      <c r="F31" s="155"/>
      <c r="G31" s="320"/>
      <c r="H31" s="126"/>
      <c r="I31" s="124"/>
    </row>
    <row r="32" spans="1:9" s="119" customFormat="1" ht="21" x14ac:dyDescent="0.5">
      <c r="A32" s="585" t="s">
        <v>665</v>
      </c>
      <c r="B32" s="598" t="s">
        <v>836</v>
      </c>
      <c r="C32" s="539"/>
      <c r="D32" s="540"/>
      <c r="E32" s="540"/>
      <c r="F32" s="540"/>
      <c r="G32" s="600" t="s">
        <v>1</v>
      </c>
      <c r="H32" s="611" t="s">
        <v>868</v>
      </c>
      <c r="I32" s="600" t="s">
        <v>2</v>
      </c>
    </row>
    <row r="33" spans="1:9" s="119" customFormat="1" x14ac:dyDescent="0.5">
      <c r="A33" s="612">
        <v>2</v>
      </c>
      <c r="B33" s="539" t="s">
        <v>5</v>
      </c>
      <c r="C33" s="539" t="s">
        <v>4</v>
      </c>
      <c r="D33" s="540" t="s">
        <v>3</v>
      </c>
      <c r="E33" s="540" t="s">
        <v>613</v>
      </c>
      <c r="F33" s="540" t="s">
        <v>614</v>
      </c>
      <c r="G33" s="600" t="s">
        <v>510</v>
      </c>
      <c r="H33" s="543" t="s">
        <v>7</v>
      </c>
      <c r="I33" s="647">
        <f>I6</f>
        <v>45574</v>
      </c>
    </row>
    <row r="34" spans="1:9" s="119" customFormat="1" ht="18.75" thickBot="1" x14ac:dyDescent="0.55000000000000004">
      <c r="A34" s="544"/>
      <c r="B34" s="544"/>
      <c r="C34" s="544"/>
      <c r="D34" s="540">
        <v>1</v>
      </c>
      <c r="E34" s="540"/>
      <c r="F34" s="540"/>
      <c r="G34" s="632">
        <f>Summary!J82</f>
        <v>25000</v>
      </c>
      <c r="H34" s="640">
        <f>H50</f>
        <v>0.36732811719999997</v>
      </c>
      <c r="I34" s="545"/>
    </row>
    <row r="35" spans="1:9" s="119" customFormat="1" ht="18.75" thickBot="1" x14ac:dyDescent="0.55000000000000004">
      <c r="A35" s="124"/>
      <c r="B35" s="124"/>
      <c r="C35" s="124"/>
      <c r="D35" s="125"/>
      <c r="E35" s="125"/>
      <c r="F35" s="125"/>
      <c r="G35" s="284"/>
      <c r="H35" s="126"/>
      <c r="I35" s="124"/>
    </row>
    <row r="36" spans="1:9" s="119" customFormat="1" x14ac:dyDescent="0.5">
      <c r="A36" s="166" t="s">
        <v>904</v>
      </c>
      <c r="B36" s="166" t="s">
        <v>10</v>
      </c>
      <c r="C36" s="166" t="s">
        <v>9</v>
      </c>
      <c r="D36" s="300" t="s">
        <v>8</v>
      </c>
      <c r="E36" s="117" t="s">
        <v>613</v>
      </c>
      <c r="F36" s="117" t="s">
        <v>614</v>
      </c>
      <c r="G36" s="282" t="s">
        <v>11</v>
      </c>
      <c r="H36" s="192" t="s">
        <v>24</v>
      </c>
      <c r="I36" s="195" t="s">
        <v>25</v>
      </c>
    </row>
    <row r="37" spans="1:9" s="119" customFormat="1" x14ac:dyDescent="0.5">
      <c r="A37" s="525">
        <v>1</v>
      </c>
      <c r="B37" s="439" t="s">
        <v>833</v>
      </c>
      <c r="C37" s="440" t="s">
        <v>23</v>
      </c>
      <c r="D37" s="441">
        <v>0.1</v>
      </c>
      <c r="E37" s="139">
        <v>0</v>
      </c>
      <c r="F37" s="32">
        <f t="shared" ref="F37:F44" si="3">D37+D37*E37</f>
        <v>0.1</v>
      </c>
      <c r="G37" s="283">
        <v>4375</v>
      </c>
      <c r="H37" s="68">
        <f t="shared" ref="H37:H45" si="4">F37*G37</f>
        <v>437.5</v>
      </c>
      <c r="I37" s="321">
        <f t="shared" ref="I37:I45" si="5">H37/I$3</f>
        <v>0.20833333333333334</v>
      </c>
    </row>
    <row r="38" spans="1:9" s="119" customFormat="1" x14ac:dyDescent="0.5">
      <c r="A38" s="525">
        <v>2</v>
      </c>
      <c r="B38" s="439" t="s">
        <v>834</v>
      </c>
      <c r="C38" s="440" t="s">
        <v>22</v>
      </c>
      <c r="D38" s="441">
        <v>0.1</v>
      </c>
      <c r="E38" s="139">
        <v>0</v>
      </c>
      <c r="F38" s="32">
        <f t="shared" si="3"/>
        <v>0.1</v>
      </c>
      <c r="G38" s="35">
        <v>42300</v>
      </c>
      <c r="H38" s="68">
        <f t="shared" si="4"/>
        <v>4230</v>
      </c>
      <c r="I38" s="321">
        <f t="shared" si="5"/>
        <v>2.0142857142857142</v>
      </c>
    </row>
    <row r="39" spans="1:9" s="119" customFormat="1" x14ac:dyDescent="0.5">
      <c r="A39" s="526">
        <v>3</v>
      </c>
      <c r="B39" s="439" t="s">
        <v>631</v>
      </c>
      <c r="C39" s="440" t="s">
        <v>463</v>
      </c>
      <c r="D39" s="441">
        <v>1E-3</v>
      </c>
      <c r="E39" s="139">
        <v>0</v>
      </c>
      <c r="F39" s="32">
        <f t="shared" si="3"/>
        <v>1E-3</v>
      </c>
      <c r="G39" s="178">
        <v>16500</v>
      </c>
      <c r="H39" s="68">
        <f t="shared" si="4"/>
        <v>16.5</v>
      </c>
      <c r="I39" s="321">
        <f t="shared" si="5"/>
        <v>7.8571428571428577E-3</v>
      </c>
    </row>
    <row r="40" spans="1:9" s="119" customFormat="1" x14ac:dyDescent="0.5">
      <c r="A40" s="525">
        <v>4</v>
      </c>
      <c r="B40" s="439" t="s">
        <v>629</v>
      </c>
      <c r="C40" s="440" t="s">
        <v>808</v>
      </c>
      <c r="D40" s="441">
        <v>0.03</v>
      </c>
      <c r="E40" s="139">
        <v>0</v>
      </c>
      <c r="F40" s="32">
        <f t="shared" si="3"/>
        <v>0.03</v>
      </c>
      <c r="G40" s="39">
        <v>46667</v>
      </c>
      <c r="H40" s="68">
        <f t="shared" si="4"/>
        <v>1400.01</v>
      </c>
      <c r="I40" s="321">
        <f t="shared" si="5"/>
        <v>0.66667142857142858</v>
      </c>
    </row>
    <row r="41" spans="1:9" s="119" customFormat="1" x14ac:dyDescent="0.5">
      <c r="A41" s="525">
        <v>5</v>
      </c>
      <c r="B41" s="439" t="s">
        <v>825</v>
      </c>
      <c r="C41" s="440" t="s">
        <v>22</v>
      </c>
      <c r="D41" s="441">
        <v>0.01</v>
      </c>
      <c r="E41" s="139">
        <v>0</v>
      </c>
      <c r="F41" s="32">
        <f t="shared" si="3"/>
        <v>0.01</v>
      </c>
      <c r="G41" s="35">
        <v>300</v>
      </c>
      <c r="H41" s="68">
        <f t="shared" si="4"/>
        <v>3</v>
      </c>
      <c r="I41" s="321">
        <f t="shared" si="5"/>
        <v>1.4285714285714286E-3</v>
      </c>
    </row>
    <row r="42" spans="1:9" s="119" customFormat="1" x14ac:dyDescent="0.5">
      <c r="A42" s="526">
        <v>6</v>
      </c>
      <c r="B42" s="438" t="s">
        <v>837</v>
      </c>
      <c r="C42" s="436" t="s">
        <v>459</v>
      </c>
      <c r="D42" s="437">
        <v>0.01</v>
      </c>
      <c r="E42" s="139">
        <v>0</v>
      </c>
      <c r="F42" s="32">
        <f t="shared" si="3"/>
        <v>0.01</v>
      </c>
      <c r="G42" s="35">
        <v>6000</v>
      </c>
      <c r="H42" s="68">
        <f t="shared" si="4"/>
        <v>60</v>
      </c>
      <c r="I42" s="321">
        <f t="shared" si="5"/>
        <v>2.8571428571428571E-2</v>
      </c>
    </row>
    <row r="43" spans="1:9" s="119" customFormat="1" x14ac:dyDescent="0.5">
      <c r="A43" s="525">
        <v>7</v>
      </c>
      <c r="B43" s="396" t="s">
        <v>610</v>
      </c>
      <c r="C43" s="397" t="s">
        <v>463</v>
      </c>
      <c r="D43" s="442">
        <v>1E-3</v>
      </c>
      <c r="E43" s="139">
        <v>0</v>
      </c>
      <c r="F43" s="32">
        <f t="shared" si="3"/>
        <v>1E-3</v>
      </c>
      <c r="G43" s="35">
        <v>1200</v>
      </c>
      <c r="H43" s="68">
        <f t="shared" si="4"/>
        <v>1.2</v>
      </c>
      <c r="I43" s="321">
        <f t="shared" si="5"/>
        <v>5.7142857142857136E-4</v>
      </c>
    </row>
    <row r="44" spans="1:9" s="119" customFormat="1" x14ac:dyDescent="0.5">
      <c r="A44" s="1010">
        <v>8</v>
      </c>
      <c r="B44" s="963" t="s">
        <v>835</v>
      </c>
      <c r="C44" s="964" t="s">
        <v>596</v>
      </c>
      <c r="D44" s="965">
        <v>0.2</v>
      </c>
      <c r="E44" s="994">
        <v>0.3</v>
      </c>
      <c r="F44" s="956">
        <f t="shared" si="3"/>
        <v>0.26</v>
      </c>
      <c r="G44" s="967">
        <v>7000</v>
      </c>
      <c r="H44" s="959">
        <f t="shared" si="4"/>
        <v>1820</v>
      </c>
      <c r="I44" s="1011">
        <f t="shared" si="5"/>
        <v>0.8666666666666667</v>
      </c>
    </row>
    <row r="45" spans="1:9" s="119" customFormat="1" ht="18.75" thickBot="1" x14ac:dyDescent="0.55000000000000004">
      <c r="A45" s="526">
        <v>9</v>
      </c>
      <c r="B45" s="396" t="s">
        <v>826</v>
      </c>
      <c r="C45" s="397" t="s">
        <v>23</v>
      </c>
      <c r="D45" s="408">
        <v>0.01</v>
      </c>
      <c r="E45" s="136">
        <v>0</v>
      </c>
      <c r="F45" s="25">
        <v>0.01</v>
      </c>
      <c r="G45" s="178">
        <v>13700</v>
      </c>
      <c r="H45" s="68">
        <f t="shared" si="4"/>
        <v>137</v>
      </c>
      <c r="I45" s="322">
        <f t="shared" si="5"/>
        <v>6.5238095238095234E-2</v>
      </c>
    </row>
    <row r="46" spans="1:9" s="119" customFormat="1" x14ac:dyDescent="0.5">
      <c r="A46" s="124"/>
      <c r="B46" s="165" t="s">
        <v>4</v>
      </c>
      <c r="C46" s="166"/>
      <c r="D46" s="117"/>
      <c r="E46" s="117"/>
      <c r="F46" s="117"/>
      <c r="G46" s="282"/>
      <c r="H46" s="192">
        <f>SUM(H37:H45)</f>
        <v>8105.21</v>
      </c>
      <c r="I46" s="197">
        <f>SUM(I37:I45)</f>
        <v>3.8596238095238093</v>
      </c>
    </row>
    <row r="47" spans="1:9" s="119" customFormat="1" x14ac:dyDescent="0.5">
      <c r="A47" s="124"/>
      <c r="B47" s="168" t="s">
        <v>14</v>
      </c>
      <c r="C47" s="43"/>
      <c r="D47" s="121"/>
      <c r="E47" s="121"/>
      <c r="F47" s="121"/>
      <c r="G47" s="283"/>
      <c r="H47" s="169">
        <f>H46/1</f>
        <v>8105.21</v>
      </c>
      <c r="I47" s="267"/>
    </row>
    <row r="48" spans="1:9" s="119" customFormat="1" x14ac:dyDescent="0.5">
      <c r="A48" s="124"/>
      <c r="B48" s="168" t="s">
        <v>453</v>
      </c>
      <c r="C48" s="43"/>
      <c r="D48" s="121"/>
      <c r="E48" s="121"/>
      <c r="F48" s="121"/>
      <c r="G48" s="283"/>
      <c r="H48" s="104">
        <f>G34</f>
        <v>25000</v>
      </c>
      <c r="I48" s="104"/>
    </row>
    <row r="49" spans="1:9" s="119" customFormat="1" x14ac:dyDescent="0.5">
      <c r="A49" s="124"/>
      <c r="B49" s="168" t="s">
        <v>455</v>
      </c>
      <c r="C49" s="43"/>
      <c r="D49" s="121"/>
      <c r="E49" s="121"/>
      <c r="F49" s="121"/>
      <c r="G49" s="283"/>
      <c r="H49" s="104">
        <f>H48/113.3%</f>
        <v>22065.31332744925</v>
      </c>
      <c r="I49" s="104"/>
    </row>
    <row r="50" spans="1:9" s="119" customFormat="1" x14ac:dyDescent="0.5">
      <c r="A50" s="124"/>
      <c r="B50" s="168" t="s">
        <v>16</v>
      </c>
      <c r="C50" s="43"/>
      <c r="D50" s="121"/>
      <c r="E50" s="121"/>
      <c r="F50" s="121"/>
      <c r="G50" s="283"/>
      <c r="H50" s="588">
        <f>H47/H49</f>
        <v>0.36732811719999997</v>
      </c>
      <c r="I50" s="588"/>
    </row>
    <row r="51" spans="1:9" s="119" customFormat="1" x14ac:dyDescent="0.5">
      <c r="A51" s="124"/>
      <c r="B51" s="168"/>
      <c r="C51" s="43"/>
      <c r="D51" s="121"/>
      <c r="E51" s="121"/>
      <c r="F51" s="121"/>
      <c r="G51" s="283"/>
      <c r="H51" s="169"/>
      <c r="I51" s="171"/>
    </row>
    <row r="52" spans="1:9" s="119" customFormat="1" ht="18.75" thickBot="1" x14ac:dyDescent="0.55000000000000004">
      <c r="A52" s="124"/>
      <c r="B52" s="172"/>
      <c r="C52" s="147"/>
      <c r="D52" s="58"/>
      <c r="E52" s="58"/>
      <c r="F52" s="58"/>
      <c r="G52" s="286"/>
      <c r="H52" s="173"/>
      <c r="I52" s="164"/>
    </row>
    <row r="53" spans="1:9" x14ac:dyDescent="0.5">
      <c r="A53" s="302"/>
    </row>
    <row r="54" spans="1:9" x14ac:dyDescent="0.5">
      <c r="A54" s="302"/>
    </row>
    <row r="55" spans="1:9" s="119" customFormat="1" ht="18.75" thickBot="1" x14ac:dyDescent="0.55000000000000004">
      <c r="A55" s="154"/>
      <c r="B55" s="154"/>
      <c r="C55" s="154"/>
      <c r="D55" s="155" t="s">
        <v>0</v>
      </c>
      <c r="E55" s="155"/>
      <c r="F55" s="155"/>
      <c r="G55" s="320"/>
      <c r="H55" s="126"/>
      <c r="I55" s="124"/>
    </row>
    <row r="56" spans="1:9" s="119" customFormat="1" x14ac:dyDescent="0.5">
      <c r="A56" s="562" t="s">
        <v>722</v>
      </c>
      <c r="B56" s="563" t="s">
        <v>461</v>
      </c>
      <c r="C56" s="547"/>
      <c r="D56" s="548"/>
      <c r="E56" s="548"/>
      <c r="F56" s="548"/>
      <c r="G56" s="599" t="s">
        <v>1</v>
      </c>
      <c r="H56" s="541" t="s">
        <v>868</v>
      </c>
      <c r="I56" s="549" t="s">
        <v>2</v>
      </c>
    </row>
    <row r="57" spans="1:9" s="119" customFormat="1" x14ac:dyDescent="0.5">
      <c r="A57" s="565">
        <v>3</v>
      </c>
      <c r="B57" s="539" t="s">
        <v>5</v>
      </c>
      <c r="C57" s="539" t="s">
        <v>4</v>
      </c>
      <c r="D57" s="540" t="s">
        <v>3</v>
      </c>
      <c r="E57" s="540" t="s">
        <v>613</v>
      </c>
      <c r="F57" s="540" t="s">
        <v>614</v>
      </c>
      <c r="G57" s="600" t="s">
        <v>510</v>
      </c>
      <c r="H57" s="543" t="s">
        <v>7</v>
      </c>
      <c r="I57" s="636">
        <f>I33</f>
        <v>45574</v>
      </c>
    </row>
    <row r="58" spans="1:9" s="119" customFormat="1" ht="18.75" thickBot="1" x14ac:dyDescent="0.55000000000000004">
      <c r="A58" s="551"/>
      <c r="B58" s="552"/>
      <c r="C58" s="552"/>
      <c r="D58" s="553">
        <v>1</v>
      </c>
      <c r="E58" s="553"/>
      <c r="F58" s="553"/>
      <c r="G58" s="632">
        <f>Summary!J83</f>
        <v>30000</v>
      </c>
      <c r="H58" s="633">
        <f>H76</f>
        <v>0.33135018151028811</v>
      </c>
      <c r="I58" s="555"/>
    </row>
    <row r="59" spans="1:9" s="119" customFormat="1" ht="18.75" thickBot="1" x14ac:dyDescent="0.55000000000000004">
      <c r="A59" s="124"/>
      <c r="B59" s="124"/>
      <c r="C59" s="124"/>
      <c r="D59" s="125"/>
      <c r="E59" s="125"/>
      <c r="F59" s="125"/>
      <c r="G59" s="284"/>
      <c r="H59" s="126"/>
      <c r="I59" s="124"/>
    </row>
    <row r="60" spans="1:9" s="119" customFormat="1" x14ac:dyDescent="0.5">
      <c r="A60" s="166" t="s">
        <v>904</v>
      </c>
      <c r="B60" s="166" t="s">
        <v>10</v>
      </c>
      <c r="C60" s="166" t="s">
        <v>9</v>
      </c>
      <c r="D60" s="300" t="s">
        <v>8</v>
      </c>
      <c r="E60" s="117" t="s">
        <v>613</v>
      </c>
      <c r="F60" s="117" t="s">
        <v>614</v>
      </c>
      <c r="G60" s="282" t="s">
        <v>11</v>
      </c>
      <c r="H60" s="192" t="s">
        <v>24</v>
      </c>
      <c r="I60" s="195" t="s">
        <v>25</v>
      </c>
    </row>
    <row r="61" spans="1:9" s="119" customFormat="1" x14ac:dyDescent="0.5">
      <c r="A61" s="43">
        <v>1</v>
      </c>
      <c r="B61" s="120" t="s">
        <v>464</v>
      </c>
      <c r="C61" s="24" t="s">
        <v>23</v>
      </c>
      <c r="D61" s="25">
        <v>0.1</v>
      </c>
      <c r="E61" s="139">
        <v>0</v>
      </c>
      <c r="F61" s="32">
        <f t="shared" ref="F61:F66" si="6">D61+D61*E61</f>
        <v>0.1</v>
      </c>
      <c r="G61" s="283">
        <f>22000/1.62</f>
        <v>13580.246913580246</v>
      </c>
      <c r="H61" s="68">
        <f t="shared" ref="H61:H71" si="7">F61*G61</f>
        <v>1358.0246913580247</v>
      </c>
      <c r="I61" s="321">
        <f t="shared" ref="I61:I71" si="8">H61/I$3</f>
        <v>0.64667842445620227</v>
      </c>
    </row>
    <row r="62" spans="1:9" s="119" customFormat="1" x14ac:dyDescent="0.5">
      <c r="A62" s="43">
        <v>2</v>
      </c>
      <c r="B62" s="120" t="s">
        <v>489</v>
      </c>
      <c r="C62" s="24" t="s">
        <v>509</v>
      </c>
      <c r="D62" s="25">
        <v>0.03</v>
      </c>
      <c r="E62" s="139">
        <v>0.2</v>
      </c>
      <c r="F62" s="32">
        <f t="shared" si="6"/>
        <v>3.5999999999999997E-2</v>
      </c>
      <c r="G62" s="39">
        <v>22000</v>
      </c>
      <c r="H62" s="68">
        <f t="shared" si="7"/>
        <v>791.99999999999989</v>
      </c>
      <c r="I62" s="321">
        <f t="shared" si="8"/>
        <v>0.37714285714285711</v>
      </c>
    </row>
    <row r="63" spans="1:9" s="119" customFormat="1" x14ac:dyDescent="0.5">
      <c r="A63" s="43">
        <v>3</v>
      </c>
      <c r="B63" s="120" t="s">
        <v>698</v>
      </c>
      <c r="C63" s="24" t="s">
        <v>471</v>
      </c>
      <c r="D63" s="25">
        <f>0.005/1</f>
        <v>5.0000000000000001E-3</v>
      </c>
      <c r="E63" s="139">
        <v>0.05</v>
      </c>
      <c r="F63" s="32">
        <f t="shared" si="6"/>
        <v>5.2500000000000003E-3</v>
      </c>
      <c r="G63" s="35">
        <v>7000</v>
      </c>
      <c r="H63" s="68">
        <f t="shared" si="7"/>
        <v>36.75</v>
      </c>
      <c r="I63" s="321">
        <f t="shared" si="8"/>
        <v>1.7500000000000002E-2</v>
      </c>
    </row>
    <row r="64" spans="1:9" s="119" customFormat="1" x14ac:dyDescent="0.5">
      <c r="A64" s="43">
        <v>4</v>
      </c>
      <c r="B64" s="120" t="s">
        <v>626</v>
      </c>
      <c r="C64" s="24" t="s">
        <v>22</v>
      </c>
      <c r="D64" s="25">
        <v>0.02</v>
      </c>
      <c r="E64" s="139">
        <v>0</v>
      </c>
      <c r="F64" s="32">
        <f t="shared" si="6"/>
        <v>0.02</v>
      </c>
      <c r="G64" s="178">
        <v>13700</v>
      </c>
      <c r="H64" s="68">
        <f t="shared" si="7"/>
        <v>274</v>
      </c>
      <c r="I64" s="321">
        <f t="shared" si="8"/>
        <v>0.13047619047619047</v>
      </c>
    </row>
    <row r="65" spans="1:9" s="119" customFormat="1" x14ac:dyDescent="0.5">
      <c r="A65" s="43">
        <v>5</v>
      </c>
      <c r="B65" s="120" t="s">
        <v>538</v>
      </c>
      <c r="C65" s="24" t="s">
        <v>23</v>
      </c>
      <c r="D65" s="25">
        <v>0.1</v>
      </c>
      <c r="E65" s="139">
        <v>0</v>
      </c>
      <c r="F65" s="32">
        <f t="shared" si="6"/>
        <v>0.1</v>
      </c>
      <c r="G65" s="35">
        <v>42300</v>
      </c>
      <c r="H65" s="68">
        <f t="shared" si="7"/>
        <v>4230</v>
      </c>
      <c r="I65" s="321">
        <f t="shared" si="8"/>
        <v>2.0142857142857142</v>
      </c>
    </row>
    <row r="66" spans="1:9" s="119" customFormat="1" x14ac:dyDescent="0.5">
      <c r="A66" s="43">
        <v>6</v>
      </c>
      <c r="B66" s="120" t="s">
        <v>699</v>
      </c>
      <c r="C66" s="24" t="s">
        <v>23</v>
      </c>
      <c r="D66" s="25"/>
      <c r="E66" s="139">
        <v>0</v>
      </c>
      <c r="F66" s="32">
        <f t="shared" si="6"/>
        <v>0</v>
      </c>
      <c r="G66" s="35">
        <v>116000</v>
      </c>
      <c r="H66" s="68">
        <f t="shared" si="7"/>
        <v>0</v>
      </c>
      <c r="I66" s="321">
        <f t="shared" si="8"/>
        <v>0</v>
      </c>
    </row>
    <row r="67" spans="1:9" s="119" customFormat="1" x14ac:dyDescent="0.5">
      <c r="A67" s="43">
        <v>7</v>
      </c>
      <c r="B67" s="120" t="s">
        <v>833</v>
      </c>
      <c r="C67" s="812" t="s">
        <v>18</v>
      </c>
      <c r="D67" s="25">
        <v>0.1</v>
      </c>
      <c r="E67" s="139">
        <v>0</v>
      </c>
      <c r="F67" s="25">
        <v>0.1</v>
      </c>
      <c r="G67" s="178">
        <v>4375</v>
      </c>
      <c r="H67" s="68">
        <f t="shared" si="7"/>
        <v>437.5</v>
      </c>
      <c r="I67" s="321">
        <f t="shared" si="8"/>
        <v>0.20833333333333334</v>
      </c>
    </row>
    <row r="68" spans="1:9" s="119" customFormat="1" x14ac:dyDescent="0.5">
      <c r="A68" s="43">
        <v>8</v>
      </c>
      <c r="B68" s="120" t="s">
        <v>610</v>
      </c>
      <c r="C68" s="24" t="s">
        <v>463</v>
      </c>
      <c r="D68" s="25">
        <v>5.0000000000000001E-3</v>
      </c>
      <c r="E68" s="139">
        <v>0</v>
      </c>
      <c r="F68" s="25">
        <v>0.01</v>
      </c>
      <c r="G68" s="178">
        <v>1200</v>
      </c>
      <c r="H68" s="68">
        <f t="shared" si="7"/>
        <v>12</v>
      </c>
      <c r="I68" s="321">
        <f t="shared" si="8"/>
        <v>5.7142857142857143E-3</v>
      </c>
    </row>
    <row r="69" spans="1:9" s="119" customFormat="1" x14ac:dyDescent="0.5">
      <c r="A69" s="43">
        <v>9</v>
      </c>
      <c r="B69" s="120" t="s">
        <v>627</v>
      </c>
      <c r="C69" s="24" t="s">
        <v>471</v>
      </c>
      <c r="D69" s="25">
        <v>0.01</v>
      </c>
      <c r="E69" s="139">
        <v>0</v>
      </c>
      <c r="F69" s="32">
        <v>0.01</v>
      </c>
      <c r="G69" s="178">
        <v>70000</v>
      </c>
      <c r="H69" s="68">
        <f t="shared" si="7"/>
        <v>700</v>
      </c>
      <c r="I69" s="321">
        <f t="shared" si="8"/>
        <v>0.33333333333333331</v>
      </c>
    </row>
    <row r="70" spans="1:9" s="119" customFormat="1" x14ac:dyDescent="0.5">
      <c r="A70" s="43">
        <v>10</v>
      </c>
      <c r="B70" s="120" t="s">
        <v>656</v>
      </c>
      <c r="C70" s="24" t="s">
        <v>22</v>
      </c>
      <c r="D70" s="25">
        <v>1E-3</v>
      </c>
      <c r="E70" s="139">
        <v>0</v>
      </c>
      <c r="F70" s="25">
        <v>1</v>
      </c>
      <c r="G70" s="283"/>
      <c r="H70" s="68">
        <f t="shared" si="7"/>
        <v>0</v>
      </c>
      <c r="I70" s="321">
        <f t="shared" si="8"/>
        <v>0</v>
      </c>
    </row>
    <row r="71" spans="1:9" s="119" customFormat="1" ht="18.75" thickBot="1" x14ac:dyDescent="0.55000000000000004">
      <c r="A71" s="43">
        <v>11</v>
      </c>
      <c r="B71" s="120" t="s">
        <v>629</v>
      </c>
      <c r="C71" s="813" t="s">
        <v>459</v>
      </c>
      <c r="D71" s="28">
        <v>0.02</v>
      </c>
      <c r="E71" s="199">
        <v>0</v>
      </c>
      <c r="F71" s="443">
        <v>0.02</v>
      </c>
      <c r="G71" s="324">
        <v>46667</v>
      </c>
      <c r="H71" s="68">
        <f t="shared" si="7"/>
        <v>933.34</v>
      </c>
      <c r="I71" s="321">
        <f t="shared" si="8"/>
        <v>0.44444761904761904</v>
      </c>
    </row>
    <row r="72" spans="1:9" s="119" customFormat="1" x14ac:dyDescent="0.5">
      <c r="A72" s="124"/>
      <c r="B72" s="165" t="s">
        <v>4</v>
      </c>
      <c r="C72" s="166"/>
      <c r="D72" s="117"/>
      <c r="E72" s="117"/>
      <c r="F72" s="117"/>
      <c r="G72" s="282"/>
      <c r="H72" s="192">
        <f>SUM(H61:H71)</f>
        <v>8773.6146913580251</v>
      </c>
      <c r="I72" s="197">
        <f>SUM(I61:I71)</f>
        <v>4.1779117577895359</v>
      </c>
    </row>
    <row r="73" spans="1:9" s="119" customFormat="1" x14ac:dyDescent="0.5">
      <c r="A73" s="124"/>
      <c r="B73" s="168" t="s">
        <v>14</v>
      </c>
      <c r="C73" s="43"/>
      <c r="D73" s="121"/>
      <c r="E73" s="121"/>
      <c r="F73" s="121"/>
      <c r="G73" s="283"/>
      <c r="H73" s="169">
        <f>H72/1</f>
        <v>8773.6146913580251</v>
      </c>
      <c r="I73" s="267"/>
    </row>
    <row r="74" spans="1:9" s="119" customFormat="1" x14ac:dyDescent="0.5">
      <c r="A74" s="124"/>
      <c r="B74" s="168" t="s">
        <v>453</v>
      </c>
      <c r="C74" s="43"/>
      <c r="D74" s="121"/>
      <c r="E74" s="121"/>
      <c r="F74" s="121"/>
      <c r="G74" s="283"/>
      <c r="H74" s="983">
        <f>G58</f>
        <v>30000</v>
      </c>
      <c r="I74" s="104"/>
    </row>
    <row r="75" spans="1:9" s="119" customFormat="1" x14ac:dyDescent="0.5">
      <c r="A75" s="124"/>
      <c r="B75" s="168" t="s">
        <v>455</v>
      </c>
      <c r="C75" s="43"/>
      <c r="D75" s="121"/>
      <c r="E75" s="121"/>
      <c r="F75" s="121"/>
      <c r="G75" s="283"/>
      <c r="H75" s="104">
        <f>H74/113.3%</f>
        <v>26478.375992939098</v>
      </c>
      <c r="I75" s="104"/>
    </row>
    <row r="76" spans="1:9" s="119" customFormat="1" x14ac:dyDescent="0.5">
      <c r="A76" s="124"/>
      <c r="B76" s="168" t="s">
        <v>16</v>
      </c>
      <c r="C76" s="43"/>
      <c r="D76" s="121"/>
      <c r="E76" s="121"/>
      <c r="F76" s="121"/>
      <c r="G76" s="283"/>
      <c r="H76" s="588">
        <f>H73/H75</f>
        <v>0.33135018151028811</v>
      </c>
      <c r="I76" s="588"/>
    </row>
    <row r="77" spans="1:9" s="119" customFormat="1" x14ac:dyDescent="0.5">
      <c r="A77" s="124"/>
      <c r="B77" s="168"/>
      <c r="C77" s="43"/>
      <c r="D77" s="121"/>
      <c r="E77" s="121"/>
      <c r="F77" s="121"/>
      <c r="G77" s="283"/>
      <c r="H77" s="169"/>
      <c r="I77" s="171"/>
    </row>
    <row r="78" spans="1:9" s="119" customFormat="1" ht="18.75" thickBot="1" x14ac:dyDescent="0.55000000000000004">
      <c r="A78" s="124"/>
      <c r="B78" s="172"/>
      <c r="C78" s="147"/>
      <c r="D78" s="58"/>
      <c r="E78" s="58"/>
      <c r="F78" s="58"/>
      <c r="G78" s="286"/>
      <c r="H78" s="173"/>
      <c r="I78" s="164"/>
    </row>
    <row r="79" spans="1:9" x14ac:dyDescent="0.5">
      <c r="A79" s="124"/>
      <c r="B79" s="325"/>
      <c r="C79" s="325"/>
      <c r="D79" s="155"/>
      <c r="E79" s="155"/>
      <c r="F79" s="155"/>
      <c r="G79" s="326"/>
      <c r="H79" s="301"/>
      <c r="I79" s="327"/>
    </row>
    <row r="80" spans="1:9" x14ac:dyDescent="0.5">
      <c r="A80" s="124"/>
      <c r="B80" s="325"/>
      <c r="C80" s="325"/>
      <c r="D80" s="155"/>
      <c r="E80" s="155"/>
      <c r="F80" s="155"/>
      <c r="G80" s="326"/>
      <c r="H80" s="301"/>
      <c r="I80" s="327"/>
    </row>
    <row r="81" spans="1:9" ht="18.75" thickBot="1" x14ac:dyDescent="0.55000000000000004">
      <c r="A81" s="76"/>
      <c r="B81" s="76"/>
      <c r="C81" s="76"/>
      <c r="D81" s="116" t="s">
        <v>0</v>
      </c>
      <c r="E81" s="116"/>
      <c r="F81" s="116"/>
      <c r="G81" s="328"/>
      <c r="H81" s="62"/>
      <c r="I81" s="60"/>
    </row>
    <row r="82" spans="1:9" ht="18.75" thickBot="1" x14ac:dyDescent="0.55000000000000004">
      <c r="A82" s="562" t="s">
        <v>665</v>
      </c>
      <c r="B82" s="613" t="s">
        <v>838</v>
      </c>
      <c r="C82" s="547"/>
      <c r="D82" s="548"/>
      <c r="E82" s="548"/>
      <c r="F82" s="548"/>
      <c r="G82" s="599" t="s">
        <v>1</v>
      </c>
      <c r="H82" s="541" t="s">
        <v>868</v>
      </c>
      <c r="I82" s="549" t="s">
        <v>2</v>
      </c>
    </row>
    <row r="83" spans="1:9" x14ac:dyDescent="0.5">
      <c r="A83" s="565">
        <v>4</v>
      </c>
      <c r="B83" s="539" t="s">
        <v>5</v>
      </c>
      <c r="C83" s="539" t="s">
        <v>4</v>
      </c>
      <c r="D83" s="540" t="s">
        <v>3</v>
      </c>
      <c r="E83" s="540" t="s">
        <v>613</v>
      </c>
      <c r="F83" s="540" t="s">
        <v>614</v>
      </c>
      <c r="G83" s="600" t="s">
        <v>510</v>
      </c>
      <c r="H83" s="543" t="s">
        <v>7</v>
      </c>
      <c r="I83" s="636">
        <f>I57</f>
        <v>45574</v>
      </c>
    </row>
    <row r="84" spans="1:9" ht="18.75" thickBot="1" x14ac:dyDescent="0.55000000000000004">
      <c r="A84" s="551"/>
      <c r="B84" s="552"/>
      <c r="C84" s="552"/>
      <c r="D84" s="553">
        <v>1</v>
      </c>
      <c r="E84" s="553"/>
      <c r="F84" s="553"/>
      <c r="G84" s="632">
        <f>Summary!J84</f>
        <v>25000</v>
      </c>
      <c r="H84" s="645">
        <f>H100</f>
        <v>0.36427944080000002</v>
      </c>
      <c r="I84" s="555"/>
    </row>
    <row r="85" spans="1:9" ht="18.75" thickBot="1" x14ac:dyDescent="0.55000000000000004">
      <c r="A85" s="60"/>
      <c r="B85" s="60"/>
      <c r="C85" s="60"/>
      <c r="D85" s="61"/>
      <c r="E85" s="61"/>
      <c r="F85" s="61"/>
      <c r="G85" s="289"/>
      <c r="H85" s="62"/>
      <c r="I85" s="60"/>
    </row>
    <row r="86" spans="1:9" x14ac:dyDescent="0.5">
      <c r="A86" s="64" t="s">
        <v>904</v>
      </c>
      <c r="B86" s="64" t="s">
        <v>10</v>
      </c>
      <c r="C86" s="64" t="s">
        <v>9</v>
      </c>
      <c r="D86" s="298" t="s">
        <v>8</v>
      </c>
      <c r="E86" s="52" t="s">
        <v>613</v>
      </c>
      <c r="F86" s="52" t="s">
        <v>614</v>
      </c>
      <c r="G86" s="290" t="s">
        <v>11</v>
      </c>
      <c r="H86" s="226" t="s">
        <v>24</v>
      </c>
      <c r="I86" s="65" t="s">
        <v>25</v>
      </c>
    </row>
    <row r="87" spans="1:9" x14ac:dyDescent="0.5">
      <c r="A87" s="393">
        <v>1</v>
      </c>
      <c r="B87" s="444" t="s">
        <v>651</v>
      </c>
      <c r="C87" s="440" t="s">
        <v>463</v>
      </c>
      <c r="D87" s="441">
        <v>0.2</v>
      </c>
      <c r="E87" s="86">
        <v>0</v>
      </c>
      <c r="F87" s="67">
        <f t="shared" ref="F87:F93" si="9">D87+D87*E87</f>
        <v>0.2</v>
      </c>
      <c r="G87" s="291">
        <v>7200</v>
      </c>
      <c r="H87" s="46">
        <f t="shared" ref="H87:H95" si="10">F87*G87</f>
        <v>1440</v>
      </c>
      <c r="I87" s="304">
        <f t="shared" ref="I87:I95" si="11">H87/I$3</f>
        <v>0.68571428571428572</v>
      </c>
    </row>
    <row r="88" spans="1:9" x14ac:dyDescent="0.5">
      <c r="A88" s="393">
        <v>2</v>
      </c>
      <c r="B88" s="439" t="s">
        <v>625</v>
      </c>
      <c r="C88" s="440" t="s">
        <v>471</v>
      </c>
      <c r="D88" s="441">
        <v>0.1</v>
      </c>
      <c r="E88" s="86">
        <v>0.4</v>
      </c>
      <c r="F88" s="67">
        <f t="shared" si="9"/>
        <v>0.14000000000000001</v>
      </c>
      <c r="G88" s="34">
        <v>7000</v>
      </c>
      <c r="H88" s="46">
        <f t="shared" si="10"/>
        <v>980.00000000000011</v>
      </c>
      <c r="I88" s="304">
        <f t="shared" si="11"/>
        <v>0.46666666666666673</v>
      </c>
    </row>
    <row r="89" spans="1:9" x14ac:dyDescent="0.5">
      <c r="A89" s="520">
        <v>3</v>
      </c>
      <c r="B89" s="439" t="s">
        <v>693</v>
      </c>
      <c r="C89" s="440" t="s">
        <v>471</v>
      </c>
      <c r="D89" s="441">
        <v>0.03</v>
      </c>
      <c r="E89" s="86">
        <v>0.34</v>
      </c>
      <c r="F89" s="67">
        <f t="shared" si="9"/>
        <v>4.02E-2</v>
      </c>
      <c r="G89" s="34">
        <v>18000</v>
      </c>
      <c r="H89" s="46">
        <f t="shared" si="10"/>
        <v>723.6</v>
      </c>
      <c r="I89" s="304">
        <f t="shared" si="11"/>
        <v>0.34457142857142858</v>
      </c>
    </row>
    <row r="90" spans="1:9" x14ac:dyDescent="0.5">
      <c r="A90" s="393">
        <v>4</v>
      </c>
      <c r="B90" s="439" t="s">
        <v>629</v>
      </c>
      <c r="C90" s="440" t="s">
        <v>808</v>
      </c>
      <c r="D90" s="441">
        <v>0.02</v>
      </c>
      <c r="E90" s="86">
        <v>0</v>
      </c>
      <c r="F90" s="67">
        <f t="shared" si="9"/>
        <v>0.02</v>
      </c>
      <c r="G90" s="34">
        <v>46667</v>
      </c>
      <c r="H90" s="46">
        <f t="shared" si="10"/>
        <v>933.34</v>
      </c>
      <c r="I90" s="304">
        <f t="shared" si="11"/>
        <v>0.44444761904761904</v>
      </c>
    </row>
    <row r="91" spans="1:9" x14ac:dyDescent="0.5">
      <c r="A91" s="393">
        <v>5</v>
      </c>
      <c r="B91" s="439" t="s">
        <v>674</v>
      </c>
      <c r="C91" s="440" t="s">
        <v>471</v>
      </c>
      <c r="D91" s="441">
        <v>0.01</v>
      </c>
      <c r="E91" s="86">
        <v>0.2</v>
      </c>
      <c r="F91" s="67">
        <f t="shared" si="9"/>
        <v>1.2E-2</v>
      </c>
      <c r="G91" s="34">
        <v>21000</v>
      </c>
      <c r="H91" s="46">
        <f t="shared" si="10"/>
        <v>252</v>
      </c>
      <c r="I91" s="304">
        <f t="shared" si="11"/>
        <v>0.12</v>
      </c>
    </row>
    <row r="92" spans="1:9" x14ac:dyDescent="0.5">
      <c r="A92" s="520">
        <v>6</v>
      </c>
      <c r="B92" s="439" t="s">
        <v>839</v>
      </c>
      <c r="C92" s="440" t="s">
        <v>23</v>
      </c>
      <c r="D92" s="441">
        <v>0.03</v>
      </c>
      <c r="E92" s="86">
        <v>0</v>
      </c>
      <c r="F92" s="67">
        <f t="shared" si="9"/>
        <v>0.03</v>
      </c>
      <c r="G92" s="293">
        <v>116000</v>
      </c>
      <c r="H92" s="46">
        <f t="shared" si="10"/>
        <v>3480</v>
      </c>
      <c r="I92" s="304">
        <f t="shared" si="11"/>
        <v>1.6571428571428573</v>
      </c>
    </row>
    <row r="93" spans="1:9" x14ac:dyDescent="0.5">
      <c r="A93" s="393">
        <v>7</v>
      </c>
      <c r="B93" s="439" t="s">
        <v>840</v>
      </c>
      <c r="C93" s="440" t="s">
        <v>471</v>
      </c>
      <c r="D93" s="441">
        <v>1E-3</v>
      </c>
      <c r="E93" s="86">
        <v>0</v>
      </c>
      <c r="F93" s="67">
        <f t="shared" si="9"/>
        <v>1E-3</v>
      </c>
      <c r="G93" s="34">
        <v>9000</v>
      </c>
      <c r="H93" s="46">
        <f t="shared" si="10"/>
        <v>9</v>
      </c>
      <c r="I93" s="304">
        <f t="shared" si="11"/>
        <v>4.2857142857142859E-3</v>
      </c>
    </row>
    <row r="94" spans="1:9" x14ac:dyDescent="0.5">
      <c r="A94" s="393">
        <v>8</v>
      </c>
      <c r="B94" s="439" t="s">
        <v>609</v>
      </c>
      <c r="C94" s="440" t="s">
        <v>463</v>
      </c>
      <c r="D94" s="441">
        <v>0.01</v>
      </c>
      <c r="E94" s="86">
        <v>0</v>
      </c>
      <c r="F94" s="20">
        <v>0.01</v>
      </c>
      <c r="G94" s="293">
        <v>14000</v>
      </c>
      <c r="H94" s="46">
        <f t="shared" si="10"/>
        <v>140</v>
      </c>
      <c r="I94" s="304">
        <f t="shared" si="11"/>
        <v>6.6666666666666666E-2</v>
      </c>
    </row>
    <row r="95" spans="1:9" ht="18.75" thickBot="1" x14ac:dyDescent="0.55000000000000004">
      <c r="A95" s="520">
        <v>9</v>
      </c>
      <c r="B95" s="439" t="s">
        <v>841</v>
      </c>
      <c r="C95" s="440" t="s">
        <v>471</v>
      </c>
      <c r="D95" s="441">
        <v>0.01</v>
      </c>
      <c r="E95" s="86">
        <v>0</v>
      </c>
      <c r="F95" s="20">
        <v>0.01</v>
      </c>
      <c r="G95" s="293">
        <v>8000</v>
      </c>
      <c r="H95" s="46">
        <f t="shared" si="10"/>
        <v>80</v>
      </c>
      <c r="I95" s="304">
        <f t="shared" si="11"/>
        <v>3.8095238095238099E-2</v>
      </c>
    </row>
    <row r="96" spans="1:9" x14ac:dyDescent="0.5">
      <c r="A96" s="60"/>
      <c r="B96" s="224" t="s">
        <v>4</v>
      </c>
      <c r="C96" s="64"/>
      <c r="D96" s="52"/>
      <c r="E96" s="52"/>
      <c r="F96" s="52"/>
      <c r="G96" s="290"/>
      <c r="H96" s="226">
        <f>SUM(H87:H95)</f>
        <v>8037.9400000000005</v>
      </c>
      <c r="I96" s="197">
        <f>SUM(I87:I95)</f>
        <v>3.8275904761904767</v>
      </c>
    </row>
    <row r="97" spans="1:9" x14ac:dyDescent="0.5">
      <c r="A97" s="60"/>
      <c r="B97" s="101" t="s">
        <v>14</v>
      </c>
      <c r="C97" s="22"/>
      <c r="D97" s="54"/>
      <c r="E97" s="54"/>
      <c r="F97" s="54"/>
      <c r="G97" s="291"/>
      <c r="H97" s="73">
        <f>H96/1</f>
        <v>8037.9400000000005</v>
      </c>
      <c r="I97" s="267"/>
    </row>
    <row r="98" spans="1:9" x14ac:dyDescent="0.5">
      <c r="A98" s="60"/>
      <c r="B98" s="101" t="s">
        <v>453</v>
      </c>
      <c r="C98" s="22"/>
      <c r="D98" s="54"/>
      <c r="E98" s="54"/>
      <c r="F98" s="54"/>
      <c r="G98" s="291"/>
      <c r="H98" s="104">
        <f>G84</f>
        <v>25000</v>
      </c>
      <c r="I98" s="104"/>
    </row>
    <row r="99" spans="1:9" x14ac:dyDescent="0.5">
      <c r="A99" s="60"/>
      <c r="B99" s="101" t="s">
        <v>455</v>
      </c>
      <c r="C99" s="22"/>
      <c r="D99" s="54"/>
      <c r="E99" s="54"/>
      <c r="F99" s="54"/>
      <c r="G99" s="291"/>
      <c r="H99" s="104">
        <f>H98/113.3%</f>
        <v>22065.31332744925</v>
      </c>
      <c r="I99" s="104"/>
    </row>
    <row r="100" spans="1:9" x14ac:dyDescent="0.5">
      <c r="A100" s="60"/>
      <c r="B100" s="101" t="s">
        <v>16</v>
      </c>
      <c r="C100" s="22"/>
      <c r="D100" s="54"/>
      <c r="E100" s="54"/>
      <c r="F100" s="54"/>
      <c r="G100" s="291"/>
      <c r="H100" s="588">
        <f>H97/H99</f>
        <v>0.36427944080000002</v>
      </c>
      <c r="I100" s="588"/>
    </row>
    <row r="101" spans="1:9" x14ac:dyDescent="0.5">
      <c r="A101" s="60"/>
      <c r="B101" s="101"/>
      <c r="C101" s="22"/>
      <c r="D101" s="54"/>
      <c r="E101" s="54"/>
      <c r="F101" s="54"/>
      <c r="G101" s="291"/>
      <c r="H101" s="73"/>
      <c r="I101" s="171"/>
    </row>
    <row r="102" spans="1:9" ht="18.75" thickBot="1" x14ac:dyDescent="0.55000000000000004">
      <c r="A102" s="60"/>
      <c r="B102" s="150"/>
      <c r="C102" s="151"/>
      <c r="D102" s="57"/>
      <c r="E102" s="57"/>
      <c r="F102" s="57"/>
      <c r="G102" s="294"/>
      <c r="H102" s="152"/>
      <c r="I102" s="164"/>
    </row>
    <row r="103" spans="1:9" s="51" customFormat="1" ht="21" x14ac:dyDescent="0.6">
      <c r="G103" s="193"/>
      <c r="H103" s="193"/>
    </row>
    <row r="104" spans="1:9" s="51" customFormat="1" ht="21" x14ac:dyDescent="0.6">
      <c r="G104" s="193"/>
      <c r="H104" s="193"/>
    </row>
    <row r="105" spans="1:9" s="51" customFormat="1" ht="21.75" thickBot="1" x14ac:dyDescent="0.65">
      <c r="G105" s="193"/>
      <c r="H105" s="193"/>
    </row>
    <row r="106" spans="1:9" x14ac:dyDescent="0.5">
      <c r="A106" s="562" t="s">
        <v>665</v>
      </c>
      <c r="B106" s="614" t="s">
        <v>842</v>
      </c>
      <c r="C106" s="547"/>
      <c r="D106" s="548"/>
      <c r="E106" s="548"/>
      <c r="F106" s="548"/>
      <c r="G106" s="599" t="s">
        <v>1</v>
      </c>
      <c r="H106" s="541" t="s">
        <v>868</v>
      </c>
      <c r="I106" s="549" t="s">
        <v>2</v>
      </c>
    </row>
    <row r="107" spans="1:9" ht="18.75" thickBot="1" x14ac:dyDescent="0.55000000000000004">
      <c r="A107" s="565">
        <v>5</v>
      </c>
      <c r="B107" s="539" t="s">
        <v>5</v>
      </c>
      <c r="C107" s="539" t="s">
        <v>4</v>
      </c>
      <c r="D107" s="540" t="s">
        <v>3</v>
      </c>
      <c r="E107" s="540" t="s">
        <v>613</v>
      </c>
      <c r="F107" s="540" t="s">
        <v>614</v>
      </c>
      <c r="G107" s="632" t="s">
        <v>510</v>
      </c>
      <c r="H107" s="543" t="s">
        <v>7</v>
      </c>
      <c r="I107" s="636">
        <f>I83</f>
        <v>45574</v>
      </c>
    </row>
    <row r="108" spans="1:9" ht="18.75" thickBot="1" x14ac:dyDescent="0.55000000000000004">
      <c r="A108" s="551"/>
      <c r="B108" s="552"/>
      <c r="C108" s="552"/>
      <c r="D108" s="553">
        <v>1</v>
      </c>
      <c r="E108" s="553"/>
      <c r="F108" s="553"/>
      <c r="G108" s="632">
        <f>Summary!J85</f>
        <v>25000</v>
      </c>
      <c r="H108" s="633">
        <f>H126</f>
        <v>0.31840019200000003</v>
      </c>
      <c r="I108" s="555"/>
    </row>
    <row r="109" spans="1:9" ht="18.75" thickBot="1" x14ac:dyDescent="0.55000000000000004">
      <c r="A109" s="60"/>
      <c r="B109" s="60"/>
      <c r="C109" s="60"/>
      <c r="D109" s="61"/>
      <c r="E109" s="61"/>
      <c r="F109" s="61"/>
      <c r="G109" s="289"/>
      <c r="H109" s="62"/>
      <c r="I109" s="60"/>
    </row>
    <row r="110" spans="1:9" x14ac:dyDescent="0.5">
      <c r="A110" s="64" t="s">
        <v>605</v>
      </c>
      <c r="B110" s="64" t="s">
        <v>10</v>
      </c>
      <c r="C110" s="64" t="s">
        <v>9</v>
      </c>
      <c r="D110" s="298" t="s">
        <v>8</v>
      </c>
      <c r="E110" s="52" t="s">
        <v>613</v>
      </c>
      <c r="F110" s="52" t="s">
        <v>614</v>
      </c>
      <c r="G110" s="290" t="s">
        <v>11</v>
      </c>
      <c r="H110" s="226" t="s">
        <v>24</v>
      </c>
      <c r="I110" s="65" t="s">
        <v>25</v>
      </c>
    </row>
    <row r="111" spans="1:9" x14ac:dyDescent="0.5">
      <c r="A111" s="84" t="s">
        <v>540</v>
      </c>
      <c r="B111" s="23" t="s">
        <v>651</v>
      </c>
      <c r="C111" s="24" t="s">
        <v>27</v>
      </c>
      <c r="D111" s="25">
        <v>0.1</v>
      </c>
      <c r="E111" s="139">
        <v>0</v>
      </c>
      <c r="F111" s="67">
        <f t="shared" ref="F111:F116" si="12">D111+D111*E111</f>
        <v>0.1</v>
      </c>
      <c r="G111" s="291">
        <v>7200</v>
      </c>
      <c r="H111" s="46">
        <f t="shared" ref="H111:H120" si="13">F111*G111</f>
        <v>720</v>
      </c>
      <c r="I111" s="304">
        <f t="shared" ref="I111:I121" si="14">H111/I$3</f>
        <v>0.34285714285714286</v>
      </c>
    </row>
    <row r="112" spans="1:9" x14ac:dyDescent="0.5">
      <c r="A112" s="84" t="s">
        <v>508</v>
      </c>
      <c r="B112" s="26" t="s">
        <v>498</v>
      </c>
      <c r="C112" s="24" t="s">
        <v>23</v>
      </c>
      <c r="D112" s="25">
        <v>0.08</v>
      </c>
      <c r="E112" s="139">
        <v>0</v>
      </c>
      <c r="F112" s="67">
        <f t="shared" si="12"/>
        <v>0.08</v>
      </c>
      <c r="G112" s="34">
        <v>17945</v>
      </c>
      <c r="H112" s="46">
        <f t="shared" si="13"/>
        <v>1435.6000000000001</v>
      </c>
      <c r="I112" s="304">
        <f t="shared" si="14"/>
        <v>0.68361904761904768</v>
      </c>
    </row>
    <row r="113" spans="1:9" x14ac:dyDescent="0.5">
      <c r="A113" s="21" t="s">
        <v>516</v>
      </c>
      <c r="B113" s="26" t="s">
        <v>664</v>
      </c>
      <c r="C113" s="24" t="s">
        <v>23</v>
      </c>
      <c r="D113" s="25">
        <v>0.04</v>
      </c>
      <c r="E113" s="139">
        <v>0</v>
      </c>
      <c r="F113" s="67">
        <f t="shared" si="12"/>
        <v>0.04</v>
      </c>
      <c r="G113" s="34">
        <v>40000</v>
      </c>
      <c r="H113" s="46">
        <f t="shared" si="13"/>
        <v>1600</v>
      </c>
      <c r="I113" s="304">
        <f t="shared" si="14"/>
        <v>0.76190476190476186</v>
      </c>
    </row>
    <row r="114" spans="1:9" x14ac:dyDescent="0.5">
      <c r="A114" s="21" t="s">
        <v>532</v>
      </c>
      <c r="B114" s="26" t="s">
        <v>699</v>
      </c>
      <c r="C114" s="251" t="s">
        <v>459</v>
      </c>
      <c r="D114" s="25">
        <v>0.01</v>
      </c>
      <c r="E114" s="139">
        <v>0</v>
      </c>
      <c r="F114" s="67">
        <f t="shared" si="12"/>
        <v>0.01</v>
      </c>
      <c r="G114" s="34">
        <v>116000</v>
      </c>
      <c r="H114" s="46">
        <f t="shared" si="13"/>
        <v>1160</v>
      </c>
      <c r="I114" s="304">
        <f t="shared" si="14"/>
        <v>0.55238095238095242</v>
      </c>
    </row>
    <row r="115" spans="1:9" x14ac:dyDescent="0.5">
      <c r="A115" s="72" t="s">
        <v>519</v>
      </c>
      <c r="B115" s="23" t="s">
        <v>617</v>
      </c>
      <c r="C115" s="24" t="s">
        <v>471</v>
      </c>
      <c r="D115" s="25">
        <v>1E-3</v>
      </c>
      <c r="E115" s="139">
        <v>0</v>
      </c>
      <c r="F115" s="67">
        <f t="shared" si="12"/>
        <v>1E-3</v>
      </c>
      <c r="G115" s="34">
        <v>70000</v>
      </c>
      <c r="H115" s="46">
        <f t="shared" si="13"/>
        <v>70</v>
      </c>
      <c r="I115" s="304">
        <f t="shared" si="14"/>
        <v>3.3333333333333333E-2</v>
      </c>
    </row>
    <row r="116" spans="1:9" x14ac:dyDescent="0.5">
      <c r="A116" s="84" t="s">
        <v>472</v>
      </c>
      <c r="B116" s="26" t="s">
        <v>603</v>
      </c>
      <c r="C116" s="24" t="s">
        <v>459</v>
      </c>
      <c r="D116" s="40">
        <v>1</v>
      </c>
      <c r="E116" s="139">
        <v>0</v>
      </c>
      <c r="F116" s="67">
        <f t="shared" si="12"/>
        <v>1</v>
      </c>
      <c r="G116" s="34">
        <v>380</v>
      </c>
      <c r="H116" s="46">
        <f t="shared" si="13"/>
        <v>380</v>
      </c>
      <c r="I116" s="304">
        <f t="shared" si="14"/>
        <v>0.18095238095238095</v>
      </c>
    </row>
    <row r="117" spans="1:9" x14ac:dyDescent="0.5">
      <c r="A117" s="329"/>
      <c r="B117" s="323" t="s">
        <v>630</v>
      </c>
      <c r="C117" s="24"/>
      <c r="D117" s="25"/>
      <c r="E117" s="139"/>
      <c r="F117" s="67"/>
      <c r="G117" s="34"/>
      <c r="H117" s="46"/>
      <c r="I117" s="304"/>
    </row>
    <row r="118" spans="1:9" x14ac:dyDescent="0.5">
      <c r="A118" s="84"/>
      <c r="B118" s="26" t="s">
        <v>699</v>
      </c>
      <c r="C118" s="24" t="s">
        <v>23</v>
      </c>
      <c r="D118" s="25">
        <v>0.01</v>
      </c>
      <c r="E118" s="139">
        <v>0</v>
      </c>
      <c r="F118" s="20">
        <v>0.01</v>
      </c>
      <c r="G118" s="293">
        <v>116000</v>
      </c>
      <c r="H118" s="46">
        <f t="shared" si="13"/>
        <v>1160</v>
      </c>
      <c r="I118" s="304">
        <f t="shared" si="14"/>
        <v>0.55238095238095242</v>
      </c>
    </row>
    <row r="119" spans="1:9" x14ac:dyDescent="0.5">
      <c r="A119" s="21" t="s">
        <v>507</v>
      </c>
      <c r="B119" s="21" t="s">
        <v>657</v>
      </c>
      <c r="C119" s="19" t="s">
        <v>18</v>
      </c>
      <c r="D119" s="20">
        <v>1</v>
      </c>
      <c r="E119" s="86">
        <v>0</v>
      </c>
      <c r="F119" s="67">
        <f>D119+D119*E119</f>
        <v>1</v>
      </c>
      <c r="G119" s="293">
        <v>500</v>
      </c>
      <c r="H119" s="46">
        <f t="shared" si="13"/>
        <v>500</v>
      </c>
      <c r="I119" s="304">
        <f t="shared" si="14"/>
        <v>0.23809523809523808</v>
      </c>
    </row>
    <row r="120" spans="1:9" x14ac:dyDescent="0.5">
      <c r="A120" s="237"/>
      <c r="B120" s="21"/>
      <c r="C120" s="19"/>
      <c r="D120" s="20"/>
      <c r="E120" s="86"/>
      <c r="F120" s="20"/>
      <c r="G120" s="291"/>
      <c r="H120" s="46">
        <f t="shared" si="13"/>
        <v>0</v>
      </c>
      <c r="I120" s="304">
        <f t="shared" si="14"/>
        <v>0</v>
      </c>
    </row>
    <row r="121" spans="1:9" ht="18.75" thickBot="1" x14ac:dyDescent="0.55000000000000004">
      <c r="A121" s="151"/>
      <c r="B121" s="252"/>
      <c r="C121" s="252"/>
      <c r="D121" s="330"/>
      <c r="E121" s="331"/>
      <c r="F121" s="331"/>
      <c r="G121" s="332"/>
      <c r="H121" s="333"/>
      <c r="I121" s="304">
        <f t="shared" si="14"/>
        <v>0</v>
      </c>
    </row>
    <row r="122" spans="1:9" x14ac:dyDescent="0.5">
      <c r="A122" s="60"/>
      <c r="B122" s="224" t="s">
        <v>4</v>
      </c>
      <c r="C122" s="64"/>
      <c r="D122" s="52"/>
      <c r="E122" s="52"/>
      <c r="F122" s="52"/>
      <c r="G122" s="290"/>
      <c r="H122" s="226">
        <f>SUM(H111:H121)</f>
        <v>7025.6</v>
      </c>
      <c r="I122" s="197">
        <f>SUM(I111:I121)</f>
        <v>3.3455238095238098</v>
      </c>
    </row>
    <row r="123" spans="1:9" x14ac:dyDescent="0.5">
      <c r="A123" s="60"/>
      <c r="B123" s="101" t="s">
        <v>14</v>
      </c>
      <c r="C123" s="22"/>
      <c r="D123" s="54"/>
      <c r="E123" s="54"/>
      <c r="F123" s="54"/>
      <c r="G123" s="291"/>
      <c r="H123" s="73">
        <f>H122/1</f>
        <v>7025.6</v>
      </c>
      <c r="I123" s="267"/>
    </row>
    <row r="124" spans="1:9" x14ac:dyDescent="0.5">
      <c r="A124" s="60"/>
      <c r="B124" s="101" t="s">
        <v>453</v>
      </c>
      <c r="C124" s="22"/>
      <c r="D124" s="54"/>
      <c r="E124" s="54"/>
      <c r="F124" s="54"/>
      <c r="G124" s="291"/>
      <c r="H124" s="104">
        <f>G108</f>
        <v>25000</v>
      </c>
      <c r="I124" s="104"/>
    </row>
    <row r="125" spans="1:9" x14ac:dyDescent="0.5">
      <c r="A125" s="60"/>
      <c r="B125" s="101" t="s">
        <v>455</v>
      </c>
      <c r="C125" s="22"/>
      <c r="D125" s="54"/>
      <c r="E125" s="54"/>
      <c r="F125" s="54"/>
      <c r="G125" s="291"/>
      <c r="H125" s="104">
        <f>H124/113.3%</f>
        <v>22065.31332744925</v>
      </c>
      <c r="I125" s="104"/>
    </row>
    <row r="126" spans="1:9" x14ac:dyDescent="0.5">
      <c r="A126" s="60"/>
      <c r="B126" s="101" t="s">
        <v>16</v>
      </c>
      <c r="C126" s="22"/>
      <c r="D126" s="54"/>
      <c r="E126" s="54"/>
      <c r="F126" s="54"/>
      <c r="G126" s="291"/>
      <c r="H126" s="588">
        <f>H123/H125</f>
        <v>0.31840019200000003</v>
      </c>
      <c r="I126" s="588"/>
    </row>
    <row r="127" spans="1:9" x14ac:dyDescent="0.5">
      <c r="A127" s="60"/>
      <c r="B127" s="101"/>
      <c r="C127" s="22"/>
      <c r="D127" s="54"/>
      <c r="E127" s="54"/>
      <c r="F127" s="54"/>
      <c r="G127" s="291"/>
      <c r="H127" s="73"/>
      <c r="I127" s="171"/>
    </row>
    <row r="128" spans="1:9" ht="18.75" thickBot="1" x14ac:dyDescent="0.55000000000000004">
      <c r="A128" s="60"/>
      <c r="B128" s="150"/>
      <c r="C128" s="151"/>
      <c r="D128" s="57"/>
      <c r="E128" s="57"/>
      <c r="F128" s="57"/>
      <c r="G128" s="294"/>
      <c r="H128" s="152"/>
      <c r="I128" s="153"/>
    </row>
    <row r="129" spans="1:9" ht="20.100000000000001" customHeight="1" x14ac:dyDescent="0.5">
      <c r="A129" s="60"/>
      <c r="B129" s="75"/>
      <c r="C129" s="60"/>
      <c r="D129" s="116"/>
      <c r="E129" s="116"/>
      <c r="F129" s="116"/>
      <c r="G129" s="328"/>
      <c r="H129" s="278"/>
      <c r="I129" s="60"/>
    </row>
    <row r="130" spans="1:9" ht="20.100000000000001" customHeight="1" x14ac:dyDescent="0.5">
      <c r="B130" s="60"/>
      <c r="C130" s="60"/>
      <c r="D130" s="116"/>
      <c r="E130" s="116"/>
      <c r="F130" s="116"/>
      <c r="G130" s="328"/>
      <c r="H130" s="278"/>
      <c r="I130" s="334"/>
    </row>
    <row r="131" spans="1:9" ht="20.100000000000001" customHeight="1" x14ac:dyDescent="0.5">
      <c r="A131" s="60"/>
      <c r="B131" s="75"/>
      <c r="C131" s="60"/>
      <c r="D131" s="116"/>
      <c r="E131" s="116"/>
      <c r="F131" s="116"/>
      <c r="G131" s="328"/>
      <c r="H131" s="278"/>
      <c r="I131" s="334"/>
    </row>
    <row r="139" spans="1:9" x14ac:dyDescent="0.5">
      <c r="D139" s="77"/>
      <c r="E139" s="77"/>
      <c r="F139" s="77"/>
      <c r="G139" s="287"/>
      <c r="H139" s="115"/>
    </row>
    <row r="140" spans="1:9" x14ac:dyDescent="0.5">
      <c r="D140" s="77"/>
      <c r="E140" s="77"/>
      <c r="F140" s="77"/>
      <c r="G140" s="287"/>
      <c r="H140" s="115"/>
    </row>
    <row r="141" spans="1:9" x14ac:dyDescent="0.5">
      <c r="D141" s="77"/>
      <c r="E141" s="77"/>
      <c r="F141" s="77"/>
      <c r="G141" s="287"/>
      <c r="H141" s="115"/>
    </row>
    <row r="142" spans="1:9" x14ac:dyDescent="0.5">
      <c r="D142" s="77"/>
      <c r="E142" s="77"/>
      <c r="F142" s="77"/>
      <c r="G142" s="287"/>
      <c r="H142" s="115"/>
    </row>
    <row r="143" spans="1:9" x14ac:dyDescent="0.5">
      <c r="D143" s="77"/>
      <c r="E143" s="77"/>
      <c r="F143" s="77"/>
      <c r="G143" s="287"/>
      <c r="H143" s="115"/>
    </row>
    <row r="144" spans="1:9" x14ac:dyDescent="0.5">
      <c r="D144" s="77"/>
      <c r="E144" s="77"/>
      <c r="F144" s="77"/>
      <c r="G144" s="287"/>
      <c r="H144" s="115"/>
    </row>
    <row r="145" spans="4:8" x14ac:dyDescent="0.5">
      <c r="D145" s="77"/>
      <c r="E145" s="77"/>
      <c r="F145" s="77"/>
      <c r="G145" s="287"/>
      <c r="H145" s="115"/>
    </row>
    <row r="146" spans="4:8" x14ac:dyDescent="0.5">
      <c r="D146" s="77"/>
      <c r="E146" s="77"/>
      <c r="F146" s="77"/>
      <c r="G146" s="287"/>
      <c r="H146" s="115"/>
    </row>
    <row r="147" spans="4:8" x14ac:dyDescent="0.5">
      <c r="D147" s="77"/>
      <c r="E147" s="77"/>
      <c r="F147" s="77"/>
      <c r="G147" s="287"/>
      <c r="H147" s="115"/>
    </row>
    <row r="148" spans="4:8" x14ac:dyDescent="0.5">
      <c r="D148" s="77"/>
      <c r="E148" s="77"/>
      <c r="F148" s="77"/>
      <c r="G148" s="287"/>
      <c r="H148" s="115"/>
    </row>
    <row r="149" spans="4:8" x14ac:dyDescent="0.5">
      <c r="D149" s="77"/>
      <c r="E149" s="77"/>
      <c r="F149" s="77"/>
      <c r="G149" s="287"/>
      <c r="H149" s="115"/>
    </row>
    <row r="150" spans="4:8" x14ac:dyDescent="0.5">
      <c r="D150" s="77"/>
      <c r="E150" s="77"/>
      <c r="F150" s="77"/>
      <c r="G150" s="287"/>
      <c r="H150" s="115"/>
    </row>
    <row r="151" spans="4:8" x14ac:dyDescent="0.5">
      <c r="D151" s="77"/>
      <c r="E151" s="77"/>
      <c r="F151" s="77"/>
      <c r="G151" s="287"/>
      <c r="H151" s="115"/>
    </row>
    <row r="152" spans="4:8" x14ac:dyDescent="0.5">
      <c r="D152" s="77"/>
      <c r="E152" s="77"/>
      <c r="F152" s="77"/>
      <c r="G152" s="287"/>
      <c r="H152" s="115"/>
    </row>
    <row r="153" spans="4:8" x14ac:dyDescent="0.5">
      <c r="D153" s="77"/>
      <c r="E153" s="77"/>
      <c r="F153" s="77"/>
      <c r="G153" s="287"/>
      <c r="H153" s="115"/>
    </row>
    <row r="154" spans="4:8" x14ac:dyDescent="0.5">
      <c r="D154" s="77"/>
      <c r="E154" s="77"/>
      <c r="F154" s="77"/>
      <c r="G154" s="287"/>
      <c r="H154" s="115"/>
    </row>
    <row r="155" spans="4:8" x14ac:dyDescent="0.5">
      <c r="D155" s="77"/>
      <c r="E155" s="77"/>
      <c r="F155" s="77"/>
      <c r="G155" s="287"/>
      <c r="H155" s="115"/>
    </row>
    <row r="156" spans="4:8" x14ac:dyDescent="0.5">
      <c r="D156" s="77"/>
      <c r="E156" s="77"/>
      <c r="F156" s="77"/>
      <c r="G156" s="287"/>
      <c r="H156" s="115"/>
    </row>
    <row r="157" spans="4:8" x14ac:dyDescent="0.5">
      <c r="D157" s="77"/>
      <c r="E157" s="77"/>
      <c r="F157" s="77"/>
      <c r="G157" s="287"/>
      <c r="H157" s="115"/>
    </row>
    <row r="158" spans="4:8" x14ac:dyDescent="0.5">
      <c r="D158" s="77"/>
      <c r="E158" s="77"/>
      <c r="F158" s="77"/>
      <c r="G158" s="287"/>
      <c r="H158" s="115"/>
    </row>
  </sheetData>
  <mergeCells count="2">
    <mergeCell ref="A4:I4"/>
    <mergeCell ref="A2:I2"/>
  </mergeCells>
  <printOptions horizontalCentered="1"/>
  <pageMargins left="0" right="0" top="0.5" bottom="0" header="0.3" footer="0.3"/>
  <pageSetup paperSize="9"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>
    <tabColor theme="3" tint="0.39997558519241921"/>
  </sheetPr>
  <dimension ref="A1:U167"/>
  <sheetViews>
    <sheetView topLeftCell="A157" zoomScale="90" zoomScaleNormal="90" workbookViewId="0">
      <selection activeCell="B107" sqref="B107:D107"/>
    </sheetView>
  </sheetViews>
  <sheetFormatPr defaultColWidth="9.140625" defaultRowHeight="21.75" x14ac:dyDescent="0.6"/>
  <cols>
    <col min="1" max="1" width="14.140625" style="74" customWidth="1"/>
    <col min="2" max="2" width="32.42578125" style="74" customWidth="1"/>
    <col min="3" max="3" width="11.7109375" style="74" customWidth="1"/>
    <col min="4" max="6" width="11.5703125" style="74" customWidth="1"/>
    <col min="7" max="7" width="19.85546875" style="189" customWidth="1"/>
    <col min="8" max="8" width="17.7109375" style="189" customWidth="1"/>
    <col min="9" max="9" width="17.28515625" style="74" customWidth="1"/>
    <col min="10" max="16384" width="9.140625" style="241"/>
  </cols>
  <sheetData>
    <row r="1" spans="1:10" ht="17.25" customHeight="1" x14ac:dyDescent="0.6"/>
    <row r="2" spans="1:10" x14ac:dyDescent="0.6">
      <c r="A2" s="947" t="s">
        <v>606</v>
      </c>
      <c r="B2" s="947"/>
      <c r="C2" s="947"/>
      <c r="D2" s="947"/>
      <c r="E2" s="947"/>
      <c r="F2" s="947"/>
      <c r="G2" s="947"/>
      <c r="H2" s="947"/>
      <c r="I2" s="947"/>
    </row>
    <row r="3" spans="1:10" x14ac:dyDescent="0.6">
      <c r="D3" s="188"/>
      <c r="E3" s="188"/>
      <c r="F3" s="188"/>
      <c r="H3" s="190"/>
      <c r="I3" s="60">
        <v>2100</v>
      </c>
    </row>
    <row r="4" spans="1:10" s="246" customFormat="1" ht="22.5" thickBot="1" x14ac:dyDescent="0.65">
      <c r="A4" s="937" t="s">
        <v>0</v>
      </c>
      <c r="B4" s="937"/>
      <c r="C4" s="937"/>
      <c r="D4" s="937"/>
      <c r="E4" s="937"/>
      <c r="F4" s="937"/>
      <c r="G4" s="937"/>
      <c r="H4" s="937"/>
      <c r="I4" s="937"/>
    </row>
    <row r="5" spans="1:10" s="246" customFormat="1" x14ac:dyDescent="0.6">
      <c r="A5" s="558" t="s">
        <v>738</v>
      </c>
      <c r="B5" s="615" t="s">
        <v>843</v>
      </c>
      <c r="C5" s="547"/>
      <c r="D5" s="548"/>
      <c r="E5" s="548"/>
      <c r="F5" s="548"/>
      <c r="G5" s="548" t="s">
        <v>1</v>
      </c>
      <c r="H5" s="541" t="s">
        <v>868</v>
      </c>
      <c r="I5" s="549" t="s">
        <v>2</v>
      </c>
      <c r="J5" s="246">
        <v>2</v>
      </c>
    </row>
    <row r="6" spans="1:10" s="246" customFormat="1" x14ac:dyDescent="0.6">
      <c r="A6" s="565">
        <v>1</v>
      </c>
      <c r="B6" s="539" t="s">
        <v>5</v>
      </c>
      <c r="C6" s="539" t="s">
        <v>4</v>
      </c>
      <c r="D6" s="540" t="s">
        <v>3</v>
      </c>
      <c r="E6" s="540" t="s">
        <v>613</v>
      </c>
      <c r="F6" s="540" t="s">
        <v>614</v>
      </c>
      <c r="G6" s="540" t="s">
        <v>510</v>
      </c>
      <c r="H6" s="543" t="s">
        <v>7</v>
      </c>
      <c r="I6" s="636">
        <v>45574</v>
      </c>
    </row>
    <row r="7" spans="1:10" s="246" customFormat="1" ht="22.5" thickBot="1" x14ac:dyDescent="0.65">
      <c r="A7" s="551"/>
      <c r="B7" s="552"/>
      <c r="C7" s="552"/>
      <c r="D7" s="553">
        <v>1</v>
      </c>
      <c r="E7" s="553"/>
      <c r="F7" s="553"/>
      <c r="G7" s="553">
        <f>Summary!J88</f>
        <v>25000</v>
      </c>
      <c r="H7" s="633">
        <f>H39</f>
        <v>0.33483095799999996</v>
      </c>
      <c r="I7" s="555"/>
    </row>
    <row r="8" spans="1:10" s="246" customFormat="1" ht="22.5" thickBot="1" x14ac:dyDescent="0.65">
      <c r="A8" s="124"/>
      <c r="B8" s="124"/>
      <c r="C8" s="124"/>
      <c r="D8" s="125"/>
      <c r="E8" s="125"/>
      <c r="F8" s="125"/>
      <c r="G8" s="125"/>
      <c r="H8" s="126"/>
      <c r="I8" s="124"/>
    </row>
    <row r="9" spans="1:10" s="246" customFormat="1" x14ac:dyDescent="0.6">
      <c r="A9" s="194" t="s">
        <v>904</v>
      </c>
      <c r="B9" s="166" t="s">
        <v>10</v>
      </c>
      <c r="C9" s="166" t="s">
        <v>9</v>
      </c>
      <c r="D9" s="117" t="s">
        <v>8</v>
      </c>
      <c r="E9" s="117" t="s">
        <v>613</v>
      </c>
      <c r="F9" s="117" t="s">
        <v>614</v>
      </c>
      <c r="G9" s="117" t="s">
        <v>11</v>
      </c>
      <c r="H9" s="118" t="s">
        <v>12</v>
      </c>
      <c r="I9" s="195" t="s">
        <v>12</v>
      </c>
    </row>
    <row r="10" spans="1:10" s="246" customFormat="1" x14ac:dyDescent="0.6">
      <c r="A10" s="494">
        <v>1</v>
      </c>
      <c r="B10" s="742" t="s">
        <v>618</v>
      </c>
      <c r="C10" s="22" t="s">
        <v>22</v>
      </c>
      <c r="D10" s="20">
        <v>0.04</v>
      </c>
      <c r="E10" s="86">
        <v>0</v>
      </c>
      <c r="F10" s="67">
        <f t="shared" ref="F10:F17" si="0">D10+D10*E10</f>
        <v>0.04</v>
      </c>
      <c r="G10" s="35">
        <v>4375</v>
      </c>
      <c r="H10" s="68">
        <f t="shared" ref="H10:H34" si="1">F10*G10</f>
        <v>175</v>
      </c>
      <c r="I10" s="161">
        <f t="shared" ref="I10:I33" si="2">H10/I$3</f>
        <v>8.3333333333333329E-2</v>
      </c>
    </row>
    <row r="11" spans="1:10" s="246" customFormat="1" x14ac:dyDescent="0.6">
      <c r="A11" s="493">
        <v>2</v>
      </c>
      <c r="B11" s="21" t="s">
        <v>700</v>
      </c>
      <c r="C11" s="19" t="s">
        <v>459</v>
      </c>
      <c r="D11" s="20">
        <v>1.4999999999999999E-2</v>
      </c>
      <c r="E11" s="86">
        <v>0</v>
      </c>
      <c r="F11" s="67">
        <f t="shared" si="0"/>
        <v>1.4999999999999999E-2</v>
      </c>
      <c r="G11" s="35">
        <v>2500</v>
      </c>
      <c r="H11" s="68">
        <f t="shared" si="1"/>
        <v>37.5</v>
      </c>
      <c r="I11" s="161">
        <f t="shared" si="2"/>
        <v>1.7857142857142856E-2</v>
      </c>
    </row>
    <row r="12" spans="1:10" s="246" customFormat="1" x14ac:dyDescent="0.6">
      <c r="A12" s="494">
        <v>3</v>
      </c>
      <c r="B12" s="21" t="s">
        <v>529</v>
      </c>
      <c r="C12" s="24" t="s">
        <v>23</v>
      </c>
      <c r="D12" s="25">
        <v>1E-3</v>
      </c>
      <c r="E12" s="86">
        <v>0</v>
      </c>
      <c r="F12" s="67">
        <f t="shared" si="0"/>
        <v>1E-3</v>
      </c>
      <c r="G12" s="143">
        <v>24000</v>
      </c>
      <c r="H12" s="68">
        <f t="shared" si="1"/>
        <v>24</v>
      </c>
      <c r="I12" s="161">
        <f t="shared" si="2"/>
        <v>1.1428571428571429E-2</v>
      </c>
    </row>
    <row r="13" spans="1:10" s="246" customFormat="1" x14ac:dyDescent="0.6">
      <c r="A13" s="493">
        <v>4</v>
      </c>
      <c r="B13" s="23" t="s">
        <v>631</v>
      </c>
      <c r="C13" s="24" t="s">
        <v>463</v>
      </c>
      <c r="D13" s="25">
        <v>1E-3</v>
      </c>
      <c r="E13" s="86">
        <v>0</v>
      </c>
      <c r="F13" s="67">
        <f t="shared" si="0"/>
        <v>1E-3</v>
      </c>
      <c r="G13" s="35">
        <v>16500</v>
      </c>
      <c r="H13" s="68">
        <f t="shared" si="1"/>
        <v>16.5</v>
      </c>
      <c r="I13" s="161">
        <f t="shared" si="2"/>
        <v>7.8571428571428577E-3</v>
      </c>
    </row>
    <row r="14" spans="1:10" s="246" customFormat="1" x14ac:dyDescent="0.6">
      <c r="A14" s="494">
        <v>5</v>
      </c>
      <c r="B14" s="26" t="s">
        <v>612</v>
      </c>
      <c r="C14" s="24" t="s">
        <v>471</v>
      </c>
      <c r="D14" s="25">
        <v>3.0000000000000001E-3</v>
      </c>
      <c r="E14" s="86">
        <v>0</v>
      </c>
      <c r="F14" s="67">
        <f t="shared" si="0"/>
        <v>3.0000000000000001E-3</v>
      </c>
      <c r="G14" s="35">
        <v>5800</v>
      </c>
      <c r="H14" s="68">
        <f t="shared" si="1"/>
        <v>17.400000000000002</v>
      </c>
      <c r="I14" s="161">
        <f t="shared" si="2"/>
        <v>8.2857142857142869E-3</v>
      </c>
    </row>
    <row r="15" spans="1:10" s="246" customFormat="1" x14ac:dyDescent="0.6">
      <c r="A15" s="493">
        <v>6</v>
      </c>
      <c r="B15" s="26" t="s">
        <v>603</v>
      </c>
      <c r="C15" s="24" t="s">
        <v>19</v>
      </c>
      <c r="D15" s="743">
        <v>0.5</v>
      </c>
      <c r="E15" s="86">
        <v>0</v>
      </c>
      <c r="F15" s="67">
        <f t="shared" si="0"/>
        <v>0.5</v>
      </c>
      <c r="G15" s="35">
        <v>380</v>
      </c>
      <c r="H15" s="68">
        <f t="shared" si="1"/>
        <v>190</v>
      </c>
      <c r="I15" s="161">
        <f t="shared" si="2"/>
        <v>9.0476190476190474E-2</v>
      </c>
    </row>
    <row r="16" spans="1:10" s="246" customFormat="1" x14ac:dyDescent="0.6">
      <c r="A16" s="494">
        <v>7</v>
      </c>
      <c r="B16" s="26" t="s">
        <v>632</v>
      </c>
      <c r="C16" s="24" t="s">
        <v>463</v>
      </c>
      <c r="D16" s="25">
        <v>2E-3</v>
      </c>
      <c r="E16" s="86">
        <v>0</v>
      </c>
      <c r="F16" s="67">
        <f t="shared" si="0"/>
        <v>2E-3</v>
      </c>
      <c r="G16" s="35">
        <v>1800</v>
      </c>
      <c r="H16" s="68">
        <f t="shared" si="1"/>
        <v>3.6</v>
      </c>
      <c r="I16" s="161">
        <f t="shared" si="2"/>
        <v>1.7142857142857144E-3</v>
      </c>
    </row>
    <row r="17" spans="1:9" s="246" customFormat="1" x14ac:dyDescent="0.6">
      <c r="A17" s="493">
        <v>8</v>
      </c>
      <c r="B17" s="23" t="s">
        <v>633</v>
      </c>
      <c r="C17" s="24" t="s">
        <v>459</v>
      </c>
      <c r="D17" s="25">
        <v>0.1</v>
      </c>
      <c r="E17" s="86">
        <v>0</v>
      </c>
      <c r="F17" s="67">
        <f t="shared" si="0"/>
        <v>0.1</v>
      </c>
      <c r="G17" s="35">
        <v>550</v>
      </c>
      <c r="H17" s="68">
        <f t="shared" si="1"/>
        <v>55</v>
      </c>
      <c r="I17" s="161">
        <f t="shared" si="2"/>
        <v>2.6190476190476191E-2</v>
      </c>
    </row>
    <row r="18" spans="1:9" s="246" customFormat="1" x14ac:dyDescent="0.6">
      <c r="A18" s="145"/>
      <c r="B18" s="23"/>
      <c r="C18" s="24"/>
      <c r="D18" s="25"/>
      <c r="E18" s="86"/>
      <c r="F18" s="67"/>
      <c r="G18" s="35"/>
      <c r="H18" s="68">
        <f t="shared" si="1"/>
        <v>0</v>
      </c>
      <c r="I18" s="161">
        <f t="shared" si="2"/>
        <v>0</v>
      </c>
    </row>
    <row r="19" spans="1:9" s="246" customFormat="1" x14ac:dyDescent="0.6">
      <c r="A19" s="145"/>
      <c r="B19" s="323" t="s">
        <v>634</v>
      </c>
      <c r="C19" s="19"/>
      <c r="D19" s="20"/>
      <c r="E19" s="86"/>
      <c r="F19" s="67"/>
      <c r="G19" s="35"/>
      <c r="H19" s="68">
        <f t="shared" si="1"/>
        <v>0</v>
      </c>
      <c r="I19" s="161">
        <f t="shared" si="2"/>
        <v>0</v>
      </c>
    </row>
    <row r="20" spans="1:9" s="246" customFormat="1" x14ac:dyDescent="0.6">
      <c r="A20" s="744">
        <v>9</v>
      </c>
      <c r="B20" s="23" t="s">
        <v>695</v>
      </c>
      <c r="C20" s="19" t="s">
        <v>23</v>
      </c>
      <c r="D20" s="25">
        <v>0.1</v>
      </c>
      <c r="E20" s="86">
        <v>0.19</v>
      </c>
      <c r="F20" s="67">
        <f t="shared" ref="F20:F25" si="3">D20+D20*E20</f>
        <v>0.11900000000000001</v>
      </c>
      <c r="G20" s="37">
        <f>22000/1.6</f>
        <v>13750</v>
      </c>
      <c r="H20" s="200">
        <f t="shared" si="1"/>
        <v>1636.2500000000002</v>
      </c>
      <c r="I20" s="161">
        <f t="shared" si="2"/>
        <v>0.77916666666666679</v>
      </c>
    </row>
    <row r="21" spans="1:9" s="246" customFormat="1" x14ac:dyDescent="0.6">
      <c r="A21" s="744">
        <v>10</v>
      </c>
      <c r="B21" s="89" t="s">
        <v>502</v>
      </c>
      <c r="C21" s="19" t="s">
        <v>596</v>
      </c>
      <c r="D21" s="25">
        <v>0.01</v>
      </c>
      <c r="E21" s="86">
        <v>0.2</v>
      </c>
      <c r="F21" s="67">
        <f t="shared" si="3"/>
        <v>1.2E-2</v>
      </c>
      <c r="G21" s="35">
        <v>4500</v>
      </c>
      <c r="H21" s="122">
        <f t="shared" si="1"/>
        <v>54</v>
      </c>
      <c r="I21" s="163">
        <f t="shared" si="2"/>
        <v>2.5714285714285714E-2</v>
      </c>
    </row>
    <row r="22" spans="1:9" s="488" customFormat="1" x14ac:dyDescent="0.6">
      <c r="A22" s="745">
        <v>11</v>
      </c>
      <c r="B22" s="746" t="s">
        <v>645</v>
      </c>
      <c r="C22" s="522" t="s">
        <v>23</v>
      </c>
      <c r="D22" s="523">
        <v>1E-3</v>
      </c>
      <c r="E22" s="521">
        <v>0</v>
      </c>
      <c r="F22" s="477">
        <f t="shared" si="3"/>
        <v>1E-3</v>
      </c>
      <c r="G22" s="478"/>
      <c r="H22" s="747">
        <f t="shared" si="1"/>
        <v>0</v>
      </c>
      <c r="I22" s="748">
        <f t="shared" si="2"/>
        <v>0</v>
      </c>
    </row>
    <row r="23" spans="1:9" s="246" customFormat="1" x14ac:dyDescent="0.6">
      <c r="A23" s="744">
        <v>12</v>
      </c>
      <c r="B23" s="26" t="s">
        <v>603</v>
      </c>
      <c r="C23" s="24" t="s">
        <v>19</v>
      </c>
      <c r="D23" s="749">
        <v>0.5</v>
      </c>
      <c r="E23" s="139">
        <v>0</v>
      </c>
      <c r="F23" s="32">
        <f t="shared" si="3"/>
        <v>0.5</v>
      </c>
      <c r="G23" s="35">
        <v>380</v>
      </c>
      <c r="H23" s="122">
        <f t="shared" si="1"/>
        <v>190</v>
      </c>
      <c r="I23" s="163">
        <f t="shared" si="2"/>
        <v>9.0476190476190474E-2</v>
      </c>
    </row>
    <row r="24" spans="1:9" s="246" customFormat="1" x14ac:dyDescent="0.6">
      <c r="A24" s="744">
        <v>13</v>
      </c>
      <c r="B24" s="23" t="s">
        <v>617</v>
      </c>
      <c r="C24" s="24" t="s">
        <v>471</v>
      </c>
      <c r="D24" s="25">
        <v>1E-3</v>
      </c>
      <c r="E24" s="139">
        <v>0</v>
      </c>
      <c r="F24" s="25">
        <f t="shared" si="3"/>
        <v>1E-3</v>
      </c>
      <c r="G24" s="35">
        <v>70000</v>
      </c>
      <c r="H24" s="122">
        <f t="shared" si="1"/>
        <v>70</v>
      </c>
      <c r="I24" s="163">
        <f t="shared" si="2"/>
        <v>3.3333333333333333E-2</v>
      </c>
    </row>
    <row r="25" spans="1:9" s="246" customFormat="1" x14ac:dyDescent="0.6">
      <c r="A25" s="744">
        <v>14</v>
      </c>
      <c r="B25" s="38" t="s">
        <v>610</v>
      </c>
      <c r="C25" s="275" t="s">
        <v>463</v>
      </c>
      <c r="D25" s="32">
        <v>2E-3</v>
      </c>
      <c r="E25" s="136">
        <v>0</v>
      </c>
      <c r="F25" s="32">
        <f t="shared" si="3"/>
        <v>2E-3</v>
      </c>
      <c r="G25" s="35">
        <v>1200</v>
      </c>
      <c r="H25" s="122">
        <f t="shared" si="1"/>
        <v>2.4</v>
      </c>
      <c r="I25" s="163">
        <f t="shared" si="2"/>
        <v>1.1428571428571427E-3</v>
      </c>
    </row>
    <row r="26" spans="1:9" s="246" customFormat="1" x14ac:dyDescent="0.6">
      <c r="A26" s="145"/>
      <c r="B26" s="89"/>
      <c r="C26" s="19"/>
      <c r="D26" s="20"/>
      <c r="E26" s="86"/>
      <c r="F26" s="67"/>
      <c r="G26" s="35"/>
      <c r="H26" s="122">
        <f t="shared" si="1"/>
        <v>0</v>
      </c>
      <c r="I26" s="163">
        <f t="shared" si="2"/>
        <v>0</v>
      </c>
    </row>
    <row r="27" spans="1:9" s="246" customFormat="1" x14ac:dyDescent="0.6">
      <c r="A27" s="145"/>
      <c r="B27" s="323" t="s">
        <v>635</v>
      </c>
      <c r="C27" s="19"/>
      <c r="D27" s="20"/>
      <c r="E27" s="86"/>
      <c r="F27" s="67"/>
      <c r="G27" s="35"/>
      <c r="H27" s="122">
        <f t="shared" si="1"/>
        <v>0</v>
      </c>
      <c r="I27" s="163">
        <f t="shared" si="2"/>
        <v>0</v>
      </c>
    </row>
    <row r="28" spans="1:9" s="246" customFormat="1" x14ac:dyDescent="0.6">
      <c r="A28" s="744">
        <v>15</v>
      </c>
      <c r="B28" s="23" t="s">
        <v>703</v>
      </c>
      <c r="C28" s="19" t="s">
        <v>21</v>
      </c>
      <c r="D28" s="25">
        <v>0.05</v>
      </c>
      <c r="E28" s="86">
        <v>0</v>
      </c>
      <c r="F28" s="67">
        <f t="shared" ref="F28:F33" si="4">D28+D28*E28</f>
        <v>0.05</v>
      </c>
      <c r="G28" s="35">
        <v>90000</v>
      </c>
      <c r="H28" s="122">
        <f t="shared" si="1"/>
        <v>4500</v>
      </c>
      <c r="I28" s="163">
        <f t="shared" si="2"/>
        <v>2.1428571428571428</v>
      </c>
    </row>
    <row r="29" spans="1:9" s="246" customFormat="1" x14ac:dyDescent="0.6">
      <c r="A29" s="744">
        <v>16</v>
      </c>
      <c r="B29" s="23" t="s">
        <v>625</v>
      </c>
      <c r="C29" s="19" t="s">
        <v>471</v>
      </c>
      <c r="D29" s="25">
        <v>0.01</v>
      </c>
      <c r="E29" s="86">
        <v>0.3</v>
      </c>
      <c r="F29" s="67">
        <f t="shared" si="4"/>
        <v>1.3000000000000001E-2</v>
      </c>
      <c r="G29" s="35">
        <v>7000</v>
      </c>
      <c r="H29" s="122">
        <f t="shared" si="1"/>
        <v>91.000000000000014</v>
      </c>
      <c r="I29" s="163">
        <f t="shared" si="2"/>
        <v>4.3333333333333342E-2</v>
      </c>
    </row>
    <row r="30" spans="1:9" s="246" customFormat="1" x14ac:dyDescent="0.6">
      <c r="A30" s="744">
        <v>17</v>
      </c>
      <c r="B30" s="89" t="s">
        <v>502</v>
      </c>
      <c r="C30" s="19" t="s">
        <v>471</v>
      </c>
      <c r="D30" s="25">
        <v>0.01</v>
      </c>
      <c r="E30" s="86">
        <v>0.2</v>
      </c>
      <c r="F30" s="67">
        <f t="shared" si="4"/>
        <v>1.2E-2</v>
      </c>
      <c r="G30" s="35">
        <v>4500</v>
      </c>
      <c r="H30" s="122">
        <f t="shared" si="1"/>
        <v>54</v>
      </c>
      <c r="I30" s="163">
        <f t="shared" si="2"/>
        <v>2.5714285714285714E-2</v>
      </c>
    </row>
    <row r="31" spans="1:9" s="246" customFormat="1" x14ac:dyDescent="0.6">
      <c r="A31" s="744">
        <v>18</v>
      </c>
      <c r="B31" s="23" t="s">
        <v>636</v>
      </c>
      <c r="C31" s="24" t="s">
        <v>23</v>
      </c>
      <c r="D31" s="25">
        <v>3.0000000000000001E-3</v>
      </c>
      <c r="E31" s="139">
        <v>0</v>
      </c>
      <c r="F31" s="32">
        <f t="shared" si="4"/>
        <v>3.0000000000000001E-3</v>
      </c>
      <c r="G31" s="35">
        <v>9000</v>
      </c>
      <c r="H31" s="122">
        <f t="shared" si="1"/>
        <v>27</v>
      </c>
      <c r="I31" s="163">
        <f t="shared" si="2"/>
        <v>1.2857142857142857E-2</v>
      </c>
    </row>
    <row r="32" spans="1:9" s="246" customFormat="1" x14ac:dyDescent="0.6">
      <c r="A32" s="744">
        <v>19</v>
      </c>
      <c r="B32" s="23" t="s">
        <v>637</v>
      </c>
      <c r="C32" s="24" t="s">
        <v>20</v>
      </c>
      <c r="D32" s="25">
        <v>0.02</v>
      </c>
      <c r="E32" s="139">
        <v>0.05</v>
      </c>
      <c r="F32" s="32">
        <f t="shared" si="4"/>
        <v>2.1000000000000001E-2</v>
      </c>
      <c r="G32" s="35">
        <v>500</v>
      </c>
      <c r="H32" s="122">
        <f t="shared" si="1"/>
        <v>10.5</v>
      </c>
      <c r="I32" s="163">
        <f t="shared" si="2"/>
        <v>5.0000000000000001E-3</v>
      </c>
    </row>
    <row r="33" spans="1:10" s="246" customFormat="1" x14ac:dyDescent="0.6">
      <c r="A33" s="744">
        <v>20</v>
      </c>
      <c r="B33" s="23" t="s">
        <v>655</v>
      </c>
      <c r="C33" s="24" t="s">
        <v>596</v>
      </c>
      <c r="D33" s="25">
        <v>0.03</v>
      </c>
      <c r="E33" s="139">
        <v>0</v>
      </c>
      <c r="F33" s="32">
        <f t="shared" si="4"/>
        <v>0.03</v>
      </c>
      <c r="G33" s="35">
        <v>7800</v>
      </c>
      <c r="H33" s="122">
        <f t="shared" si="1"/>
        <v>234</v>
      </c>
      <c r="I33" s="163">
        <f t="shared" si="2"/>
        <v>0.11142857142857143</v>
      </c>
    </row>
    <row r="34" spans="1:10" s="246" customFormat="1" ht="22.5" thickBot="1" x14ac:dyDescent="0.65">
      <c r="A34" s="146"/>
      <c r="B34" s="147"/>
      <c r="C34" s="147"/>
      <c r="D34" s="58"/>
      <c r="E34" s="58"/>
      <c r="F34" s="58"/>
      <c r="G34" s="58"/>
      <c r="H34" s="122">
        <f t="shared" si="1"/>
        <v>0</v>
      </c>
      <c r="I34" s="164"/>
    </row>
    <row r="35" spans="1:10" s="246" customFormat="1" x14ac:dyDescent="0.6">
      <c r="A35" s="124"/>
      <c r="B35" s="180" t="s">
        <v>4</v>
      </c>
      <c r="C35" s="186"/>
      <c r="D35" s="187"/>
      <c r="E35" s="187"/>
      <c r="F35" s="187"/>
      <c r="G35" s="187"/>
      <c r="H35" s="167">
        <f>SUM(H10:H34)</f>
        <v>7388.15</v>
      </c>
      <c r="I35" s="160">
        <f>SUM(I10:I34)</f>
        <v>3.5181666666666667</v>
      </c>
    </row>
    <row r="36" spans="1:10" s="246" customFormat="1" x14ac:dyDescent="0.6">
      <c r="A36" s="124"/>
      <c r="B36" s="168" t="s">
        <v>14</v>
      </c>
      <c r="C36" s="43"/>
      <c r="D36" s="121"/>
      <c r="E36" s="121"/>
      <c r="F36" s="121"/>
      <c r="G36" s="121"/>
      <c r="H36" s="169">
        <f>H35/1</f>
        <v>7388.15</v>
      </c>
      <c r="I36" s="104"/>
    </row>
    <row r="37" spans="1:10" s="246" customFormat="1" x14ac:dyDescent="0.6">
      <c r="A37" s="124"/>
      <c r="B37" s="168" t="s">
        <v>453</v>
      </c>
      <c r="C37" s="43"/>
      <c r="D37" s="121"/>
      <c r="E37" s="121"/>
      <c r="F37" s="121"/>
      <c r="G37" s="121"/>
      <c r="H37" s="104">
        <f>G7</f>
        <v>25000</v>
      </c>
      <c r="I37" s="104"/>
    </row>
    <row r="38" spans="1:10" s="246" customFormat="1" x14ac:dyDescent="0.6">
      <c r="A38" s="124"/>
      <c r="B38" s="168" t="s">
        <v>455</v>
      </c>
      <c r="C38" s="43"/>
      <c r="D38" s="121"/>
      <c r="E38" s="121"/>
      <c r="F38" s="121"/>
      <c r="G38" s="121"/>
      <c r="H38" s="104">
        <f>H37/113.3%</f>
        <v>22065.31332744925</v>
      </c>
      <c r="I38" s="104"/>
    </row>
    <row r="39" spans="1:10" s="246" customFormat="1" x14ac:dyDescent="0.6">
      <c r="A39" s="124"/>
      <c r="B39" s="168" t="s">
        <v>16</v>
      </c>
      <c r="C39" s="43"/>
      <c r="D39" s="121"/>
      <c r="E39" s="121"/>
      <c r="F39" s="121"/>
      <c r="G39" s="121"/>
      <c r="H39" s="588">
        <f>H36/H38</f>
        <v>0.33483095799999996</v>
      </c>
      <c r="I39" s="588"/>
    </row>
    <row r="40" spans="1:10" s="246" customFormat="1" x14ac:dyDescent="0.6">
      <c r="A40" s="124"/>
      <c r="B40" s="168"/>
      <c r="C40" s="43"/>
      <c r="D40" s="121"/>
      <c r="E40" s="121"/>
      <c r="F40" s="121"/>
      <c r="G40" s="121"/>
      <c r="H40" s="169"/>
      <c r="I40" s="171"/>
    </row>
    <row r="41" spans="1:10" s="246" customFormat="1" ht="22.5" thickBot="1" x14ac:dyDescent="0.65">
      <c r="A41" s="124"/>
      <c r="B41" s="172"/>
      <c r="C41" s="147"/>
      <c r="D41" s="58"/>
      <c r="E41" s="58"/>
      <c r="F41" s="58"/>
      <c r="G41" s="58"/>
      <c r="H41" s="173"/>
      <c r="I41" s="164"/>
    </row>
    <row r="42" spans="1:10" x14ac:dyDescent="0.6">
      <c r="D42" s="77"/>
      <c r="E42" s="77"/>
      <c r="F42" s="77"/>
      <c r="G42" s="114"/>
      <c r="H42" s="115"/>
    </row>
    <row r="43" spans="1:10" x14ac:dyDescent="0.6">
      <c r="D43" s="77"/>
      <c r="E43" s="77"/>
      <c r="F43" s="77"/>
      <c r="G43" s="114"/>
      <c r="H43" s="115"/>
    </row>
    <row r="44" spans="1:10" s="246" customFormat="1" ht="22.5" thickBot="1" x14ac:dyDescent="0.65">
      <c r="A44" s="154"/>
      <c r="B44" s="154"/>
      <c r="C44" s="154"/>
      <c r="D44" s="155" t="s">
        <v>0</v>
      </c>
      <c r="E44" s="155"/>
      <c r="F44" s="155"/>
      <c r="G44" s="125"/>
      <c r="H44" s="126"/>
      <c r="I44" s="124"/>
    </row>
    <row r="45" spans="1:10" s="246" customFormat="1" x14ac:dyDescent="0.6">
      <c r="A45" s="558" t="s">
        <v>722</v>
      </c>
      <c r="B45" s="615" t="s">
        <v>844</v>
      </c>
      <c r="C45" s="547"/>
      <c r="D45" s="548"/>
      <c r="E45" s="548"/>
      <c r="F45" s="548"/>
      <c r="G45" s="548" t="s">
        <v>1</v>
      </c>
      <c r="H45" s="541" t="s">
        <v>868</v>
      </c>
      <c r="I45" s="549" t="s">
        <v>2</v>
      </c>
      <c r="J45" s="246">
        <v>1</v>
      </c>
    </row>
    <row r="46" spans="1:10" s="246" customFormat="1" x14ac:dyDescent="0.6">
      <c r="A46" s="565">
        <v>2</v>
      </c>
      <c r="B46" s="539" t="s">
        <v>5</v>
      </c>
      <c r="C46" s="539" t="s">
        <v>4</v>
      </c>
      <c r="D46" s="540" t="s">
        <v>3</v>
      </c>
      <c r="E46" s="540" t="s">
        <v>613</v>
      </c>
      <c r="F46" s="540" t="s">
        <v>614</v>
      </c>
      <c r="G46" s="540" t="s">
        <v>510</v>
      </c>
      <c r="H46" s="543" t="s">
        <v>7</v>
      </c>
      <c r="I46" s="636">
        <f>I6</f>
        <v>45574</v>
      </c>
    </row>
    <row r="47" spans="1:10" s="246" customFormat="1" ht="22.5" thickBot="1" x14ac:dyDescent="0.65">
      <c r="A47" s="551"/>
      <c r="B47" s="552"/>
      <c r="C47" s="552"/>
      <c r="D47" s="553">
        <v>1</v>
      </c>
      <c r="E47" s="553"/>
      <c r="F47" s="553"/>
      <c r="G47" s="553">
        <f>Summary!J89</f>
        <v>25000</v>
      </c>
      <c r="H47" s="633">
        <f>H84</f>
        <v>0.3969036358765432</v>
      </c>
      <c r="I47" s="555"/>
    </row>
    <row r="48" spans="1:10" s="246" customFormat="1" ht="22.5" thickBot="1" x14ac:dyDescent="0.65">
      <c r="A48" s="124"/>
      <c r="B48" s="124"/>
      <c r="C48" s="124"/>
      <c r="D48" s="125"/>
      <c r="E48" s="125"/>
      <c r="F48" s="125"/>
      <c r="G48" s="125"/>
      <c r="H48" s="126"/>
      <c r="I48" s="124"/>
    </row>
    <row r="49" spans="1:9" s="246" customFormat="1" x14ac:dyDescent="0.6">
      <c r="A49" s="194" t="s">
        <v>605</v>
      </c>
      <c r="B49" s="166" t="s">
        <v>10</v>
      </c>
      <c r="C49" s="166" t="s">
        <v>9</v>
      </c>
      <c r="D49" s="117" t="s">
        <v>8</v>
      </c>
      <c r="E49" s="117" t="s">
        <v>613</v>
      </c>
      <c r="F49" s="117" t="s">
        <v>614</v>
      </c>
      <c r="G49" s="117" t="s">
        <v>11</v>
      </c>
      <c r="H49" s="118" t="s">
        <v>24</v>
      </c>
      <c r="I49" s="195" t="s">
        <v>25</v>
      </c>
    </row>
    <row r="50" spans="1:9" s="246" customFormat="1" x14ac:dyDescent="0.6">
      <c r="A50" s="141" t="s">
        <v>585</v>
      </c>
      <c r="B50" s="750" t="s">
        <v>618</v>
      </c>
      <c r="C50" s="43" t="s">
        <v>22</v>
      </c>
      <c r="D50" s="25">
        <v>7.0000000000000007E-2</v>
      </c>
      <c r="E50" s="139">
        <v>0</v>
      </c>
      <c r="F50" s="32">
        <f t="shared" ref="F50:F57" si="5">D50+D50*E50</f>
        <v>7.0000000000000007E-2</v>
      </c>
      <c r="G50" s="35">
        <v>4375</v>
      </c>
      <c r="H50" s="68">
        <f t="shared" ref="H50:H78" si="6">F50*G50</f>
        <v>306.25000000000006</v>
      </c>
      <c r="I50" s="161">
        <f t="shared" ref="I50:I78" si="7">H50/I$3</f>
        <v>0.14583333333333337</v>
      </c>
    </row>
    <row r="51" spans="1:9" s="246" customFormat="1" x14ac:dyDescent="0.6">
      <c r="A51" s="144" t="s">
        <v>506</v>
      </c>
      <c r="B51" s="26" t="s">
        <v>714</v>
      </c>
      <c r="C51" s="24" t="s">
        <v>459</v>
      </c>
      <c r="D51" s="25">
        <v>1.4999999999999999E-2</v>
      </c>
      <c r="E51" s="139">
        <v>0</v>
      </c>
      <c r="F51" s="32">
        <f t="shared" si="5"/>
        <v>1.4999999999999999E-2</v>
      </c>
      <c r="G51" s="39">
        <v>3000</v>
      </c>
      <c r="H51" s="122">
        <f t="shared" si="6"/>
        <v>45</v>
      </c>
      <c r="I51" s="140">
        <f t="shared" si="7"/>
        <v>2.1428571428571429E-2</v>
      </c>
    </row>
    <row r="52" spans="1:9" s="246" customFormat="1" x14ac:dyDescent="0.6">
      <c r="A52" s="144" t="s">
        <v>569</v>
      </c>
      <c r="B52" s="26" t="s">
        <v>679</v>
      </c>
      <c r="C52" s="24" t="s">
        <v>23</v>
      </c>
      <c r="D52" s="25">
        <v>2E-3</v>
      </c>
      <c r="E52" s="139">
        <v>0</v>
      </c>
      <c r="F52" s="32">
        <f t="shared" si="5"/>
        <v>2E-3</v>
      </c>
      <c r="G52" s="35">
        <v>24000</v>
      </c>
      <c r="H52" s="68">
        <f t="shared" si="6"/>
        <v>48</v>
      </c>
      <c r="I52" s="161">
        <f t="shared" si="7"/>
        <v>2.2857142857142857E-2</v>
      </c>
    </row>
    <row r="53" spans="1:9" s="246" customFormat="1" x14ac:dyDescent="0.6">
      <c r="A53" s="141" t="s">
        <v>537</v>
      </c>
      <c r="B53" s="23" t="s">
        <v>631</v>
      </c>
      <c r="C53" s="24" t="s">
        <v>463</v>
      </c>
      <c r="D53" s="25">
        <v>1E-3</v>
      </c>
      <c r="E53" s="139">
        <v>0</v>
      </c>
      <c r="F53" s="32">
        <f t="shared" si="5"/>
        <v>1E-3</v>
      </c>
      <c r="G53" s="35">
        <v>16500</v>
      </c>
      <c r="H53" s="68">
        <f t="shared" si="6"/>
        <v>16.5</v>
      </c>
      <c r="I53" s="161">
        <f t="shared" si="7"/>
        <v>7.8571428571428577E-3</v>
      </c>
    </row>
    <row r="54" spans="1:9" s="246" customFormat="1" x14ac:dyDescent="0.6">
      <c r="A54" s="144" t="s">
        <v>507</v>
      </c>
      <c r="B54" s="26" t="s">
        <v>612</v>
      </c>
      <c r="C54" s="24" t="s">
        <v>471</v>
      </c>
      <c r="D54" s="25">
        <v>3.0000000000000001E-3</v>
      </c>
      <c r="E54" s="139">
        <v>0</v>
      </c>
      <c r="F54" s="32">
        <f t="shared" si="5"/>
        <v>3.0000000000000001E-3</v>
      </c>
      <c r="G54" s="178">
        <v>5800</v>
      </c>
      <c r="H54" s="68">
        <f t="shared" si="6"/>
        <v>17.400000000000002</v>
      </c>
      <c r="I54" s="161">
        <f t="shared" si="7"/>
        <v>8.2857142857142869E-3</v>
      </c>
    </row>
    <row r="55" spans="1:9" s="246" customFormat="1" x14ac:dyDescent="0.6">
      <c r="A55" s="141" t="s">
        <v>579</v>
      </c>
      <c r="B55" s="26" t="s">
        <v>603</v>
      </c>
      <c r="C55" s="24" t="s">
        <v>19</v>
      </c>
      <c r="D55" s="743">
        <v>0.5</v>
      </c>
      <c r="E55" s="139">
        <v>0</v>
      </c>
      <c r="F55" s="32">
        <f t="shared" si="5"/>
        <v>0.5</v>
      </c>
      <c r="G55" s="35">
        <v>380</v>
      </c>
      <c r="H55" s="68">
        <f t="shared" si="6"/>
        <v>190</v>
      </c>
      <c r="I55" s="161">
        <f t="shared" si="7"/>
        <v>9.0476190476190474E-2</v>
      </c>
    </row>
    <row r="56" spans="1:9" s="246" customFormat="1" x14ac:dyDescent="0.6">
      <c r="A56" s="145"/>
      <c r="B56" s="26" t="s">
        <v>632</v>
      </c>
      <c r="C56" s="24" t="s">
        <v>907</v>
      </c>
      <c r="D56" s="25">
        <v>0.02</v>
      </c>
      <c r="E56" s="139">
        <v>0</v>
      </c>
      <c r="F56" s="32">
        <f t="shared" si="5"/>
        <v>0.02</v>
      </c>
      <c r="G56" s="35">
        <v>1800</v>
      </c>
      <c r="H56" s="68">
        <f t="shared" si="6"/>
        <v>36</v>
      </c>
      <c r="I56" s="161">
        <f t="shared" si="7"/>
        <v>1.7142857142857144E-2</v>
      </c>
    </row>
    <row r="57" spans="1:9" s="246" customFormat="1" x14ac:dyDescent="0.6">
      <c r="A57" s="138"/>
      <c r="B57" s="23" t="s">
        <v>633</v>
      </c>
      <c r="C57" s="24" t="s">
        <v>459</v>
      </c>
      <c r="D57" s="25">
        <v>0.2</v>
      </c>
      <c r="E57" s="139">
        <v>0</v>
      </c>
      <c r="F57" s="32">
        <f t="shared" si="5"/>
        <v>0.2</v>
      </c>
      <c r="G57" s="35">
        <v>550</v>
      </c>
      <c r="H57" s="68">
        <f t="shared" si="6"/>
        <v>110</v>
      </c>
      <c r="I57" s="161">
        <f t="shared" si="7"/>
        <v>5.2380952380952382E-2</v>
      </c>
    </row>
    <row r="58" spans="1:9" s="246" customFormat="1" x14ac:dyDescent="0.6">
      <c r="A58" s="138"/>
      <c r="B58" s="23"/>
      <c r="C58" s="24"/>
      <c r="D58" s="25"/>
      <c r="E58" s="139"/>
      <c r="F58" s="32"/>
      <c r="G58" s="35"/>
      <c r="H58" s="68">
        <f t="shared" si="6"/>
        <v>0</v>
      </c>
      <c r="I58" s="161">
        <f t="shared" si="7"/>
        <v>0</v>
      </c>
    </row>
    <row r="59" spans="1:9" s="246" customFormat="1" x14ac:dyDescent="0.6">
      <c r="A59" s="145"/>
      <c r="B59" s="323" t="s">
        <v>634</v>
      </c>
      <c r="C59" s="24"/>
      <c r="D59" s="25"/>
      <c r="E59" s="139"/>
      <c r="F59" s="32"/>
      <c r="G59" s="35"/>
      <c r="H59" s="122">
        <f t="shared" si="6"/>
        <v>0</v>
      </c>
      <c r="I59" s="161">
        <f t="shared" si="7"/>
        <v>0</v>
      </c>
    </row>
    <row r="60" spans="1:9" s="246" customFormat="1" x14ac:dyDescent="0.6">
      <c r="A60" s="145"/>
      <c r="B60" s="184" t="s">
        <v>464</v>
      </c>
      <c r="C60" s="24" t="s">
        <v>23</v>
      </c>
      <c r="D60" s="25">
        <v>0.1</v>
      </c>
      <c r="E60" s="139">
        <v>0.34</v>
      </c>
      <c r="F60" s="32">
        <f t="shared" ref="F60:F65" si="8">D60+D60*E60</f>
        <v>0.13400000000000001</v>
      </c>
      <c r="G60" s="35">
        <f>22000/1.62</f>
        <v>13580.246913580246</v>
      </c>
      <c r="H60" s="122">
        <f t="shared" si="6"/>
        <v>1819.7530864197531</v>
      </c>
      <c r="I60" s="161">
        <f t="shared" si="7"/>
        <v>0.86654908877131098</v>
      </c>
    </row>
    <row r="61" spans="1:9" s="246" customFormat="1" x14ac:dyDescent="0.6">
      <c r="A61" s="145"/>
      <c r="B61" s="23" t="s">
        <v>502</v>
      </c>
      <c r="C61" s="24" t="s">
        <v>596</v>
      </c>
      <c r="D61" s="25">
        <v>0.01</v>
      </c>
      <c r="E61" s="139">
        <v>0.2</v>
      </c>
      <c r="F61" s="32">
        <f t="shared" si="8"/>
        <v>1.2E-2</v>
      </c>
      <c r="G61" s="35">
        <v>4500</v>
      </c>
      <c r="H61" s="122">
        <f t="shared" si="6"/>
        <v>54</v>
      </c>
      <c r="I61" s="161">
        <f t="shared" si="7"/>
        <v>2.5714285714285714E-2</v>
      </c>
    </row>
    <row r="62" spans="1:9" s="246" customFormat="1" x14ac:dyDescent="0.6">
      <c r="A62" s="145"/>
      <c r="B62" s="750" t="s">
        <v>645</v>
      </c>
      <c r="C62" s="24" t="s">
        <v>23</v>
      </c>
      <c r="D62" s="25">
        <v>1E-3</v>
      </c>
      <c r="E62" s="139">
        <v>0</v>
      </c>
      <c r="F62" s="32">
        <f t="shared" si="8"/>
        <v>1E-3</v>
      </c>
      <c r="G62" s="35"/>
      <c r="H62" s="122">
        <f t="shared" si="6"/>
        <v>0</v>
      </c>
      <c r="I62" s="161">
        <f t="shared" si="7"/>
        <v>0</v>
      </c>
    </row>
    <row r="63" spans="1:9" s="246" customFormat="1" x14ac:dyDescent="0.6">
      <c r="A63" s="145"/>
      <c r="B63" s="26" t="s">
        <v>603</v>
      </c>
      <c r="C63" s="24" t="s">
        <v>19</v>
      </c>
      <c r="D63" s="751">
        <v>0.5</v>
      </c>
      <c r="E63" s="139">
        <v>0</v>
      </c>
      <c r="F63" s="32">
        <f t="shared" si="8"/>
        <v>0.5</v>
      </c>
      <c r="G63" s="35">
        <v>380</v>
      </c>
      <c r="H63" s="122">
        <f t="shared" si="6"/>
        <v>190</v>
      </c>
      <c r="I63" s="161">
        <f t="shared" si="7"/>
        <v>9.0476190476190474E-2</v>
      </c>
    </row>
    <row r="64" spans="1:9" s="246" customFormat="1" x14ac:dyDescent="0.6">
      <c r="A64" s="145"/>
      <c r="B64" s="23" t="s">
        <v>617</v>
      </c>
      <c r="C64" s="24" t="s">
        <v>459</v>
      </c>
      <c r="D64" s="25"/>
      <c r="E64" s="139">
        <v>0</v>
      </c>
      <c r="F64" s="32">
        <f t="shared" si="8"/>
        <v>0</v>
      </c>
      <c r="G64" s="35">
        <v>70000</v>
      </c>
      <c r="H64" s="122">
        <f t="shared" si="6"/>
        <v>0</v>
      </c>
      <c r="I64" s="161">
        <f t="shared" si="7"/>
        <v>0</v>
      </c>
    </row>
    <row r="65" spans="1:9" s="246" customFormat="1" x14ac:dyDescent="0.6">
      <c r="A65" s="145"/>
      <c r="B65" s="38" t="s">
        <v>610</v>
      </c>
      <c r="C65" s="31" t="s">
        <v>463</v>
      </c>
      <c r="D65" s="32">
        <v>2E-3</v>
      </c>
      <c r="E65" s="136">
        <v>0</v>
      </c>
      <c r="F65" s="32">
        <f t="shared" si="8"/>
        <v>2E-3</v>
      </c>
      <c r="G65" s="35">
        <v>1200</v>
      </c>
      <c r="H65" s="122">
        <f t="shared" si="6"/>
        <v>2.4</v>
      </c>
      <c r="I65" s="161">
        <f t="shared" si="7"/>
        <v>1.1428571428571427E-3</v>
      </c>
    </row>
    <row r="66" spans="1:9" s="246" customFormat="1" x14ac:dyDescent="0.6">
      <c r="A66" s="145"/>
      <c r="B66" s="23"/>
      <c r="C66" s="24"/>
      <c r="D66" s="25"/>
      <c r="E66" s="139"/>
      <c r="F66" s="32"/>
      <c r="G66" s="35"/>
      <c r="H66" s="122">
        <f t="shared" si="6"/>
        <v>0</v>
      </c>
      <c r="I66" s="161">
        <f t="shared" si="7"/>
        <v>0</v>
      </c>
    </row>
    <row r="67" spans="1:9" s="246" customFormat="1" x14ac:dyDescent="0.6">
      <c r="A67" s="145"/>
      <c r="B67" s="323" t="s">
        <v>635</v>
      </c>
      <c r="C67" s="24"/>
      <c r="D67" s="25"/>
      <c r="E67" s="139"/>
      <c r="F67" s="32"/>
      <c r="G67" s="35"/>
      <c r="H67" s="122">
        <f t="shared" si="6"/>
        <v>0</v>
      </c>
      <c r="I67" s="161">
        <f t="shared" si="7"/>
        <v>0</v>
      </c>
    </row>
    <row r="68" spans="1:9" s="246" customFormat="1" x14ac:dyDescent="0.6">
      <c r="A68" s="145"/>
      <c r="B68" s="23" t="s">
        <v>625</v>
      </c>
      <c r="C68" s="24" t="s">
        <v>471</v>
      </c>
      <c r="D68" s="25">
        <v>0.01</v>
      </c>
      <c r="E68" s="139">
        <v>0.3</v>
      </c>
      <c r="F68" s="32">
        <f t="shared" ref="F68:F74" si="9">D68+D68*E68</f>
        <v>1.3000000000000001E-2</v>
      </c>
      <c r="G68" s="35">
        <v>7000</v>
      </c>
      <c r="H68" s="122">
        <f t="shared" si="6"/>
        <v>91.000000000000014</v>
      </c>
      <c r="I68" s="161">
        <f t="shared" si="7"/>
        <v>4.3333333333333342E-2</v>
      </c>
    </row>
    <row r="69" spans="1:9" s="246" customFormat="1" x14ac:dyDescent="0.6">
      <c r="A69" s="145"/>
      <c r="B69" s="23" t="s">
        <v>502</v>
      </c>
      <c r="C69" s="24" t="s">
        <v>471</v>
      </c>
      <c r="D69" s="25">
        <v>0.02</v>
      </c>
      <c r="E69" s="139">
        <v>0.2</v>
      </c>
      <c r="F69" s="32">
        <f t="shared" si="9"/>
        <v>2.4E-2</v>
      </c>
      <c r="G69" s="35">
        <v>4500</v>
      </c>
      <c r="H69" s="122">
        <f t="shared" si="6"/>
        <v>108</v>
      </c>
      <c r="I69" s="161">
        <f t="shared" si="7"/>
        <v>5.1428571428571428E-2</v>
      </c>
    </row>
    <row r="70" spans="1:9" s="246" customFormat="1" x14ac:dyDescent="0.6">
      <c r="A70" s="145"/>
      <c r="B70" s="23" t="s">
        <v>636</v>
      </c>
      <c r="C70" s="24" t="s">
        <v>23</v>
      </c>
      <c r="D70" s="25"/>
      <c r="E70" s="139">
        <v>0</v>
      </c>
      <c r="F70" s="32">
        <f t="shared" si="9"/>
        <v>0</v>
      </c>
      <c r="G70" s="35">
        <v>9000</v>
      </c>
      <c r="H70" s="122">
        <f t="shared" si="6"/>
        <v>0</v>
      </c>
      <c r="I70" s="161">
        <f t="shared" si="7"/>
        <v>0</v>
      </c>
    </row>
    <row r="71" spans="1:9" s="246" customFormat="1" x14ac:dyDescent="0.6">
      <c r="A71" s="145"/>
      <c r="B71" s="23" t="s">
        <v>637</v>
      </c>
      <c r="C71" s="24" t="s">
        <v>20</v>
      </c>
      <c r="D71" s="25">
        <v>0.02</v>
      </c>
      <c r="E71" s="139">
        <v>0.05</v>
      </c>
      <c r="F71" s="32">
        <f t="shared" si="9"/>
        <v>2.1000000000000001E-2</v>
      </c>
      <c r="G71" s="35">
        <v>500</v>
      </c>
      <c r="H71" s="122">
        <f t="shared" si="6"/>
        <v>10.5</v>
      </c>
      <c r="I71" s="161">
        <f t="shared" si="7"/>
        <v>5.0000000000000001E-3</v>
      </c>
    </row>
    <row r="72" spans="1:9" s="246" customFormat="1" x14ac:dyDescent="0.6">
      <c r="A72" s="145"/>
      <c r="B72" s="23" t="s">
        <v>655</v>
      </c>
      <c r="C72" s="24" t="s">
        <v>596</v>
      </c>
      <c r="D72" s="25">
        <v>0.01</v>
      </c>
      <c r="E72" s="139">
        <v>0</v>
      </c>
      <c r="F72" s="32">
        <f t="shared" si="9"/>
        <v>0.01</v>
      </c>
      <c r="G72" s="35">
        <v>7800</v>
      </c>
      <c r="H72" s="122">
        <f t="shared" si="6"/>
        <v>78</v>
      </c>
      <c r="I72" s="161">
        <f t="shared" si="7"/>
        <v>3.7142857142857144E-2</v>
      </c>
    </row>
    <row r="73" spans="1:9" s="246" customFormat="1" x14ac:dyDescent="0.6">
      <c r="A73" s="145"/>
      <c r="B73" s="26" t="s">
        <v>679</v>
      </c>
      <c r="C73" s="24" t="s">
        <v>23</v>
      </c>
      <c r="D73" s="25"/>
      <c r="E73" s="139">
        <v>0</v>
      </c>
      <c r="F73" s="32">
        <f t="shared" si="9"/>
        <v>0</v>
      </c>
      <c r="G73" s="35">
        <v>24000</v>
      </c>
      <c r="H73" s="122">
        <f t="shared" si="6"/>
        <v>0</v>
      </c>
      <c r="I73" s="161">
        <f t="shared" si="7"/>
        <v>0</v>
      </c>
    </row>
    <row r="74" spans="1:9" s="246" customFormat="1" x14ac:dyDescent="0.6">
      <c r="A74" s="145"/>
      <c r="B74" s="977" t="s">
        <v>703</v>
      </c>
      <c r="C74" s="984" t="s">
        <v>22</v>
      </c>
      <c r="D74" s="966">
        <v>0.05</v>
      </c>
      <c r="E74" s="957">
        <v>0</v>
      </c>
      <c r="F74" s="956">
        <f t="shared" si="9"/>
        <v>0.05</v>
      </c>
      <c r="G74" s="967">
        <v>90000</v>
      </c>
      <c r="H74" s="968">
        <f t="shared" si="6"/>
        <v>4500</v>
      </c>
      <c r="I74" s="980">
        <f t="shared" si="7"/>
        <v>2.1428571428571428</v>
      </c>
    </row>
    <row r="75" spans="1:9" s="246" customFormat="1" x14ac:dyDescent="0.6">
      <c r="A75" s="145"/>
      <c r="B75" s="323" t="s">
        <v>638</v>
      </c>
      <c r="C75" s="27"/>
      <c r="D75" s="28"/>
      <c r="E75" s="139"/>
      <c r="F75" s="32"/>
      <c r="G75" s="35"/>
      <c r="H75" s="122">
        <f t="shared" si="6"/>
        <v>0</v>
      </c>
      <c r="I75" s="161">
        <f t="shared" si="7"/>
        <v>0</v>
      </c>
    </row>
    <row r="76" spans="1:9" s="246" customFormat="1" x14ac:dyDescent="0.6">
      <c r="A76" s="145"/>
      <c r="B76" s="23" t="s">
        <v>666</v>
      </c>
      <c r="C76" s="24" t="s">
        <v>459</v>
      </c>
      <c r="D76" s="25">
        <v>0.02</v>
      </c>
      <c r="E76" s="139">
        <v>0</v>
      </c>
      <c r="F76" s="32">
        <f>D76+D76*E76</f>
        <v>0.02</v>
      </c>
      <c r="G76" s="35">
        <v>16500</v>
      </c>
      <c r="H76" s="122">
        <f t="shared" si="6"/>
        <v>330</v>
      </c>
      <c r="I76" s="161">
        <f t="shared" si="7"/>
        <v>0.15714285714285714</v>
      </c>
    </row>
    <row r="77" spans="1:9" s="246" customFormat="1" x14ac:dyDescent="0.6">
      <c r="A77" s="145"/>
      <c r="B77" s="23" t="s">
        <v>639</v>
      </c>
      <c r="C77" s="24" t="s">
        <v>459</v>
      </c>
      <c r="D77" s="25">
        <v>0.02</v>
      </c>
      <c r="E77" s="139">
        <v>0</v>
      </c>
      <c r="F77" s="32">
        <f>D77+D77*E77</f>
        <v>0.02</v>
      </c>
      <c r="G77" s="35">
        <v>3500</v>
      </c>
      <c r="H77" s="122">
        <f t="shared" si="6"/>
        <v>70</v>
      </c>
      <c r="I77" s="161">
        <f t="shared" si="7"/>
        <v>3.3333333333333333E-2</v>
      </c>
    </row>
    <row r="78" spans="1:9" s="246" customFormat="1" x14ac:dyDescent="0.6">
      <c r="A78" s="145"/>
      <c r="B78" s="29" t="s">
        <v>628</v>
      </c>
      <c r="C78" s="24" t="s">
        <v>463</v>
      </c>
      <c r="D78" s="752">
        <v>3.5000000000000003E-2</v>
      </c>
      <c r="E78" s="139">
        <v>0</v>
      </c>
      <c r="F78" s="32">
        <f>D78+D78*E78</f>
        <v>3.5000000000000003E-2</v>
      </c>
      <c r="G78" s="35">
        <v>21000</v>
      </c>
      <c r="H78" s="122">
        <f t="shared" si="6"/>
        <v>735.00000000000011</v>
      </c>
      <c r="I78" s="161">
        <f t="shared" si="7"/>
        <v>0.35000000000000003</v>
      </c>
    </row>
    <row r="79" spans="1:9" s="246" customFormat="1" ht="22.5" thickBot="1" x14ac:dyDescent="0.65">
      <c r="A79" s="146"/>
      <c r="B79" s="147"/>
      <c r="C79" s="147"/>
      <c r="D79" s="58"/>
      <c r="E79" s="58"/>
      <c r="F79" s="58"/>
      <c r="G79" s="58"/>
      <c r="H79" s="123"/>
      <c r="I79" s="164"/>
    </row>
    <row r="80" spans="1:9" s="246" customFormat="1" x14ac:dyDescent="0.6">
      <c r="A80" s="124"/>
      <c r="B80" s="180" t="s">
        <v>4</v>
      </c>
      <c r="C80" s="186"/>
      <c r="D80" s="187"/>
      <c r="E80" s="187"/>
      <c r="F80" s="187"/>
      <c r="G80" s="187"/>
      <c r="H80" s="167">
        <f>SUM(H50:H79)</f>
        <v>8757.8030864197535</v>
      </c>
      <c r="I80" s="160">
        <f>SUM(I50:I79)</f>
        <v>4.1703824221046437</v>
      </c>
    </row>
    <row r="81" spans="1:10" s="246" customFormat="1" x14ac:dyDescent="0.6">
      <c r="A81" s="124"/>
      <c r="B81" s="168" t="s">
        <v>14</v>
      </c>
      <c r="C81" s="43"/>
      <c r="D81" s="121"/>
      <c r="E81" s="121"/>
      <c r="F81" s="121"/>
      <c r="G81" s="121"/>
      <c r="H81" s="169">
        <f>H80/1</f>
        <v>8757.8030864197535</v>
      </c>
      <c r="I81" s="104"/>
    </row>
    <row r="82" spans="1:10" s="246" customFormat="1" x14ac:dyDescent="0.6">
      <c r="A82" s="124"/>
      <c r="B82" s="168" t="s">
        <v>453</v>
      </c>
      <c r="C82" s="43"/>
      <c r="D82" s="121"/>
      <c r="E82" s="121"/>
      <c r="F82" s="121"/>
      <c r="G82" s="121"/>
      <c r="H82" s="104">
        <f>G47</f>
        <v>25000</v>
      </c>
      <c r="I82" s="104"/>
    </row>
    <row r="83" spans="1:10" s="246" customFormat="1" x14ac:dyDescent="0.6">
      <c r="A83" s="124"/>
      <c r="B83" s="168" t="s">
        <v>455</v>
      </c>
      <c r="C83" s="43"/>
      <c r="D83" s="121"/>
      <c r="E83" s="121"/>
      <c r="F83" s="121"/>
      <c r="G83" s="121"/>
      <c r="H83" s="104">
        <f>H82/113.3%</f>
        <v>22065.31332744925</v>
      </c>
      <c r="I83" s="104"/>
    </row>
    <row r="84" spans="1:10" s="246" customFormat="1" x14ac:dyDescent="0.6">
      <c r="A84" s="124"/>
      <c r="B84" s="168" t="s">
        <v>16</v>
      </c>
      <c r="C84" s="43"/>
      <c r="D84" s="121"/>
      <c r="E84" s="121"/>
      <c r="F84" s="121"/>
      <c r="G84" s="121"/>
      <c r="H84" s="588">
        <f>H81/H83</f>
        <v>0.3969036358765432</v>
      </c>
      <c r="I84" s="588"/>
    </row>
    <row r="85" spans="1:10" s="246" customFormat="1" x14ac:dyDescent="0.6">
      <c r="A85" s="124"/>
      <c r="B85" s="168"/>
      <c r="C85" s="43"/>
      <c r="D85" s="121"/>
      <c r="E85" s="121"/>
      <c r="F85" s="121"/>
      <c r="G85" s="121"/>
      <c r="H85" s="169"/>
      <c r="I85" s="171"/>
    </row>
    <row r="86" spans="1:10" s="246" customFormat="1" ht="22.5" thickBot="1" x14ac:dyDescent="0.65">
      <c r="A86" s="124"/>
      <c r="B86" s="172"/>
      <c r="C86" s="147"/>
      <c r="D86" s="58"/>
      <c r="E86" s="58"/>
      <c r="F86" s="58"/>
      <c r="G86" s="58"/>
      <c r="H86" s="173"/>
      <c r="I86" s="164"/>
    </row>
    <row r="87" spans="1:10" x14ac:dyDescent="0.6">
      <c r="A87" s="60"/>
      <c r="B87" s="75"/>
      <c r="C87" s="60"/>
      <c r="D87" s="116"/>
      <c r="E87" s="116"/>
      <c r="F87" s="116"/>
      <c r="G87" s="116"/>
      <c r="H87" s="278"/>
      <c r="I87" s="60"/>
    </row>
    <row r="88" spans="1:10" x14ac:dyDescent="0.6">
      <c r="A88" s="60"/>
      <c r="B88" s="75"/>
      <c r="C88" s="60"/>
      <c r="D88" s="116"/>
      <c r="E88" s="116"/>
      <c r="F88" s="116"/>
      <c r="G88" s="116"/>
      <c r="H88" s="278"/>
      <c r="I88" s="60"/>
    </row>
    <row r="89" spans="1:10" x14ac:dyDescent="0.6">
      <c r="A89" s="60"/>
      <c r="B89" s="75"/>
      <c r="C89" s="60"/>
      <c r="D89" s="116"/>
      <c r="E89" s="116"/>
      <c r="F89" s="116"/>
      <c r="G89" s="116"/>
      <c r="H89" s="278"/>
      <c r="I89" s="60"/>
    </row>
    <row r="90" spans="1:10" ht="22.5" thickBot="1" x14ac:dyDescent="0.65">
      <c r="A90" s="76"/>
      <c r="B90" s="76"/>
      <c r="C90" s="76"/>
      <c r="D90" s="116" t="s">
        <v>0</v>
      </c>
      <c r="E90" s="116"/>
      <c r="F90" s="116"/>
      <c r="G90" s="61"/>
      <c r="H90" s="62"/>
      <c r="I90" s="60"/>
    </row>
    <row r="91" spans="1:10" x14ac:dyDescent="0.6">
      <c r="A91" s="562" t="s">
        <v>845</v>
      </c>
      <c r="B91" s="753" t="s">
        <v>959</v>
      </c>
      <c r="C91" s="547"/>
      <c r="D91" s="548"/>
      <c r="E91" s="548"/>
      <c r="F91" s="548"/>
      <c r="G91" s="548" t="s">
        <v>1</v>
      </c>
      <c r="H91" s="541" t="s">
        <v>868</v>
      </c>
      <c r="I91" s="564" t="s">
        <v>595</v>
      </c>
      <c r="J91" s="241">
        <v>3</v>
      </c>
    </row>
    <row r="92" spans="1:10" x14ac:dyDescent="0.6">
      <c r="A92" s="565">
        <v>3</v>
      </c>
      <c r="B92" s="539" t="s">
        <v>5</v>
      </c>
      <c r="C92" s="539" t="s">
        <v>4</v>
      </c>
      <c r="D92" s="540" t="s">
        <v>3</v>
      </c>
      <c r="E92" s="540" t="s">
        <v>613</v>
      </c>
      <c r="F92" s="540" t="s">
        <v>614</v>
      </c>
      <c r="G92" s="540" t="s">
        <v>510</v>
      </c>
      <c r="H92" s="543" t="s">
        <v>7</v>
      </c>
      <c r="I92" s="636">
        <f>I46</f>
        <v>45574</v>
      </c>
    </row>
    <row r="93" spans="1:10" ht="22.5" thickBot="1" x14ac:dyDescent="0.65">
      <c r="A93" s="551"/>
      <c r="B93" s="552"/>
      <c r="C93" s="552"/>
      <c r="D93" s="553">
        <v>1</v>
      </c>
      <c r="E93" s="553"/>
      <c r="F93" s="553"/>
      <c r="G93" s="553">
        <f>Summary!J90</f>
        <v>25000</v>
      </c>
      <c r="H93" s="633">
        <f>H132</f>
        <v>0.37691284400000002</v>
      </c>
      <c r="I93" s="555"/>
    </row>
    <row r="94" spans="1:10" ht="22.5" thickBot="1" x14ac:dyDescent="0.65">
      <c r="A94" s="60"/>
      <c r="B94" s="60"/>
      <c r="C94" s="60"/>
      <c r="D94" s="61"/>
      <c r="E94" s="61"/>
      <c r="F94" s="61"/>
      <c r="G94" s="61"/>
      <c r="H94" s="62"/>
      <c r="I94" s="60"/>
    </row>
    <row r="95" spans="1:10" x14ac:dyDescent="0.6">
      <c r="A95" s="63" t="s">
        <v>605</v>
      </c>
      <c r="B95" s="64" t="s">
        <v>10</v>
      </c>
      <c r="C95" s="64" t="s">
        <v>9</v>
      </c>
      <c r="D95" s="52" t="s">
        <v>8</v>
      </c>
      <c r="E95" s="52" t="s">
        <v>613</v>
      </c>
      <c r="F95" s="52" t="s">
        <v>614</v>
      </c>
      <c r="G95" s="52" t="s">
        <v>11</v>
      </c>
      <c r="H95" s="53" t="s">
        <v>24</v>
      </c>
      <c r="I95" s="65" t="s">
        <v>25</v>
      </c>
    </row>
    <row r="96" spans="1:10" x14ac:dyDescent="0.6">
      <c r="A96" s="66"/>
      <c r="B96" s="754" t="s">
        <v>846</v>
      </c>
      <c r="C96" s="19"/>
      <c r="D96" s="20"/>
      <c r="E96" s="86"/>
      <c r="F96" s="67"/>
      <c r="G96" s="34"/>
      <c r="H96" s="46"/>
      <c r="I96" s="47"/>
    </row>
    <row r="97" spans="1:9" x14ac:dyDescent="0.6">
      <c r="A97" s="66" t="s">
        <v>579</v>
      </c>
      <c r="B97" s="750" t="s">
        <v>618</v>
      </c>
      <c r="C97" s="43" t="s">
        <v>463</v>
      </c>
      <c r="D97" s="755">
        <v>0.1</v>
      </c>
      <c r="E97" s="139">
        <v>0</v>
      </c>
      <c r="F97" s="32">
        <f t="shared" ref="F97:F103" si="10">D97+D97*E97</f>
        <v>0.1</v>
      </c>
      <c r="G97" s="34">
        <v>4375</v>
      </c>
      <c r="H97" s="46">
        <f t="shared" ref="H97:H104" si="11">F97*G97</f>
        <v>437.5</v>
      </c>
      <c r="I97" s="47">
        <f t="shared" ref="I97:I104" si="12">H97/I$3</f>
        <v>0.20833333333333334</v>
      </c>
    </row>
    <row r="98" spans="1:9" x14ac:dyDescent="0.6">
      <c r="A98" s="66"/>
      <c r="B98" s="756" t="s">
        <v>612</v>
      </c>
      <c r="C98" s="24" t="s">
        <v>471</v>
      </c>
      <c r="D98" s="755">
        <v>6.0000000000000001E-3</v>
      </c>
      <c r="E98" s="139">
        <v>0</v>
      </c>
      <c r="F98" s="32">
        <f t="shared" si="10"/>
        <v>6.0000000000000001E-3</v>
      </c>
      <c r="G98" s="34">
        <v>5800</v>
      </c>
      <c r="H98" s="46">
        <f t="shared" si="11"/>
        <v>34.800000000000004</v>
      </c>
      <c r="I98" s="47">
        <f t="shared" si="12"/>
        <v>1.6571428571428574E-2</v>
      </c>
    </row>
    <row r="99" spans="1:9" x14ac:dyDescent="0.6">
      <c r="A99" s="236" t="s">
        <v>530</v>
      </c>
      <c r="B99" s="26" t="s">
        <v>669</v>
      </c>
      <c r="C99" s="24" t="s">
        <v>463</v>
      </c>
      <c r="D99" s="755">
        <v>3.5000000000000003E-2</v>
      </c>
      <c r="E99" s="139">
        <v>0</v>
      </c>
      <c r="F99" s="32">
        <f t="shared" si="10"/>
        <v>3.5000000000000003E-2</v>
      </c>
      <c r="G99" s="91">
        <v>3000</v>
      </c>
      <c r="H99" s="46">
        <f t="shared" si="11"/>
        <v>105.00000000000001</v>
      </c>
      <c r="I99" s="47">
        <f t="shared" si="12"/>
        <v>5.000000000000001E-2</v>
      </c>
    </row>
    <row r="100" spans="1:9" x14ac:dyDescent="0.6">
      <c r="A100" s="236"/>
      <c r="B100" s="756" t="s">
        <v>631</v>
      </c>
      <c r="C100" s="24" t="s">
        <v>463</v>
      </c>
      <c r="D100" s="755">
        <v>2.5000000000000001E-3</v>
      </c>
      <c r="E100" s="139">
        <v>0</v>
      </c>
      <c r="F100" s="32">
        <f t="shared" si="10"/>
        <v>2.5000000000000001E-3</v>
      </c>
      <c r="G100" s="35">
        <v>16500</v>
      </c>
      <c r="H100" s="46">
        <f t="shared" si="11"/>
        <v>41.25</v>
      </c>
      <c r="I100" s="47">
        <f t="shared" si="12"/>
        <v>1.9642857142857142E-2</v>
      </c>
    </row>
    <row r="101" spans="1:9" x14ac:dyDescent="0.6">
      <c r="A101" s="236"/>
      <c r="B101" s="756" t="s">
        <v>610</v>
      </c>
      <c r="C101" s="24" t="s">
        <v>463</v>
      </c>
      <c r="D101" s="755">
        <v>2E-3</v>
      </c>
      <c r="E101" s="139">
        <v>0</v>
      </c>
      <c r="F101" s="32">
        <f t="shared" si="10"/>
        <v>2E-3</v>
      </c>
      <c r="G101" s="35">
        <v>1200</v>
      </c>
      <c r="H101" s="46">
        <f t="shared" si="11"/>
        <v>2.4</v>
      </c>
      <c r="I101" s="47">
        <f t="shared" si="12"/>
        <v>1.1428571428571427E-3</v>
      </c>
    </row>
    <row r="102" spans="1:9" x14ac:dyDescent="0.6">
      <c r="A102" s="66"/>
      <c r="B102" s="26" t="s">
        <v>847</v>
      </c>
      <c r="C102" s="24" t="s">
        <v>22</v>
      </c>
      <c r="D102" s="755">
        <v>2E-3</v>
      </c>
      <c r="E102" s="139">
        <v>0</v>
      </c>
      <c r="F102" s="32">
        <f t="shared" si="10"/>
        <v>2E-3</v>
      </c>
      <c r="G102" s="34">
        <v>24000</v>
      </c>
      <c r="H102" s="46">
        <f t="shared" si="11"/>
        <v>48</v>
      </c>
      <c r="I102" s="47">
        <f t="shared" si="12"/>
        <v>2.2857142857142857E-2</v>
      </c>
    </row>
    <row r="103" spans="1:9" x14ac:dyDescent="0.6">
      <c r="A103" s="66"/>
      <c r="B103" s="756" t="s">
        <v>633</v>
      </c>
      <c r="C103" s="24" t="s">
        <v>459</v>
      </c>
      <c r="D103" s="755">
        <v>0.1</v>
      </c>
      <c r="E103" s="139">
        <v>0</v>
      </c>
      <c r="F103" s="32">
        <f t="shared" si="10"/>
        <v>0.1</v>
      </c>
      <c r="G103" s="35">
        <v>550</v>
      </c>
      <c r="H103" s="46">
        <f t="shared" si="11"/>
        <v>55</v>
      </c>
      <c r="I103" s="47">
        <f t="shared" si="12"/>
        <v>2.6190476190476191E-2</v>
      </c>
    </row>
    <row r="104" spans="1:9" x14ac:dyDescent="0.6">
      <c r="A104" s="66"/>
      <c r="B104" s="23"/>
      <c r="C104" s="24"/>
      <c r="D104" s="25"/>
      <c r="E104" s="139"/>
      <c r="F104" s="32"/>
      <c r="G104" s="35">
        <v>0</v>
      </c>
      <c r="H104" s="46">
        <f t="shared" si="11"/>
        <v>0</v>
      </c>
      <c r="I104" s="47">
        <f t="shared" si="12"/>
        <v>0</v>
      </c>
    </row>
    <row r="105" spans="1:9" x14ac:dyDescent="0.6">
      <c r="A105" s="66"/>
      <c r="B105" s="23"/>
      <c r="C105" s="24"/>
      <c r="D105" s="25"/>
      <c r="E105" s="139"/>
      <c r="F105" s="32"/>
      <c r="G105" s="35"/>
      <c r="H105" s="46"/>
      <c r="I105" s="47"/>
    </row>
    <row r="106" spans="1:9" x14ac:dyDescent="0.6">
      <c r="A106" s="66"/>
      <c r="B106" s="757" t="s">
        <v>641</v>
      </c>
      <c r="C106" s="24"/>
      <c r="D106" s="25"/>
      <c r="E106" s="139"/>
      <c r="F106" s="32"/>
      <c r="G106" s="35"/>
      <c r="H106" s="46"/>
      <c r="I106" s="47"/>
    </row>
    <row r="107" spans="1:9" x14ac:dyDescent="0.6">
      <c r="A107" s="66"/>
      <c r="B107" s="756" t="s">
        <v>642</v>
      </c>
      <c r="C107" s="24" t="s">
        <v>596</v>
      </c>
      <c r="D107" s="755">
        <v>0.08</v>
      </c>
      <c r="E107" s="139">
        <v>0.34</v>
      </c>
      <c r="F107" s="32">
        <f t="shared" ref="F107:F116" si="13">D107+D107*E107</f>
        <v>0.1072</v>
      </c>
      <c r="G107" s="34">
        <v>24000</v>
      </c>
      <c r="H107" s="46">
        <f t="shared" ref="H107:H116" si="14">F107*G107</f>
        <v>2572.8000000000002</v>
      </c>
      <c r="I107" s="47">
        <f t="shared" ref="I107:I116" si="15">H107/I$3</f>
        <v>1.2251428571428573</v>
      </c>
    </row>
    <row r="108" spans="1:9" x14ac:dyDescent="0.6">
      <c r="A108" s="66" t="s">
        <v>501</v>
      </c>
      <c r="B108" s="758" t="s">
        <v>603</v>
      </c>
      <c r="C108" s="27" t="s">
        <v>19</v>
      </c>
      <c r="D108" s="759">
        <v>1</v>
      </c>
      <c r="E108" s="199">
        <v>0</v>
      </c>
      <c r="F108" s="177">
        <f t="shared" si="13"/>
        <v>1</v>
      </c>
      <c r="G108" s="91">
        <v>380</v>
      </c>
      <c r="H108" s="46">
        <f t="shared" si="14"/>
        <v>380</v>
      </c>
      <c r="I108" s="47">
        <f t="shared" si="15"/>
        <v>0.18095238095238095</v>
      </c>
    </row>
    <row r="109" spans="1:9" x14ac:dyDescent="0.6">
      <c r="A109" s="66"/>
      <c r="B109" s="26" t="s">
        <v>498</v>
      </c>
      <c r="C109" s="24" t="s">
        <v>23</v>
      </c>
      <c r="D109" s="760">
        <v>0.04</v>
      </c>
      <c r="E109" s="139">
        <v>0</v>
      </c>
      <c r="F109" s="25">
        <f t="shared" si="13"/>
        <v>0.04</v>
      </c>
      <c r="G109" s="34">
        <v>18500</v>
      </c>
      <c r="H109" s="46">
        <f t="shared" si="14"/>
        <v>740</v>
      </c>
      <c r="I109" s="47">
        <f t="shared" si="15"/>
        <v>0.35238095238095241</v>
      </c>
    </row>
    <row r="110" spans="1:9" x14ac:dyDescent="0.6">
      <c r="A110" s="66"/>
      <c r="B110" s="761" t="s">
        <v>637</v>
      </c>
      <c r="C110" s="24" t="s">
        <v>20</v>
      </c>
      <c r="D110" s="762">
        <v>0.02</v>
      </c>
      <c r="E110" s="136">
        <v>0.05</v>
      </c>
      <c r="F110" s="32">
        <f t="shared" si="13"/>
        <v>2.1000000000000001E-2</v>
      </c>
      <c r="G110" s="34">
        <v>500</v>
      </c>
      <c r="H110" s="46">
        <f t="shared" si="14"/>
        <v>10.5</v>
      </c>
      <c r="I110" s="47">
        <f t="shared" si="15"/>
        <v>5.0000000000000001E-3</v>
      </c>
    </row>
    <row r="111" spans="1:9" x14ac:dyDescent="0.6">
      <c r="A111" s="763">
        <v>11100028</v>
      </c>
      <c r="B111" s="758" t="s">
        <v>625</v>
      </c>
      <c r="C111" s="24" t="s">
        <v>471</v>
      </c>
      <c r="D111" s="755">
        <v>0.02</v>
      </c>
      <c r="E111" s="139">
        <v>0.3</v>
      </c>
      <c r="F111" s="32">
        <f t="shared" si="13"/>
        <v>2.6000000000000002E-2</v>
      </c>
      <c r="G111" s="35">
        <v>7000</v>
      </c>
      <c r="H111" s="46">
        <f t="shared" si="14"/>
        <v>182.00000000000003</v>
      </c>
      <c r="I111" s="47">
        <f t="shared" si="15"/>
        <v>8.6666666666666684E-2</v>
      </c>
    </row>
    <row r="112" spans="1:9" x14ac:dyDescent="0.6">
      <c r="A112" s="764"/>
      <c r="B112" s="765" t="s">
        <v>601</v>
      </c>
      <c r="C112" s="24" t="s">
        <v>19</v>
      </c>
      <c r="D112" s="755">
        <v>0.01</v>
      </c>
      <c r="E112" s="139">
        <v>0.05</v>
      </c>
      <c r="F112" s="32">
        <f t="shared" si="13"/>
        <v>1.0500000000000001E-2</v>
      </c>
      <c r="G112" s="39">
        <v>700</v>
      </c>
      <c r="H112" s="46">
        <f t="shared" si="14"/>
        <v>7.3500000000000005</v>
      </c>
      <c r="I112" s="47">
        <f t="shared" si="15"/>
        <v>3.5000000000000001E-3</v>
      </c>
    </row>
    <row r="113" spans="1:16" x14ac:dyDescent="0.6">
      <c r="A113" s="962"/>
      <c r="B113" s="977" t="s">
        <v>680</v>
      </c>
      <c r="C113" s="984" t="s">
        <v>463</v>
      </c>
      <c r="D113" s="1012">
        <v>0.05</v>
      </c>
      <c r="E113" s="957">
        <v>0</v>
      </c>
      <c r="F113" s="956">
        <f t="shared" si="13"/>
        <v>0.05</v>
      </c>
      <c r="G113" s="967">
        <v>42000</v>
      </c>
      <c r="H113" s="959">
        <f t="shared" si="14"/>
        <v>2100</v>
      </c>
      <c r="I113" s="980">
        <f t="shared" si="15"/>
        <v>1</v>
      </c>
      <c r="P113" s="241">
        <v>160</v>
      </c>
    </row>
    <row r="114" spans="1:16" x14ac:dyDescent="0.6">
      <c r="A114" s="66"/>
      <c r="B114" s="23" t="s">
        <v>617</v>
      </c>
      <c r="C114" s="24" t="s">
        <v>596</v>
      </c>
      <c r="D114" s="766">
        <v>3.0000000000000001E-3</v>
      </c>
      <c r="E114" s="139">
        <v>0</v>
      </c>
      <c r="F114" s="32">
        <f t="shared" si="13"/>
        <v>3.0000000000000001E-3</v>
      </c>
      <c r="G114" s="34">
        <v>70000</v>
      </c>
      <c r="H114" s="46">
        <f t="shared" si="14"/>
        <v>210</v>
      </c>
      <c r="I114" s="47">
        <f t="shared" si="15"/>
        <v>0.1</v>
      </c>
    </row>
    <row r="115" spans="1:16" x14ac:dyDescent="0.6">
      <c r="A115" s="66"/>
      <c r="B115" s="761" t="s">
        <v>610</v>
      </c>
      <c r="C115" s="31" t="s">
        <v>463</v>
      </c>
      <c r="D115" s="762">
        <v>2E-3</v>
      </c>
      <c r="E115" s="136">
        <v>0</v>
      </c>
      <c r="F115" s="32">
        <f t="shared" si="13"/>
        <v>2E-3</v>
      </c>
      <c r="G115" s="35">
        <v>1200</v>
      </c>
      <c r="H115" s="46">
        <f t="shared" si="14"/>
        <v>2.4</v>
      </c>
      <c r="I115" s="47">
        <f t="shared" si="15"/>
        <v>1.1428571428571427E-3</v>
      </c>
    </row>
    <row r="116" spans="1:16" x14ac:dyDescent="0.6">
      <c r="A116" s="66"/>
      <c r="B116" s="23" t="s">
        <v>655</v>
      </c>
      <c r="C116" s="24" t="s">
        <v>596</v>
      </c>
      <c r="D116" s="755">
        <v>0.02</v>
      </c>
      <c r="E116" s="139">
        <v>0</v>
      </c>
      <c r="F116" s="32">
        <f t="shared" si="13"/>
        <v>0.02</v>
      </c>
      <c r="G116" s="91">
        <v>7800</v>
      </c>
      <c r="H116" s="46">
        <f t="shared" si="14"/>
        <v>156</v>
      </c>
      <c r="I116" s="47">
        <f t="shared" si="15"/>
        <v>7.4285714285714288E-2</v>
      </c>
    </row>
    <row r="117" spans="1:16" x14ac:dyDescent="0.6">
      <c r="A117" s="66" t="s">
        <v>501</v>
      </c>
      <c r="B117" s="757" t="s">
        <v>643</v>
      </c>
      <c r="C117" s="24"/>
      <c r="D117" s="25"/>
      <c r="E117" s="139"/>
      <c r="F117" s="32"/>
      <c r="G117" s="91"/>
      <c r="H117" s="46">
        <f t="shared" ref="H117:H122" si="16">F117*G117</f>
        <v>0</v>
      </c>
      <c r="I117" s="47">
        <f t="shared" ref="I117:I122" si="17">H117/I$3</f>
        <v>0</v>
      </c>
    </row>
    <row r="118" spans="1:16" x14ac:dyDescent="0.6">
      <c r="A118" s="66"/>
      <c r="B118" s="756" t="s">
        <v>615</v>
      </c>
      <c r="C118" s="24" t="s">
        <v>19</v>
      </c>
      <c r="D118" s="755">
        <v>0.02</v>
      </c>
      <c r="E118" s="139">
        <v>0.05</v>
      </c>
      <c r="F118" s="32">
        <f>D118+D118*E118</f>
        <v>2.1000000000000001E-2</v>
      </c>
      <c r="G118" s="34">
        <v>3000</v>
      </c>
      <c r="H118" s="46">
        <f t="shared" si="16"/>
        <v>63.000000000000007</v>
      </c>
      <c r="I118" s="47">
        <f t="shared" si="17"/>
        <v>3.0000000000000002E-2</v>
      </c>
    </row>
    <row r="119" spans="1:16" x14ac:dyDescent="0.6">
      <c r="A119" s="66"/>
      <c r="B119" s="23" t="s">
        <v>474</v>
      </c>
      <c r="C119" s="24" t="s">
        <v>471</v>
      </c>
      <c r="D119" s="755">
        <v>0.01</v>
      </c>
      <c r="E119" s="139">
        <v>0.1</v>
      </c>
      <c r="F119" s="32">
        <f>D119+D119*E119</f>
        <v>1.0999999999999999E-2</v>
      </c>
      <c r="G119" s="35">
        <v>10000</v>
      </c>
      <c r="H119" s="46">
        <f t="shared" si="16"/>
        <v>110</v>
      </c>
      <c r="I119" s="47">
        <f t="shared" si="17"/>
        <v>5.2380952380952382E-2</v>
      </c>
    </row>
    <row r="120" spans="1:16" x14ac:dyDescent="0.6">
      <c r="A120" s="66"/>
      <c r="B120" s="756" t="s">
        <v>666</v>
      </c>
      <c r="C120" s="24" t="s">
        <v>459</v>
      </c>
      <c r="D120" s="755">
        <v>0.01</v>
      </c>
      <c r="E120" s="139">
        <v>0</v>
      </c>
      <c r="F120" s="32">
        <f>D120+D120*E120</f>
        <v>0.01</v>
      </c>
      <c r="G120" s="143">
        <v>16500</v>
      </c>
      <c r="H120" s="46">
        <f t="shared" si="16"/>
        <v>165</v>
      </c>
      <c r="I120" s="47">
        <f t="shared" si="17"/>
        <v>7.857142857142857E-2</v>
      </c>
    </row>
    <row r="121" spans="1:16" x14ac:dyDescent="0.6">
      <c r="A121" s="236"/>
      <c r="B121" s="756" t="s">
        <v>610</v>
      </c>
      <c r="C121" s="24" t="s">
        <v>463</v>
      </c>
      <c r="D121" s="755">
        <v>1E-3</v>
      </c>
      <c r="E121" s="139">
        <v>0</v>
      </c>
      <c r="F121" s="32">
        <f>D121+D121*E121</f>
        <v>1E-3</v>
      </c>
      <c r="G121" s="91">
        <v>1200</v>
      </c>
      <c r="H121" s="46">
        <f t="shared" si="16"/>
        <v>1.2</v>
      </c>
      <c r="I121" s="47">
        <f t="shared" si="17"/>
        <v>5.7142857142857136E-4</v>
      </c>
    </row>
    <row r="122" spans="1:16" x14ac:dyDescent="0.6">
      <c r="A122" s="66"/>
      <c r="B122" s="23" t="s">
        <v>617</v>
      </c>
      <c r="C122" s="24" t="s">
        <v>596</v>
      </c>
      <c r="D122" s="766">
        <v>1E-3</v>
      </c>
      <c r="E122" s="139">
        <v>0</v>
      </c>
      <c r="F122" s="32">
        <f>D122+D122*E122</f>
        <v>1E-3</v>
      </c>
      <c r="G122" s="35">
        <v>70000</v>
      </c>
      <c r="H122" s="46">
        <f t="shared" si="16"/>
        <v>70</v>
      </c>
      <c r="I122" s="47">
        <f t="shared" si="17"/>
        <v>3.3333333333333333E-2</v>
      </c>
    </row>
    <row r="123" spans="1:16" x14ac:dyDescent="0.6">
      <c r="A123" s="66"/>
      <c r="B123" s="767" t="s">
        <v>630</v>
      </c>
      <c r="C123" s="31"/>
      <c r="D123" s="32"/>
      <c r="E123" s="136"/>
      <c r="F123" s="32"/>
      <c r="G123" s="35"/>
      <c r="H123" s="46"/>
      <c r="I123" s="47"/>
    </row>
    <row r="124" spans="1:16" x14ac:dyDescent="0.6">
      <c r="A124" s="66"/>
      <c r="B124" s="756" t="s">
        <v>666</v>
      </c>
      <c r="C124" s="24" t="s">
        <v>459</v>
      </c>
      <c r="D124" s="755">
        <v>0</v>
      </c>
      <c r="E124" s="139">
        <v>0</v>
      </c>
      <c r="F124" s="32">
        <f>D124+D124*E124</f>
        <v>0</v>
      </c>
      <c r="G124" s="34">
        <v>16500</v>
      </c>
      <c r="H124" s="46">
        <f>F124*G124</f>
        <v>0</v>
      </c>
      <c r="I124" s="47">
        <f>H124/I$3</f>
        <v>0</v>
      </c>
    </row>
    <row r="125" spans="1:16" x14ac:dyDescent="0.6">
      <c r="A125" s="66"/>
      <c r="B125" s="756" t="s">
        <v>639</v>
      </c>
      <c r="C125" s="24" t="s">
        <v>459</v>
      </c>
      <c r="D125" s="755">
        <v>2.5000000000000001E-2</v>
      </c>
      <c r="E125" s="139">
        <v>0</v>
      </c>
      <c r="F125" s="32">
        <f>D125+D125*E125</f>
        <v>2.5000000000000001E-2</v>
      </c>
      <c r="G125" s="35">
        <v>3500</v>
      </c>
      <c r="H125" s="46">
        <f>F125*G125</f>
        <v>87.5</v>
      </c>
      <c r="I125" s="47">
        <f>H125/I$3</f>
        <v>4.1666666666666664E-2</v>
      </c>
    </row>
    <row r="126" spans="1:16" x14ac:dyDescent="0.6">
      <c r="A126" s="66"/>
      <c r="B126" s="29" t="s">
        <v>628</v>
      </c>
      <c r="C126" s="24" t="s">
        <v>23</v>
      </c>
      <c r="D126" s="768">
        <v>3.5000000000000003E-2</v>
      </c>
      <c r="E126" s="139">
        <v>0</v>
      </c>
      <c r="F126" s="769">
        <f>D126+D126*E126</f>
        <v>3.5000000000000003E-2</v>
      </c>
      <c r="G126" s="35">
        <v>21000</v>
      </c>
      <c r="H126" s="46">
        <f>F126*G126</f>
        <v>735.00000000000011</v>
      </c>
      <c r="I126" s="47">
        <f>H126/I$3</f>
        <v>0.35000000000000003</v>
      </c>
    </row>
    <row r="127" spans="1:16" ht="22.5" thickBot="1" x14ac:dyDescent="0.65">
      <c r="A127" s="223"/>
      <c r="B127" s="151"/>
      <c r="C127" s="151"/>
      <c r="D127" s="57"/>
      <c r="E127" s="57"/>
      <c r="F127" s="57"/>
      <c r="G127" s="57"/>
      <c r="H127" s="59"/>
      <c r="I127" s="153"/>
    </row>
    <row r="128" spans="1:16" x14ac:dyDescent="0.6">
      <c r="A128" s="60"/>
      <c r="B128" s="224" t="s">
        <v>4</v>
      </c>
      <c r="C128" s="64"/>
      <c r="D128" s="52"/>
      <c r="E128" s="52"/>
      <c r="F128" s="52"/>
      <c r="G128" s="52"/>
      <c r="H128" s="226">
        <f>SUM(H97:H126)</f>
        <v>8316.7000000000007</v>
      </c>
      <c r="I128" s="197">
        <f>SUM(I96:I127)</f>
        <v>3.9603333333333333</v>
      </c>
    </row>
    <row r="129" spans="1:10" x14ac:dyDescent="0.6">
      <c r="A129" s="60"/>
      <c r="B129" s="101" t="s">
        <v>14</v>
      </c>
      <c r="C129" s="22"/>
      <c r="D129" s="54"/>
      <c r="E129" s="54"/>
      <c r="F129" s="54"/>
      <c r="G129" s="54"/>
      <c r="H129" s="73">
        <f>H128/1</f>
        <v>8316.7000000000007</v>
      </c>
      <c r="I129" s="104"/>
    </row>
    <row r="130" spans="1:10" x14ac:dyDescent="0.6">
      <c r="A130" s="60"/>
      <c r="B130" s="101" t="s">
        <v>453</v>
      </c>
      <c r="C130" s="22"/>
      <c r="D130" s="54"/>
      <c r="E130" s="54"/>
      <c r="F130" s="54"/>
      <c r="G130" s="54"/>
      <c r="H130" s="104">
        <f>G93</f>
        <v>25000</v>
      </c>
      <c r="I130" s="104"/>
    </row>
    <row r="131" spans="1:10" x14ac:dyDescent="0.6">
      <c r="A131" s="60"/>
      <c r="B131" s="101" t="s">
        <v>455</v>
      </c>
      <c r="C131" s="22"/>
      <c r="D131" s="54"/>
      <c r="E131" s="54"/>
      <c r="F131" s="54"/>
      <c r="G131" s="54"/>
      <c r="H131" s="104">
        <f>H130/113.3%</f>
        <v>22065.31332744925</v>
      </c>
      <c r="I131" s="104"/>
    </row>
    <row r="132" spans="1:10" x14ac:dyDescent="0.6">
      <c r="A132" s="60"/>
      <c r="B132" s="101" t="s">
        <v>16</v>
      </c>
      <c r="C132" s="22"/>
      <c r="D132" s="54"/>
      <c r="E132" s="54"/>
      <c r="F132" s="54"/>
      <c r="G132" s="54"/>
      <c r="H132" s="588">
        <f>H129/H131</f>
        <v>0.37691284400000002</v>
      </c>
      <c r="I132" s="588"/>
    </row>
    <row r="133" spans="1:10" x14ac:dyDescent="0.6">
      <c r="A133" s="60"/>
      <c r="B133" s="101"/>
      <c r="C133" s="22"/>
      <c r="D133" s="54"/>
      <c r="E133" s="54"/>
      <c r="F133" s="54"/>
      <c r="G133" s="54"/>
      <c r="H133" s="73"/>
      <c r="I133" s="171"/>
    </row>
    <row r="134" spans="1:10" ht="22.5" thickBot="1" x14ac:dyDescent="0.65">
      <c r="A134" s="60"/>
      <c r="B134" s="150"/>
      <c r="C134" s="151"/>
      <c r="D134" s="57"/>
      <c r="E134" s="57"/>
      <c r="F134" s="57"/>
      <c r="G134" s="57"/>
      <c r="H134" s="152"/>
      <c r="I134" s="153"/>
    </row>
    <row r="135" spans="1:10" x14ac:dyDescent="0.6">
      <c r="G135" s="114"/>
      <c r="H135" s="114"/>
    </row>
    <row r="136" spans="1:10" x14ac:dyDescent="0.6">
      <c r="A136" s="124"/>
      <c r="B136" s="490"/>
      <c r="C136" s="124"/>
      <c r="D136" s="155"/>
      <c r="E136" s="155"/>
      <c r="F136" s="155"/>
      <c r="G136" s="155"/>
      <c r="H136" s="301"/>
      <c r="I136" s="326"/>
    </row>
    <row r="137" spans="1:10" s="246" customFormat="1" ht="22.5" thickBot="1" x14ac:dyDescent="0.65">
      <c r="A137" s="154"/>
      <c r="B137" s="154"/>
      <c r="C137" s="154"/>
      <c r="D137" s="155" t="s">
        <v>0</v>
      </c>
      <c r="E137" s="155"/>
      <c r="F137" s="155"/>
      <c r="G137" s="125"/>
      <c r="H137" s="126"/>
      <c r="I137" s="124"/>
    </row>
    <row r="138" spans="1:10" s="246" customFormat="1" x14ac:dyDescent="0.6">
      <c r="A138" s="562" t="s">
        <v>845</v>
      </c>
      <c r="B138" s="614" t="s">
        <v>848</v>
      </c>
      <c r="C138" s="547"/>
      <c r="D138" s="548"/>
      <c r="E138" s="548"/>
      <c r="F138" s="548"/>
      <c r="G138" s="548" t="s">
        <v>1</v>
      </c>
      <c r="H138" s="541" t="s">
        <v>868</v>
      </c>
      <c r="I138" s="564" t="s">
        <v>595</v>
      </c>
      <c r="J138" s="246">
        <v>4</v>
      </c>
    </row>
    <row r="139" spans="1:10" s="246" customFormat="1" x14ac:dyDescent="0.6">
      <c r="A139" s="565">
        <v>4</v>
      </c>
      <c r="B139" s="539" t="s">
        <v>5</v>
      </c>
      <c r="C139" s="539" t="s">
        <v>4</v>
      </c>
      <c r="D139" s="540" t="s">
        <v>3</v>
      </c>
      <c r="E139" s="540" t="s">
        <v>613</v>
      </c>
      <c r="F139" s="540" t="s">
        <v>614</v>
      </c>
      <c r="G139" s="540" t="s">
        <v>510</v>
      </c>
      <c r="H139" s="543" t="s">
        <v>7</v>
      </c>
      <c r="I139" s="636">
        <f>I92</f>
        <v>45574</v>
      </c>
    </row>
    <row r="140" spans="1:10" s="246" customFormat="1" ht="22.5" thickBot="1" x14ac:dyDescent="0.65">
      <c r="A140" s="551"/>
      <c r="B140" s="552"/>
      <c r="C140" s="552"/>
      <c r="D140" s="553">
        <v>1</v>
      </c>
      <c r="E140" s="553"/>
      <c r="F140" s="553"/>
      <c r="G140" s="553">
        <f>Summary!J91</f>
        <v>25000</v>
      </c>
      <c r="H140" s="633">
        <f>H163</f>
        <v>0.33175973626506022</v>
      </c>
      <c r="I140" s="555"/>
    </row>
    <row r="141" spans="1:10" s="246" customFormat="1" ht="22.5" thickBot="1" x14ac:dyDescent="0.65">
      <c r="A141" s="124"/>
      <c r="B141" s="124"/>
      <c r="C141" s="124"/>
      <c r="D141" s="125"/>
      <c r="E141" s="125"/>
      <c r="F141" s="125"/>
      <c r="G141" s="125"/>
      <c r="H141" s="126"/>
      <c r="I141" s="124"/>
    </row>
    <row r="142" spans="1:10" s="246" customFormat="1" x14ac:dyDescent="0.6">
      <c r="A142" s="194" t="s">
        <v>605</v>
      </c>
      <c r="B142" s="166" t="s">
        <v>10</v>
      </c>
      <c r="C142" s="166" t="s">
        <v>9</v>
      </c>
      <c r="D142" s="117" t="s">
        <v>8</v>
      </c>
      <c r="E142" s="117" t="s">
        <v>613</v>
      </c>
      <c r="F142" s="117" t="s">
        <v>614</v>
      </c>
      <c r="G142" s="117" t="s">
        <v>11</v>
      </c>
      <c r="H142" s="118" t="s">
        <v>24</v>
      </c>
      <c r="I142" s="195" t="s">
        <v>25</v>
      </c>
    </row>
    <row r="143" spans="1:10" s="246" customFormat="1" x14ac:dyDescent="0.6">
      <c r="A143" s="141"/>
      <c r="B143" s="735" t="s">
        <v>848</v>
      </c>
      <c r="C143" s="24"/>
      <c r="D143" s="25"/>
      <c r="E143" s="139"/>
      <c r="F143" s="32"/>
      <c r="G143" s="35"/>
      <c r="H143" s="68"/>
      <c r="I143" s="161"/>
    </row>
    <row r="144" spans="1:10" s="246" customFormat="1" x14ac:dyDescent="0.6">
      <c r="A144" s="141" t="s">
        <v>579</v>
      </c>
      <c r="B144" s="444" t="s">
        <v>696</v>
      </c>
      <c r="C144" s="445" t="s">
        <v>471</v>
      </c>
      <c r="D144" s="446">
        <v>0.1</v>
      </c>
      <c r="E144" s="139">
        <v>0.12</v>
      </c>
      <c r="F144" s="32">
        <f t="shared" ref="F144:F153" si="18">D144+D144*E144</f>
        <v>0.112</v>
      </c>
      <c r="G144" s="35">
        <v>24000</v>
      </c>
      <c r="H144" s="68">
        <f t="shared" ref="H144:H153" si="19">F144*G144</f>
        <v>2688</v>
      </c>
      <c r="I144" s="161">
        <f t="shared" ref="I144:I153" si="20">H144/I$3</f>
        <v>1.28</v>
      </c>
    </row>
    <row r="145" spans="1:9" s="246" customFormat="1" x14ac:dyDescent="0.6">
      <c r="A145" s="141"/>
      <c r="B145" s="444" t="s">
        <v>668</v>
      </c>
      <c r="C145" s="445" t="s">
        <v>19</v>
      </c>
      <c r="D145" s="446">
        <v>1</v>
      </c>
      <c r="E145" s="139">
        <v>0</v>
      </c>
      <c r="F145" s="32">
        <f t="shared" si="18"/>
        <v>1</v>
      </c>
      <c r="G145" s="35">
        <v>380</v>
      </c>
      <c r="H145" s="68">
        <f t="shared" si="19"/>
        <v>380</v>
      </c>
      <c r="I145" s="161">
        <f t="shared" si="20"/>
        <v>0.18095238095238095</v>
      </c>
    </row>
    <row r="146" spans="1:9" s="246" customFormat="1" x14ac:dyDescent="0.6">
      <c r="A146" s="144" t="s">
        <v>530</v>
      </c>
      <c r="B146" s="444" t="s">
        <v>618</v>
      </c>
      <c r="C146" s="445" t="s">
        <v>22</v>
      </c>
      <c r="D146" s="446">
        <v>0.05</v>
      </c>
      <c r="E146" s="139">
        <v>0</v>
      </c>
      <c r="F146" s="32">
        <f t="shared" si="18"/>
        <v>0.05</v>
      </c>
      <c r="G146" s="143">
        <v>4375</v>
      </c>
      <c r="H146" s="68">
        <f t="shared" si="19"/>
        <v>218.75</v>
      </c>
      <c r="I146" s="161">
        <f t="shared" si="20"/>
        <v>0.10416666666666667</v>
      </c>
    </row>
    <row r="147" spans="1:9" s="246" customFormat="1" x14ac:dyDescent="0.6">
      <c r="A147" s="144"/>
      <c r="B147" s="444" t="s">
        <v>660</v>
      </c>
      <c r="C147" s="445" t="s">
        <v>463</v>
      </c>
      <c r="D147" s="446">
        <v>0.01</v>
      </c>
      <c r="E147" s="139">
        <v>0</v>
      </c>
      <c r="F147" s="32">
        <f t="shared" si="18"/>
        <v>0.01</v>
      </c>
      <c r="G147" s="35">
        <v>16500</v>
      </c>
      <c r="H147" s="68">
        <f t="shared" si="19"/>
        <v>165</v>
      </c>
      <c r="I147" s="161">
        <f t="shared" si="20"/>
        <v>7.857142857142857E-2</v>
      </c>
    </row>
    <row r="148" spans="1:9" s="246" customFormat="1" x14ac:dyDescent="0.6">
      <c r="A148" s="144"/>
      <c r="B148" s="444" t="s">
        <v>628</v>
      </c>
      <c r="C148" s="445" t="s">
        <v>22</v>
      </c>
      <c r="D148" s="446">
        <v>0.05</v>
      </c>
      <c r="E148" s="139">
        <v>0</v>
      </c>
      <c r="F148" s="32">
        <f t="shared" si="18"/>
        <v>0.05</v>
      </c>
      <c r="G148" s="35">
        <v>21000</v>
      </c>
      <c r="H148" s="68">
        <f t="shared" si="19"/>
        <v>1050</v>
      </c>
      <c r="I148" s="161">
        <f t="shared" si="20"/>
        <v>0.5</v>
      </c>
    </row>
    <row r="149" spans="1:9" s="246" customFormat="1" x14ac:dyDescent="0.6">
      <c r="A149" s="141"/>
      <c r="B149" s="444" t="s">
        <v>849</v>
      </c>
      <c r="C149" s="445" t="s">
        <v>808</v>
      </c>
      <c r="D149" s="446">
        <v>0.02</v>
      </c>
      <c r="E149" s="139">
        <v>0</v>
      </c>
      <c r="F149" s="32">
        <f t="shared" si="18"/>
        <v>0.02</v>
      </c>
      <c r="G149" s="35">
        <v>57000</v>
      </c>
      <c r="H149" s="68">
        <f t="shared" si="19"/>
        <v>1140</v>
      </c>
      <c r="I149" s="161">
        <f t="shared" si="20"/>
        <v>0.54285714285714282</v>
      </c>
    </row>
    <row r="150" spans="1:9" s="246" customFormat="1" x14ac:dyDescent="0.6">
      <c r="A150" s="141"/>
      <c r="B150" s="444" t="s">
        <v>609</v>
      </c>
      <c r="C150" s="445" t="s">
        <v>463</v>
      </c>
      <c r="D150" s="446">
        <v>0.01</v>
      </c>
      <c r="E150" s="139">
        <v>0</v>
      </c>
      <c r="F150" s="32">
        <f t="shared" si="18"/>
        <v>0.01</v>
      </c>
      <c r="G150" s="35">
        <v>14000</v>
      </c>
      <c r="H150" s="68">
        <f t="shared" si="19"/>
        <v>140</v>
      </c>
      <c r="I150" s="161">
        <f t="shared" si="20"/>
        <v>6.6666666666666666E-2</v>
      </c>
    </row>
    <row r="151" spans="1:9" s="246" customFormat="1" x14ac:dyDescent="0.6">
      <c r="A151" s="141"/>
      <c r="B151" s="444" t="s">
        <v>666</v>
      </c>
      <c r="C151" s="445" t="s">
        <v>22</v>
      </c>
      <c r="D151" s="446">
        <v>0.02</v>
      </c>
      <c r="E151" s="139">
        <v>0</v>
      </c>
      <c r="F151" s="32">
        <f t="shared" si="18"/>
        <v>0.02</v>
      </c>
      <c r="G151" s="35">
        <v>16500</v>
      </c>
      <c r="H151" s="68">
        <f t="shared" si="19"/>
        <v>330</v>
      </c>
      <c r="I151" s="161">
        <f t="shared" si="20"/>
        <v>0.15714285714285714</v>
      </c>
    </row>
    <row r="152" spans="1:9" s="246" customFormat="1" x14ac:dyDescent="0.6">
      <c r="A152" s="141"/>
      <c r="B152" s="444" t="s">
        <v>709</v>
      </c>
      <c r="C152" s="445" t="s">
        <v>19</v>
      </c>
      <c r="D152" s="446">
        <v>1</v>
      </c>
      <c r="E152" s="139">
        <v>0</v>
      </c>
      <c r="F152" s="32">
        <f t="shared" si="18"/>
        <v>1</v>
      </c>
      <c r="G152" s="35">
        <v>200</v>
      </c>
      <c r="H152" s="68">
        <f t="shared" si="19"/>
        <v>200</v>
      </c>
      <c r="I152" s="161">
        <f t="shared" si="20"/>
        <v>9.5238095238095233E-2</v>
      </c>
    </row>
    <row r="153" spans="1:9" s="246" customFormat="1" x14ac:dyDescent="0.6">
      <c r="A153" s="141"/>
      <c r="B153" s="444" t="s">
        <v>671</v>
      </c>
      <c r="C153" s="445" t="s">
        <v>20</v>
      </c>
      <c r="D153" s="446">
        <v>0.02</v>
      </c>
      <c r="E153" s="139">
        <v>0.05</v>
      </c>
      <c r="F153" s="32">
        <f t="shared" si="18"/>
        <v>2.1000000000000001E-2</v>
      </c>
      <c r="G153" s="35">
        <v>500</v>
      </c>
      <c r="H153" s="68">
        <f t="shared" si="19"/>
        <v>10.5</v>
      </c>
      <c r="I153" s="161">
        <f t="shared" si="20"/>
        <v>5.0000000000000001E-3</v>
      </c>
    </row>
    <row r="154" spans="1:9" s="246" customFormat="1" x14ac:dyDescent="0.6">
      <c r="A154" s="141" t="s">
        <v>469</v>
      </c>
      <c r="B154" s="444" t="s">
        <v>672</v>
      </c>
      <c r="C154" s="445" t="s">
        <v>471</v>
      </c>
      <c r="D154" s="447">
        <v>0.1</v>
      </c>
      <c r="E154" s="139">
        <v>0</v>
      </c>
      <c r="F154" s="32">
        <f t="shared" ref="F154:F157" si="21">D154+D154*E154</f>
        <v>0.1</v>
      </c>
      <c r="G154" s="35">
        <v>7800</v>
      </c>
      <c r="H154" s="68">
        <f t="shared" ref="H154:H157" si="22">F154*G154</f>
        <v>780</v>
      </c>
      <c r="I154" s="161">
        <f t="shared" ref="I154:I157" si="23">H154/I$3</f>
        <v>0.37142857142857144</v>
      </c>
    </row>
    <row r="155" spans="1:9" s="246" customFormat="1" x14ac:dyDescent="0.6">
      <c r="A155" s="141" t="s">
        <v>501</v>
      </c>
      <c r="B155" s="444" t="s">
        <v>639</v>
      </c>
      <c r="C155" s="445" t="s">
        <v>599</v>
      </c>
      <c r="D155" s="446">
        <v>0.01</v>
      </c>
      <c r="E155" s="139">
        <v>0.05</v>
      </c>
      <c r="F155" s="32">
        <f t="shared" si="21"/>
        <v>1.0500000000000001E-2</v>
      </c>
      <c r="G155" s="143">
        <f>21000/4.15</f>
        <v>5060.2409638554209</v>
      </c>
      <c r="H155" s="68">
        <f t="shared" si="22"/>
        <v>53.132530120481924</v>
      </c>
      <c r="I155" s="161">
        <f t="shared" si="23"/>
        <v>2.5301204819277105E-2</v>
      </c>
    </row>
    <row r="156" spans="1:9" s="246" customFormat="1" x14ac:dyDescent="0.6">
      <c r="A156" s="141"/>
      <c r="B156" s="444" t="s">
        <v>617</v>
      </c>
      <c r="C156" s="445" t="s">
        <v>471</v>
      </c>
      <c r="D156" s="448">
        <v>1E-3</v>
      </c>
      <c r="E156" s="139">
        <v>0</v>
      </c>
      <c r="F156" s="32">
        <f t="shared" si="21"/>
        <v>1E-3</v>
      </c>
      <c r="G156" s="35">
        <v>70000</v>
      </c>
      <c r="H156" s="68">
        <f t="shared" si="22"/>
        <v>70</v>
      </c>
      <c r="I156" s="161">
        <f t="shared" si="23"/>
        <v>3.3333333333333333E-2</v>
      </c>
    </row>
    <row r="157" spans="1:9" s="246" customFormat="1" x14ac:dyDescent="0.6">
      <c r="A157" s="141"/>
      <c r="B157" s="444" t="s">
        <v>850</v>
      </c>
      <c r="C157" s="445" t="s">
        <v>459</v>
      </c>
      <c r="D157" s="446">
        <v>0.01</v>
      </c>
      <c r="E157" s="139">
        <v>0</v>
      </c>
      <c r="F157" s="32">
        <f t="shared" si="21"/>
        <v>0.01</v>
      </c>
      <c r="G157" s="35">
        <v>9500</v>
      </c>
      <c r="H157" s="68">
        <f t="shared" si="22"/>
        <v>95</v>
      </c>
      <c r="I157" s="161">
        <f t="shared" si="23"/>
        <v>4.5238095238095237E-2</v>
      </c>
    </row>
    <row r="158" spans="1:9" s="246" customFormat="1" ht="22.5" thickBot="1" x14ac:dyDescent="0.65">
      <c r="A158" s="146"/>
      <c r="B158" s="147"/>
      <c r="C158" s="147"/>
      <c r="D158" s="58"/>
      <c r="E158" s="58"/>
      <c r="F158" s="58"/>
      <c r="G158" s="58"/>
      <c r="H158" s="123"/>
      <c r="I158" s="164"/>
    </row>
    <row r="159" spans="1:9" s="246" customFormat="1" x14ac:dyDescent="0.6">
      <c r="A159" s="124"/>
      <c r="B159" s="165" t="s">
        <v>4</v>
      </c>
      <c r="C159" s="166"/>
      <c r="D159" s="117"/>
      <c r="E159" s="117"/>
      <c r="F159" s="117"/>
      <c r="G159" s="117"/>
      <c r="H159" s="192">
        <f>SUM(H143:H158)</f>
        <v>7320.3825301204815</v>
      </c>
      <c r="I159" s="197">
        <f>SUM(I143:I158)</f>
        <v>3.4858964429145147</v>
      </c>
    </row>
    <row r="160" spans="1:9" s="246" customFormat="1" x14ac:dyDescent="0.6">
      <c r="A160" s="124"/>
      <c r="B160" s="168" t="s">
        <v>14</v>
      </c>
      <c r="C160" s="43"/>
      <c r="D160" s="121"/>
      <c r="E160" s="121"/>
      <c r="F160" s="121"/>
      <c r="G160" s="121"/>
      <c r="H160" s="169">
        <f>H159/1</f>
        <v>7320.3825301204815</v>
      </c>
      <c r="I160" s="104"/>
    </row>
    <row r="161" spans="1:21" s="246" customFormat="1" x14ac:dyDescent="0.6">
      <c r="A161" s="124"/>
      <c r="B161" s="168" t="s">
        <v>453</v>
      </c>
      <c r="C161" s="43"/>
      <c r="D161" s="121"/>
      <c r="E161" s="121"/>
      <c r="F161" s="121"/>
      <c r="G161" s="121"/>
      <c r="H161" s="104">
        <f>G140</f>
        <v>25000</v>
      </c>
      <c r="I161" s="104"/>
    </row>
    <row r="162" spans="1:21" s="246" customFormat="1" x14ac:dyDescent="0.6">
      <c r="A162" s="124"/>
      <c r="B162" s="168" t="s">
        <v>455</v>
      </c>
      <c r="C162" s="43"/>
      <c r="D162" s="121"/>
      <c r="E162" s="121"/>
      <c r="F162" s="121"/>
      <c r="G162" s="121"/>
      <c r="H162" s="104">
        <f>H161/113.3%</f>
        <v>22065.31332744925</v>
      </c>
      <c r="I162" s="104"/>
      <c r="M162" s="242"/>
      <c r="N162" s="242"/>
      <c r="O162" s="242"/>
      <c r="P162" s="243"/>
      <c r="Q162" s="243"/>
      <c r="R162" s="243"/>
      <c r="S162" s="247"/>
      <c r="T162" s="244"/>
      <c r="U162" s="245"/>
    </row>
    <row r="163" spans="1:21" s="246" customFormat="1" x14ac:dyDescent="0.6">
      <c r="A163" s="124"/>
      <c r="B163" s="168" t="s">
        <v>16</v>
      </c>
      <c r="C163" s="43"/>
      <c r="D163" s="121"/>
      <c r="E163" s="121"/>
      <c r="F163" s="121"/>
      <c r="G163" s="121"/>
      <c r="H163" s="588">
        <f>H160/H162</f>
        <v>0.33175973626506022</v>
      </c>
      <c r="I163" s="588"/>
    </row>
    <row r="164" spans="1:21" s="246" customFormat="1" x14ac:dyDescent="0.6">
      <c r="A164" s="124"/>
      <c r="B164" s="168" t="s">
        <v>17</v>
      </c>
      <c r="C164" s="43"/>
      <c r="D164" s="121"/>
      <c r="E164" s="121"/>
      <c r="F164" s="121"/>
      <c r="G164" s="121"/>
      <c r="H164" s="169"/>
      <c r="I164" s="171"/>
    </row>
    <row r="165" spans="1:21" s="246" customFormat="1" ht="22.5" thickBot="1" x14ac:dyDescent="0.65">
      <c r="A165" s="124"/>
      <c r="B165" s="172"/>
      <c r="C165" s="147"/>
      <c r="D165" s="58"/>
      <c r="E165" s="58"/>
      <c r="F165" s="58"/>
      <c r="G165" s="58"/>
      <c r="H165" s="173"/>
      <c r="I165" s="164"/>
    </row>
    <row r="166" spans="1:21" x14ac:dyDescent="0.6">
      <c r="A166" s="325"/>
      <c r="B166" s="325"/>
      <c r="C166" s="325"/>
      <c r="D166" s="155"/>
      <c r="E166" s="155"/>
      <c r="F166" s="155"/>
      <c r="G166" s="155"/>
      <c r="H166" s="301"/>
      <c r="I166" s="327"/>
    </row>
    <row r="167" spans="1:21" x14ac:dyDescent="0.6">
      <c r="A167" s="124"/>
      <c r="B167" s="124"/>
      <c r="C167" s="124"/>
      <c r="D167" s="155"/>
      <c r="E167" s="155"/>
      <c r="F167" s="155"/>
      <c r="G167" s="155"/>
      <c r="H167" s="301"/>
      <c r="I167" s="124"/>
    </row>
  </sheetData>
  <mergeCells count="2">
    <mergeCell ref="A2:I2"/>
    <mergeCell ref="A4:I4"/>
  </mergeCells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tabColor theme="4" tint="-0.249977111117893"/>
  </sheetPr>
  <dimension ref="A2:L192"/>
  <sheetViews>
    <sheetView topLeftCell="A106" workbookViewId="0">
      <selection activeCell="G159" sqref="G159"/>
    </sheetView>
  </sheetViews>
  <sheetFormatPr defaultColWidth="9.140625" defaultRowHeight="18" x14ac:dyDescent="0.5"/>
  <cols>
    <col min="1" max="1" width="14.28515625" style="335" customWidth="1"/>
    <col min="2" max="2" width="31" style="335" customWidth="1"/>
    <col min="3" max="3" width="9.140625" style="335"/>
    <col min="4" max="6" width="9.140625" style="363"/>
    <col min="7" max="7" width="13.28515625" style="391" customWidth="1"/>
    <col min="8" max="8" width="19.140625" style="391" customWidth="1"/>
    <col min="9" max="9" width="18.42578125" style="392" customWidth="1"/>
    <col min="10" max="16384" width="9.140625" style="335"/>
  </cols>
  <sheetData>
    <row r="2" spans="1:10" ht="21.75" x14ac:dyDescent="0.6">
      <c r="A2" s="949" t="s">
        <v>604</v>
      </c>
      <c r="B2" s="949"/>
      <c r="C2" s="949"/>
      <c r="D2" s="949"/>
      <c r="E2" s="949"/>
      <c r="F2" s="949"/>
      <c r="G2" s="949"/>
      <c r="H2" s="949"/>
      <c r="I2" s="949"/>
    </row>
    <row r="3" spans="1:10" x14ac:dyDescent="0.5">
      <c r="B3" s="48"/>
      <c r="C3" s="48"/>
      <c r="D3" s="336"/>
      <c r="E3" s="336"/>
      <c r="F3" s="336"/>
      <c r="G3" s="49"/>
      <c r="H3" s="49"/>
      <c r="I3" s="337">
        <v>2100</v>
      </c>
    </row>
    <row r="4" spans="1:10" ht="18.75" thickBot="1" x14ac:dyDescent="0.55000000000000004">
      <c r="A4" s="950" t="s">
        <v>0</v>
      </c>
      <c r="B4" s="950"/>
      <c r="C4" s="950"/>
      <c r="D4" s="950"/>
      <c r="E4" s="950"/>
      <c r="F4" s="950"/>
      <c r="G4" s="950"/>
      <c r="H4" s="950"/>
      <c r="I4" s="950"/>
    </row>
    <row r="5" spans="1:10" x14ac:dyDescent="0.5">
      <c r="A5" s="617" t="s">
        <v>665</v>
      </c>
      <c r="B5" s="614" t="s">
        <v>851</v>
      </c>
      <c r="C5" s="592"/>
      <c r="D5" s="618"/>
      <c r="E5" s="618"/>
      <c r="F5" s="618"/>
      <c r="G5" s="593" t="s">
        <v>1</v>
      </c>
      <c r="H5" s="541" t="s">
        <v>868</v>
      </c>
      <c r="I5" s="619" t="s">
        <v>595</v>
      </c>
      <c r="J5" s="335">
        <v>1</v>
      </c>
    </row>
    <row r="6" spans="1:10" x14ac:dyDescent="0.5">
      <c r="A6" s="620">
        <v>1</v>
      </c>
      <c r="B6" s="594" t="s">
        <v>5</v>
      </c>
      <c r="C6" s="594" t="s">
        <v>4</v>
      </c>
      <c r="D6" s="621" t="s">
        <v>3</v>
      </c>
      <c r="E6" s="540" t="s">
        <v>613</v>
      </c>
      <c r="F6" s="540" t="s">
        <v>614</v>
      </c>
      <c r="G6" s="595" t="s">
        <v>510</v>
      </c>
      <c r="H6" s="595" t="s">
        <v>7</v>
      </c>
      <c r="I6" s="648">
        <v>45574</v>
      </c>
    </row>
    <row r="7" spans="1:10" ht="18.75" thickBot="1" x14ac:dyDescent="0.55000000000000004">
      <c r="A7" s="622"/>
      <c r="B7" s="623"/>
      <c r="C7" s="623"/>
      <c r="D7" s="624">
        <v>1</v>
      </c>
      <c r="E7" s="553"/>
      <c r="F7" s="553"/>
      <c r="G7" s="597">
        <f>Summary!J94</f>
        <v>8000</v>
      </c>
      <c r="H7" s="649">
        <f>H19</f>
        <v>0.41949325000000004</v>
      </c>
      <c r="I7" s="625"/>
    </row>
    <row r="8" spans="1:10" ht="18.75" thickBot="1" x14ac:dyDescent="0.55000000000000004">
      <c r="B8" s="50"/>
      <c r="C8" s="50"/>
      <c r="D8" s="336"/>
      <c r="E8" s="61"/>
      <c r="F8" s="61"/>
      <c r="G8" s="348"/>
      <c r="H8" s="348"/>
      <c r="I8" s="349"/>
    </row>
    <row r="9" spans="1:10" x14ac:dyDescent="0.5">
      <c r="A9" s="63" t="s">
        <v>605</v>
      </c>
      <c r="B9" s="350" t="s">
        <v>10</v>
      </c>
      <c r="C9" s="350" t="s">
        <v>9</v>
      </c>
      <c r="D9" s="338" t="s">
        <v>8</v>
      </c>
      <c r="E9" s="52" t="s">
        <v>613</v>
      </c>
      <c r="F9" s="52" t="s">
        <v>614</v>
      </c>
      <c r="G9" s="339" t="s">
        <v>11</v>
      </c>
      <c r="H9" s="339" t="s">
        <v>24</v>
      </c>
      <c r="I9" s="340" t="s">
        <v>25</v>
      </c>
    </row>
    <row r="10" spans="1:10" x14ac:dyDescent="0.5">
      <c r="A10" s="351" t="s">
        <v>533</v>
      </c>
      <c r="B10" s="21" t="s">
        <v>486</v>
      </c>
      <c r="C10" s="352" t="s">
        <v>19</v>
      </c>
      <c r="D10" s="380">
        <v>0.1</v>
      </c>
      <c r="E10" s="86">
        <v>0.2</v>
      </c>
      <c r="F10" s="67">
        <f>D10+D10*E10</f>
        <v>0.12000000000000001</v>
      </c>
      <c r="G10" s="353">
        <v>4000</v>
      </c>
      <c r="H10" s="46">
        <f t="shared" ref="H10:H13" si="0">F10*G10</f>
        <v>480.00000000000006</v>
      </c>
      <c r="I10" s="343">
        <f t="shared" ref="I10:I14" si="1">H10/I$3</f>
        <v>0.22857142857142859</v>
      </c>
    </row>
    <row r="11" spans="1:10" x14ac:dyDescent="0.5">
      <c r="A11" s="351" t="s">
        <v>472</v>
      </c>
      <c r="B11" s="21" t="s">
        <v>485</v>
      </c>
      <c r="C11" s="352" t="s">
        <v>19</v>
      </c>
      <c r="D11" s="380">
        <v>1</v>
      </c>
      <c r="E11" s="86">
        <v>0.1</v>
      </c>
      <c r="F11" s="67">
        <f>D11+D11*E11</f>
        <v>1.1000000000000001</v>
      </c>
      <c r="G11" s="34">
        <v>1000</v>
      </c>
      <c r="H11" s="46">
        <f t="shared" si="0"/>
        <v>1100</v>
      </c>
      <c r="I11" s="343">
        <f t="shared" si="1"/>
        <v>0.52380952380952384</v>
      </c>
    </row>
    <row r="12" spans="1:10" x14ac:dyDescent="0.5">
      <c r="A12" s="351" t="s">
        <v>579</v>
      </c>
      <c r="B12" s="21" t="s">
        <v>715</v>
      </c>
      <c r="C12" s="352" t="s">
        <v>19</v>
      </c>
      <c r="D12" s="380">
        <v>0.2</v>
      </c>
      <c r="E12" s="86">
        <v>0.1</v>
      </c>
      <c r="F12" s="67">
        <f>D12+D12*E12</f>
        <v>0.22000000000000003</v>
      </c>
      <c r="G12" s="34">
        <v>3500</v>
      </c>
      <c r="H12" s="46">
        <f t="shared" si="0"/>
        <v>770.00000000000011</v>
      </c>
      <c r="I12" s="343">
        <f t="shared" si="1"/>
        <v>0.3666666666666667</v>
      </c>
    </row>
    <row r="13" spans="1:10" x14ac:dyDescent="0.5">
      <c r="A13" s="354" t="s">
        <v>542</v>
      </c>
      <c r="B13" s="21" t="s">
        <v>602</v>
      </c>
      <c r="C13" s="352" t="s">
        <v>21</v>
      </c>
      <c r="D13" s="383">
        <v>0.2</v>
      </c>
      <c r="E13" s="86">
        <v>0.2</v>
      </c>
      <c r="F13" s="67">
        <f>D13+D13*E13</f>
        <v>0.24000000000000002</v>
      </c>
      <c r="G13" s="35">
        <v>1800</v>
      </c>
      <c r="H13" s="46">
        <f t="shared" si="0"/>
        <v>432.00000000000006</v>
      </c>
      <c r="I13" s="343">
        <f t="shared" si="1"/>
        <v>0.20571428571428574</v>
      </c>
    </row>
    <row r="14" spans="1:10" ht="18.75" thickBot="1" x14ac:dyDescent="0.55000000000000004">
      <c r="A14" s="351" t="s">
        <v>499</v>
      </c>
      <c r="B14" s="449" t="s">
        <v>709</v>
      </c>
      <c r="C14" s="445" t="s">
        <v>19</v>
      </c>
      <c r="D14" s="446">
        <v>1</v>
      </c>
      <c r="E14" s="86">
        <v>0</v>
      </c>
      <c r="F14" s="67">
        <f t="shared" ref="F14" si="2">D14+D14*E14</f>
        <v>1</v>
      </c>
      <c r="G14" s="143">
        <v>200</v>
      </c>
      <c r="H14" s="46">
        <v>180</v>
      </c>
      <c r="I14" s="343">
        <f t="shared" si="1"/>
        <v>8.5714285714285715E-2</v>
      </c>
    </row>
    <row r="15" spans="1:10" x14ac:dyDescent="0.5">
      <c r="B15" s="358" t="s">
        <v>4</v>
      </c>
      <c r="C15" s="350"/>
      <c r="D15" s="338"/>
      <c r="E15" s="338"/>
      <c r="F15" s="338"/>
      <c r="G15" s="339"/>
      <c r="H15" s="339">
        <f>SUM(H10:H14)</f>
        <v>2962</v>
      </c>
      <c r="I15" s="359">
        <f>SUM(I10:I14)</f>
        <v>1.4104761904761904</v>
      </c>
    </row>
    <row r="16" spans="1:10" x14ac:dyDescent="0.5">
      <c r="B16" s="237" t="s">
        <v>14</v>
      </c>
      <c r="C16" s="360"/>
      <c r="D16" s="341"/>
      <c r="E16" s="341"/>
      <c r="F16" s="341"/>
      <c r="G16" s="342"/>
      <c r="H16" s="342">
        <f>H15/1</f>
        <v>2962</v>
      </c>
      <c r="I16" s="361"/>
    </row>
    <row r="17" spans="1:9" x14ac:dyDescent="0.5">
      <c r="B17" s="237" t="s">
        <v>453</v>
      </c>
      <c r="C17" s="360"/>
      <c r="D17" s="341"/>
      <c r="E17" s="341"/>
      <c r="F17" s="341"/>
      <c r="G17" s="342"/>
      <c r="H17" s="527">
        <f>G7</f>
        <v>8000</v>
      </c>
      <c r="I17" s="527"/>
    </row>
    <row r="18" spans="1:9" x14ac:dyDescent="0.5">
      <c r="B18" s="237" t="s">
        <v>455</v>
      </c>
      <c r="C18" s="360"/>
      <c r="D18" s="341"/>
      <c r="E18" s="341"/>
      <c r="F18" s="341"/>
      <c r="G18" s="342"/>
      <c r="H18" s="104">
        <f>H17/113.3%</f>
        <v>7060.9002647837597</v>
      </c>
      <c r="I18" s="104"/>
    </row>
    <row r="19" spans="1:9" x14ac:dyDescent="0.5">
      <c r="B19" s="237" t="s">
        <v>16</v>
      </c>
      <c r="C19" s="360"/>
      <c r="D19" s="341"/>
      <c r="E19" s="341"/>
      <c r="F19" s="341"/>
      <c r="G19" s="342"/>
      <c r="H19" s="616">
        <f>H16/H18</f>
        <v>0.41949325000000004</v>
      </c>
      <c r="I19" s="616"/>
    </row>
    <row r="20" spans="1:9" ht="18.75" thickBot="1" x14ac:dyDescent="0.55000000000000004">
      <c r="B20" s="362"/>
      <c r="C20" s="357"/>
      <c r="D20" s="345"/>
      <c r="E20" s="345"/>
      <c r="F20" s="345"/>
      <c r="G20" s="346"/>
      <c r="H20" s="346"/>
      <c r="I20" s="347"/>
    </row>
    <row r="21" spans="1:9" x14ac:dyDescent="0.5">
      <c r="G21" s="364"/>
      <c r="H21" s="364"/>
      <c r="I21" s="365"/>
    </row>
    <row r="22" spans="1:9" ht="18.75" thickBot="1" x14ac:dyDescent="0.55000000000000004">
      <c r="A22" s="948" t="s">
        <v>0</v>
      </c>
      <c r="B22" s="948"/>
      <c r="C22" s="948"/>
      <c r="D22" s="948"/>
      <c r="E22" s="948"/>
      <c r="F22" s="948"/>
      <c r="G22" s="948"/>
      <c r="H22" s="948"/>
      <c r="I22" s="948"/>
    </row>
    <row r="23" spans="1:9" ht="18.75" thickBot="1" x14ac:dyDescent="0.55000000000000004">
      <c r="A23" s="626" t="s">
        <v>722</v>
      </c>
      <c r="B23" s="610" t="s">
        <v>853</v>
      </c>
      <c r="C23" s="592"/>
      <c r="D23" s="618"/>
      <c r="E23" s="618"/>
      <c r="F23" s="618"/>
      <c r="G23" s="593" t="s">
        <v>1</v>
      </c>
      <c r="H23" s="541" t="s">
        <v>868</v>
      </c>
      <c r="I23" s="619" t="s">
        <v>595</v>
      </c>
    </row>
    <row r="24" spans="1:9" x14ac:dyDescent="0.5">
      <c r="A24" s="620">
        <v>2</v>
      </c>
      <c r="B24" s="594" t="s">
        <v>5</v>
      </c>
      <c r="C24" s="594" t="s">
        <v>4</v>
      </c>
      <c r="D24" s="621" t="s">
        <v>3</v>
      </c>
      <c r="E24" s="540" t="s">
        <v>613</v>
      </c>
      <c r="F24" s="540" t="s">
        <v>614</v>
      </c>
      <c r="G24" s="595" t="s">
        <v>510</v>
      </c>
      <c r="H24" s="595" t="s">
        <v>7</v>
      </c>
      <c r="I24" s="648">
        <f>I6</f>
        <v>45574</v>
      </c>
    </row>
    <row r="25" spans="1:9" ht="18.75" thickBot="1" x14ac:dyDescent="0.55000000000000004">
      <c r="A25" s="622"/>
      <c r="B25" s="623"/>
      <c r="C25" s="623"/>
      <c r="D25" s="596">
        <v>10</v>
      </c>
      <c r="E25" s="553"/>
      <c r="F25" s="553"/>
      <c r="G25" s="597">
        <f>Summary!J95</f>
        <v>7000</v>
      </c>
      <c r="H25" s="649">
        <f>H41</f>
        <v>0.15783963875661372</v>
      </c>
      <c r="I25" s="625"/>
    </row>
    <row r="26" spans="1:9" ht="18.75" thickBot="1" x14ac:dyDescent="0.55000000000000004">
      <c r="B26" s="50"/>
      <c r="C26" s="50"/>
      <c r="D26" s="336"/>
      <c r="E26" s="61"/>
      <c r="F26" s="61"/>
      <c r="G26" s="49"/>
      <c r="H26" s="49"/>
      <c r="I26" s="367"/>
    </row>
    <row r="27" spans="1:9" ht="18.75" thickBot="1" x14ac:dyDescent="0.55000000000000004">
      <c r="A27" s="63" t="s">
        <v>605</v>
      </c>
      <c r="B27" s="350" t="s">
        <v>10</v>
      </c>
      <c r="C27" s="350" t="s">
        <v>9</v>
      </c>
      <c r="D27" s="338" t="s">
        <v>8</v>
      </c>
      <c r="E27" s="52" t="s">
        <v>613</v>
      </c>
      <c r="F27" s="52" t="s">
        <v>614</v>
      </c>
      <c r="G27" s="339" t="s">
        <v>11</v>
      </c>
      <c r="H27" s="339" t="s">
        <v>24</v>
      </c>
      <c r="I27" s="340" t="s">
        <v>25</v>
      </c>
    </row>
    <row r="28" spans="1:9" x14ac:dyDescent="0.5">
      <c r="A28" s="354" t="s">
        <v>531</v>
      </c>
      <c r="B28" s="454" t="s">
        <v>668</v>
      </c>
      <c r="C28" s="455" t="s">
        <v>13</v>
      </c>
      <c r="D28" s="456">
        <v>6</v>
      </c>
      <c r="E28" s="86">
        <v>0</v>
      </c>
      <c r="F28" s="67">
        <f>D28+D28*E28</f>
        <v>6</v>
      </c>
      <c r="G28" s="34">
        <v>380</v>
      </c>
      <c r="H28" s="46">
        <f>F28*G28</f>
        <v>2280</v>
      </c>
      <c r="I28" s="343">
        <f>H28/I$3</f>
        <v>1.0857142857142856</v>
      </c>
    </row>
    <row r="29" spans="1:9" x14ac:dyDescent="0.5">
      <c r="A29" s="354" t="s">
        <v>532</v>
      </c>
      <c r="B29" s="444" t="s">
        <v>612</v>
      </c>
      <c r="C29" s="445" t="s">
        <v>23</v>
      </c>
      <c r="D29" s="446">
        <v>0.15</v>
      </c>
      <c r="E29" s="86">
        <v>0</v>
      </c>
      <c r="F29" s="67">
        <f>D29+D29*E29</f>
        <v>0.15</v>
      </c>
      <c r="G29" s="34">
        <f>5800/1.62</f>
        <v>3580.2469135802467</v>
      </c>
      <c r="H29" s="46">
        <f>F29*G29</f>
        <v>537.03703703703695</v>
      </c>
      <c r="I29" s="343">
        <f>H29/I$3</f>
        <v>0.25573192239858905</v>
      </c>
    </row>
    <row r="30" spans="1:9" x14ac:dyDescent="0.5">
      <c r="A30" s="351" t="s">
        <v>472</v>
      </c>
      <c r="B30" s="444" t="s">
        <v>618</v>
      </c>
      <c r="C30" s="445" t="s">
        <v>23</v>
      </c>
      <c r="D30" s="446">
        <v>0.17</v>
      </c>
      <c r="E30" s="86">
        <v>0</v>
      </c>
      <c r="F30" s="67">
        <f>D30+D30*E30</f>
        <v>0.17</v>
      </c>
      <c r="G30" s="34">
        <v>4375</v>
      </c>
      <c r="H30" s="46">
        <f>F30*G30</f>
        <v>743.75</v>
      </c>
      <c r="I30" s="343">
        <f>H30/I$3</f>
        <v>0.35416666666666669</v>
      </c>
    </row>
    <row r="31" spans="1:9" x14ac:dyDescent="0.5">
      <c r="A31" s="354" t="s">
        <v>542</v>
      </c>
      <c r="B31" s="444" t="s">
        <v>854</v>
      </c>
      <c r="C31" s="445" t="s">
        <v>23</v>
      </c>
      <c r="D31" s="448">
        <v>1.4999999999999999E-2</v>
      </c>
      <c r="E31" s="86">
        <v>0</v>
      </c>
      <c r="F31" s="67">
        <f>D31+D31*E31</f>
        <v>1.4999999999999999E-2</v>
      </c>
      <c r="G31" s="35">
        <v>6200</v>
      </c>
      <c r="H31" s="46">
        <f>F31*G31</f>
        <v>93</v>
      </c>
      <c r="I31" s="343">
        <f>H31/I$3</f>
        <v>4.4285714285714282E-2</v>
      </c>
    </row>
    <row r="32" spans="1:9" x14ac:dyDescent="0.5">
      <c r="A32" s="351" t="s">
        <v>533</v>
      </c>
      <c r="B32" s="444" t="s">
        <v>672</v>
      </c>
      <c r="C32" s="445" t="s">
        <v>596</v>
      </c>
      <c r="D32" s="446">
        <v>0.06</v>
      </c>
      <c r="E32" s="86">
        <v>0</v>
      </c>
      <c r="F32" s="67">
        <f>D32+D32*E32</f>
        <v>0.06</v>
      </c>
      <c r="G32" s="353">
        <v>7800</v>
      </c>
      <c r="H32" s="46">
        <f>F32*G32</f>
        <v>468</v>
      </c>
      <c r="I32" s="343">
        <f t="shared" ref="I32:I36" si="3">H32/I$3</f>
        <v>0.22285714285714286</v>
      </c>
    </row>
    <row r="33" spans="1:9" x14ac:dyDescent="0.5">
      <c r="A33" s="355"/>
      <c r="B33" s="444" t="s">
        <v>830</v>
      </c>
      <c r="C33" s="445" t="s">
        <v>463</v>
      </c>
      <c r="D33" s="446">
        <v>4</v>
      </c>
      <c r="E33" s="86">
        <v>0</v>
      </c>
      <c r="F33" s="413">
        <v>4</v>
      </c>
      <c r="G33" s="452">
        <v>200</v>
      </c>
      <c r="H33" s="46">
        <f t="shared" ref="H33:H36" si="4">F33*G33</f>
        <v>800</v>
      </c>
      <c r="I33" s="343">
        <f t="shared" si="3"/>
        <v>0.38095238095238093</v>
      </c>
    </row>
    <row r="34" spans="1:9" x14ac:dyDescent="0.5">
      <c r="A34" s="355"/>
      <c r="B34" s="457" t="s">
        <v>852</v>
      </c>
      <c r="C34" s="458" t="s">
        <v>13</v>
      </c>
      <c r="D34" s="459">
        <v>0.5</v>
      </c>
      <c r="E34" s="86">
        <v>0.2</v>
      </c>
      <c r="F34" s="413">
        <v>0.5</v>
      </c>
      <c r="G34" s="452">
        <v>4000</v>
      </c>
      <c r="H34" s="46">
        <f t="shared" si="4"/>
        <v>2000</v>
      </c>
      <c r="I34" s="343">
        <f t="shared" si="3"/>
        <v>0.95238095238095233</v>
      </c>
    </row>
    <row r="35" spans="1:9" x14ac:dyDescent="0.5">
      <c r="A35" s="355"/>
      <c r="B35" s="457" t="s">
        <v>715</v>
      </c>
      <c r="C35" s="458" t="s">
        <v>13</v>
      </c>
      <c r="D35" s="459">
        <v>0.5</v>
      </c>
      <c r="E35" s="86">
        <v>0.1</v>
      </c>
      <c r="F35" s="413">
        <v>0.5</v>
      </c>
      <c r="G35" s="452">
        <v>3500</v>
      </c>
      <c r="H35" s="46">
        <f t="shared" si="4"/>
        <v>1750</v>
      </c>
      <c r="I35" s="343">
        <f t="shared" si="3"/>
        <v>0.83333333333333337</v>
      </c>
    </row>
    <row r="36" spans="1:9" ht="18.75" thickBot="1" x14ac:dyDescent="0.55000000000000004">
      <c r="A36" s="344"/>
      <c r="B36" s="460" t="s">
        <v>602</v>
      </c>
      <c r="C36" s="450" t="s">
        <v>13</v>
      </c>
      <c r="D36" s="451">
        <v>0.6</v>
      </c>
      <c r="E36" s="86">
        <v>0.2</v>
      </c>
      <c r="F36" s="345">
        <v>0.6</v>
      </c>
      <c r="G36" s="346">
        <v>1800</v>
      </c>
      <c r="H36" s="46">
        <f t="shared" si="4"/>
        <v>1080</v>
      </c>
      <c r="I36" s="343">
        <f t="shared" si="3"/>
        <v>0.51428571428571423</v>
      </c>
    </row>
    <row r="37" spans="1:9" x14ac:dyDescent="0.5">
      <c r="B37" s="358" t="s">
        <v>4</v>
      </c>
      <c r="C37" s="350"/>
      <c r="D37" s="338"/>
      <c r="E37" s="338"/>
      <c r="F37" s="338"/>
      <c r="G37" s="339"/>
      <c r="H37" s="339">
        <f>SUM(H28:H36)</f>
        <v>9751.7870370370365</v>
      </c>
      <c r="I37" s="359">
        <f>SUM(I28:I36)</f>
        <v>4.643708112874779</v>
      </c>
    </row>
    <row r="38" spans="1:9" x14ac:dyDescent="0.5">
      <c r="B38" s="237" t="s">
        <v>931</v>
      </c>
      <c r="C38" s="360"/>
      <c r="D38" s="341"/>
      <c r="E38" s="341"/>
      <c r="F38" s="341"/>
      <c r="G38" s="342"/>
      <c r="H38" s="342">
        <f>H37/10</f>
        <v>975.1787037037036</v>
      </c>
      <c r="I38" s="527"/>
    </row>
    <row r="39" spans="1:9" x14ac:dyDescent="0.5">
      <c r="B39" s="237" t="s">
        <v>453</v>
      </c>
      <c r="C39" s="360"/>
      <c r="D39" s="341"/>
      <c r="E39" s="341"/>
      <c r="F39" s="341"/>
      <c r="G39" s="342"/>
      <c r="H39" s="527">
        <f>G25</f>
        <v>7000</v>
      </c>
      <c r="I39" s="527"/>
    </row>
    <row r="40" spans="1:9" x14ac:dyDescent="0.5">
      <c r="B40" s="237" t="s">
        <v>455</v>
      </c>
      <c r="C40" s="360"/>
      <c r="D40" s="341"/>
      <c r="E40" s="341"/>
      <c r="F40" s="341"/>
      <c r="G40" s="342"/>
      <c r="H40" s="104">
        <f>H39/113.3%</f>
        <v>6178.2877316857903</v>
      </c>
      <c r="I40" s="104"/>
    </row>
    <row r="41" spans="1:9" x14ac:dyDescent="0.5">
      <c r="B41" s="237" t="s">
        <v>16</v>
      </c>
      <c r="C41" s="360"/>
      <c r="D41" s="341"/>
      <c r="E41" s="341"/>
      <c r="F41" s="341"/>
      <c r="G41" s="342"/>
      <c r="H41" s="616">
        <f>H38/H40</f>
        <v>0.15783963875661372</v>
      </c>
      <c r="I41" s="616"/>
    </row>
    <row r="42" spans="1:9" x14ac:dyDescent="0.5">
      <c r="B42" s="237"/>
      <c r="C42" s="360"/>
      <c r="D42" s="341"/>
      <c r="E42" s="341"/>
      <c r="F42" s="341"/>
      <c r="G42" s="342"/>
      <c r="H42" s="342"/>
      <c r="I42" s="528"/>
    </row>
    <row r="43" spans="1:9" ht="18.75" thickBot="1" x14ac:dyDescent="0.55000000000000004">
      <c r="B43" s="344"/>
      <c r="C43" s="368"/>
      <c r="D43" s="369"/>
      <c r="E43" s="369"/>
      <c r="F43" s="369"/>
      <c r="G43" s="370"/>
      <c r="H43" s="370"/>
      <c r="I43" s="371"/>
    </row>
    <row r="45" spans="1:9" ht="18.75" thickBot="1" x14ac:dyDescent="0.55000000000000004">
      <c r="B45" s="48"/>
      <c r="C45" s="48"/>
      <c r="D45" s="336" t="s">
        <v>0</v>
      </c>
      <c r="E45" s="336"/>
      <c r="F45" s="336"/>
      <c r="G45" s="49"/>
      <c r="H45" s="49"/>
      <c r="I45" s="367"/>
    </row>
    <row r="46" spans="1:9" x14ac:dyDescent="0.5">
      <c r="A46" s="626" t="s">
        <v>665</v>
      </c>
      <c r="B46" s="627" t="s">
        <v>855</v>
      </c>
      <c r="C46" s="592"/>
      <c r="D46" s="618"/>
      <c r="E46" s="618"/>
      <c r="F46" s="618"/>
      <c r="G46" s="593" t="s">
        <v>1</v>
      </c>
      <c r="H46" s="541" t="s">
        <v>868</v>
      </c>
      <c r="I46" s="619" t="s">
        <v>595</v>
      </c>
    </row>
    <row r="47" spans="1:9" x14ac:dyDescent="0.5">
      <c r="A47" s="620">
        <v>3</v>
      </c>
      <c r="B47" s="594" t="s">
        <v>5</v>
      </c>
      <c r="C47" s="594" t="s">
        <v>4</v>
      </c>
      <c r="D47" s="621" t="s">
        <v>3</v>
      </c>
      <c r="E47" s="540" t="s">
        <v>613</v>
      </c>
      <c r="F47" s="540" t="s">
        <v>614</v>
      </c>
      <c r="G47" s="595" t="s">
        <v>510</v>
      </c>
      <c r="H47" s="595" t="s">
        <v>7</v>
      </c>
      <c r="I47" s="648">
        <f>I24</f>
        <v>45574</v>
      </c>
    </row>
    <row r="48" spans="1:9" ht="18.75" thickBot="1" x14ac:dyDescent="0.55000000000000004">
      <c r="A48" s="622"/>
      <c r="B48" s="623"/>
      <c r="C48" s="623"/>
      <c r="D48" s="596">
        <v>10</v>
      </c>
      <c r="E48" s="553"/>
      <c r="F48" s="553"/>
      <c r="G48" s="650">
        <f>Summary!J96</f>
        <v>7000</v>
      </c>
      <c r="H48" s="649">
        <f>H61</f>
        <v>0.31206057142857141</v>
      </c>
      <c r="I48" s="625"/>
    </row>
    <row r="49" spans="1:9" ht="18.75" thickBot="1" x14ac:dyDescent="0.55000000000000004">
      <c r="B49" s="50"/>
      <c r="C49" s="50"/>
      <c r="D49" s="336"/>
      <c r="E49" s="61"/>
      <c r="F49" s="61"/>
      <c r="G49" s="49"/>
      <c r="H49" s="49"/>
      <c r="I49" s="367"/>
    </row>
    <row r="50" spans="1:9" x14ac:dyDescent="0.5">
      <c r="A50" s="63" t="s">
        <v>605</v>
      </c>
      <c r="B50" s="350" t="s">
        <v>10</v>
      </c>
      <c r="C50" s="350" t="s">
        <v>9</v>
      </c>
      <c r="D50" s="338" t="s">
        <v>8</v>
      </c>
      <c r="E50" s="52" t="s">
        <v>613</v>
      </c>
      <c r="F50" s="52" t="s">
        <v>614</v>
      </c>
      <c r="G50" s="339" t="s">
        <v>11</v>
      </c>
      <c r="H50" s="339" t="s">
        <v>24</v>
      </c>
      <c r="I50" s="340" t="s">
        <v>25</v>
      </c>
    </row>
    <row r="51" spans="1:9" x14ac:dyDescent="0.5">
      <c r="A51" s="354" t="s">
        <v>531</v>
      </c>
      <c r="B51" s="21" t="s">
        <v>669</v>
      </c>
      <c r="C51" s="352" t="s">
        <v>459</v>
      </c>
      <c r="D51" s="341">
        <v>0.7</v>
      </c>
      <c r="E51" s="86">
        <v>0</v>
      </c>
      <c r="F51" s="67">
        <f t="shared" ref="F51:F56" si="5">D51+D51*E51</f>
        <v>0.7</v>
      </c>
      <c r="G51" s="34">
        <v>3000</v>
      </c>
      <c r="H51" s="46">
        <f t="shared" ref="H51:H56" si="6">F51*G51</f>
        <v>2100</v>
      </c>
      <c r="I51" s="343">
        <f t="shared" ref="I51:I56" si="7">H51/I$3</f>
        <v>1</v>
      </c>
    </row>
    <row r="52" spans="1:9" x14ac:dyDescent="0.5">
      <c r="A52" s="354" t="s">
        <v>532</v>
      </c>
      <c r="B52" s="21" t="s">
        <v>664</v>
      </c>
      <c r="C52" s="352" t="s">
        <v>463</v>
      </c>
      <c r="D52" s="341">
        <v>0.3</v>
      </c>
      <c r="E52" s="86">
        <v>0</v>
      </c>
      <c r="F52" s="67">
        <f t="shared" si="5"/>
        <v>0.3</v>
      </c>
      <c r="G52" s="34">
        <v>40000</v>
      </c>
      <c r="H52" s="46">
        <f t="shared" si="6"/>
        <v>12000</v>
      </c>
      <c r="I52" s="343">
        <f t="shared" si="7"/>
        <v>5.7142857142857144</v>
      </c>
    </row>
    <row r="53" spans="1:9" x14ac:dyDescent="0.5">
      <c r="A53" s="351" t="s">
        <v>472</v>
      </c>
      <c r="B53" s="21" t="s">
        <v>603</v>
      </c>
      <c r="C53" s="352" t="s">
        <v>21</v>
      </c>
      <c r="D53" s="360">
        <v>8</v>
      </c>
      <c r="E53" s="86">
        <v>0</v>
      </c>
      <c r="F53" s="67">
        <f t="shared" si="5"/>
        <v>8</v>
      </c>
      <c r="G53" s="34">
        <v>380</v>
      </c>
      <c r="H53" s="46">
        <f t="shared" si="6"/>
        <v>3040</v>
      </c>
      <c r="I53" s="343">
        <f t="shared" si="7"/>
        <v>1.4476190476190476</v>
      </c>
    </row>
    <row r="54" spans="1:9" x14ac:dyDescent="0.5">
      <c r="A54" s="354" t="s">
        <v>542</v>
      </c>
      <c r="B54" s="26" t="s">
        <v>612</v>
      </c>
      <c r="C54" s="352" t="s">
        <v>471</v>
      </c>
      <c r="D54" s="341">
        <v>0.2</v>
      </c>
      <c r="E54" s="86">
        <v>0</v>
      </c>
      <c r="F54" s="67">
        <f t="shared" si="5"/>
        <v>0.2</v>
      </c>
      <c r="G54" s="35">
        <v>5800</v>
      </c>
      <c r="H54" s="46">
        <f t="shared" si="6"/>
        <v>1160</v>
      </c>
      <c r="I54" s="343">
        <f t="shared" si="7"/>
        <v>0.55238095238095242</v>
      </c>
    </row>
    <row r="55" spans="1:9" x14ac:dyDescent="0.5">
      <c r="A55" s="66" t="s">
        <v>564</v>
      </c>
      <c r="B55" s="89" t="s">
        <v>577</v>
      </c>
      <c r="C55" s="373" t="s">
        <v>463</v>
      </c>
      <c r="D55" s="341">
        <v>0.04</v>
      </c>
      <c r="E55" s="341"/>
      <c r="F55" s="67">
        <f t="shared" si="5"/>
        <v>0.04</v>
      </c>
      <c r="G55" s="372">
        <v>16000</v>
      </c>
      <c r="H55" s="46">
        <f t="shared" si="6"/>
        <v>640</v>
      </c>
      <c r="I55" s="343">
        <f t="shared" si="7"/>
        <v>0.30476190476190479</v>
      </c>
    </row>
    <row r="56" spans="1:9" ht="18.75" thickBot="1" x14ac:dyDescent="0.55000000000000004">
      <c r="A56" s="93" t="s">
        <v>565</v>
      </c>
      <c r="B56" s="89" t="s">
        <v>575</v>
      </c>
      <c r="C56" s="373" t="s">
        <v>459</v>
      </c>
      <c r="D56" s="341">
        <v>0.02</v>
      </c>
      <c r="E56" s="341"/>
      <c r="F56" s="67">
        <f t="shared" si="5"/>
        <v>0.02</v>
      </c>
      <c r="G56" s="342">
        <v>17000</v>
      </c>
      <c r="H56" s="46">
        <f t="shared" si="6"/>
        <v>340</v>
      </c>
      <c r="I56" s="343">
        <f t="shared" si="7"/>
        <v>0.16190476190476191</v>
      </c>
    </row>
    <row r="57" spans="1:9" x14ac:dyDescent="0.5">
      <c r="B57" s="358" t="s">
        <v>4</v>
      </c>
      <c r="C57" s="350"/>
      <c r="D57" s="338"/>
      <c r="E57" s="338"/>
      <c r="F57" s="338"/>
      <c r="G57" s="339"/>
      <c r="H57" s="339">
        <f>SUM(H51:H56)</f>
        <v>19280</v>
      </c>
      <c r="I57" s="340">
        <f>SUM(I51:I56)</f>
        <v>9.1809523809523803</v>
      </c>
    </row>
    <row r="58" spans="1:9" x14ac:dyDescent="0.5">
      <c r="B58" s="237" t="s">
        <v>465</v>
      </c>
      <c r="C58" s="360"/>
      <c r="D58" s="341"/>
      <c r="E58" s="341"/>
      <c r="F58" s="341"/>
      <c r="G58" s="342"/>
      <c r="H58" s="342">
        <f>H57/10</f>
        <v>1928</v>
      </c>
      <c r="I58" s="361"/>
    </row>
    <row r="59" spans="1:9" x14ac:dyDescent="0.5">
      <c r="B59" s="237" t="s">
        <v>453</v>
      </c>
      <c r="C59" s="360"/>
      <c r="D59" s="341"/>
      <c r="E59" s="341"/>
      <c r="F59" s="341"/>
      <c r="G59" s="342"/>
      <c r="H59" s="527">
        <f>G48</f>
        <v>7000</v>
      </c>
      <c r="I59" s="527"/>
    </row>
    <row r="60" spans="1:9" x14ac:dyDescent="0.5">
      <c r="B60" s="237" t="s">
        <v>455</v>
      </c>
      <c r="C60" s="360"/>
      <c r="D60" s="341"/>
      <c r="E60" s="341"/>
      <c r="F60" s="341"/>
      <c r="G60" s="342"/>
      <c r="H60" s="104">
        <f>H59/113.3%</f>
        <v>6178.2877316857903</v>
      </c>
      <c r="I60" s="104"/>
    </row>
    <row r="61" spans="1:9" x14ac:dyDescent="0.5">
      <c r="B61" s="237" t="s">
        <v>16</v>
      </c>
      <c r="C61" s="360"/>
      <c r="D61" s="341"/>
      <c r="E61" s="341"/>
      <c r="F61" s="341"/>
      <c r="G61" s="342"/>
      <c r="H61" s="616">
        <f>H58/H60</f>
        <v>0.31206057142857141</v>
      </c>
      <c r="I61" s="616"/>
    </row>
    <row r="62" spans="1:9" x14ac:dyDescent="0.5">
      <c r="B62" s="237"/>
      <c r="C62" s="360"/>
      <c r="D62" s="341"/>
      <c r="E62" s="341"/>
      <c r="F62" s="341"/>
      <c r="G62" s="342"/>
      <c r="H62" s="342"/>
      <c r="I62" s="343"/>
    </row>
    <row r="63" spans="1:9" ht="18.75" thickBot="1" x14ac:dyDescent="0.55000000000000004">
      <c r="B63" s="344"/>
      <c r="C63" s="368"/>
      <c r="D63" s="369"/>
      <c r="E63" s="369"/>
      <c r="F63" s="369"/>
      <c r="G63" s="370"/>
      <c r="H63" s="370"/>
      <c r="I63" s="371"/>
    </row>
    <row r="65" spans="1:9" ht="18.75" thickBot="1" x14ac:dyDescent="0.55000000000000004">
      <c r="B65" s="48"/>
      <c r="C65" s="48"/>
      <c r="D65" s="336" t="s">
        <v>0</v>
      </c>
      <c r="E65" s="336"/>
      <c r="F65" s="336"/>
      <c r="G65" s="49"/>
      <c r="H65" s="49"/>
      <c r="I65" s="367"/>
    </row>
    <row r="66" spans="1:9" x14ac:dyDescent="0.5">
      <c r="A66" s="702" t="s">
        <v>665</v>
      </c>
      <c r="B66" s="703" t="s">
        <v>856</v>
      </c>
      <c r="C66" s="703"/>
      <c r="D66" s="338"/>
      <c r="E66" s="338"/>
      <c r="F66" s="338"/>
      <c r="G66" s="339" t="s">
        <v>1</v>
      </c>
      <c r="H66" s="704" t="s">
        <v>868</v>
      </c>
      <c r="I66" s="340" t="s">
        <v>595</v>
      </c>
    </row>
    <row r="67" spans="1:9" x14ac:dyDescent="0.5">
      <c r="A67" s="705">
        <v>4</v>
      </c>
      <c r="B67" s="706" t="s">
        <v>5</v>
      </c>
      <c r="C67" s="706" t="s">
        <v>4</v>
      </c>
      <c r="D67" s="341" t="s">
        <v>3</v>
      </c>
      <c r="E67" s="54" t="s">
        <v>613</v>
      </c>
      <c r="F67" s="54" t="s">
        <v>614</v>
      </c>
      <c r="G67" s="342" t="s">
        <v>510</v>
      </c>
      <c r="H67" s="342" t="s">
        <v>7</v>
      </c>
      <c r="I67" s="707">
        <f>I47</f>
        <v>45574</v>
      </c>
    </row>
    <row r="68" spans="1:9" ht="18.75" thickBot="1" x14ac:dyDescent="0.55000000000000004">
      <c r="A68" s="344"/>
      <c r="B68" s="708"/>
      <c r="C68" s="708"/>
      <c r="D68" s="345">
        <v>12</v>
      </c>
      <c r="E68" s="57"/>
      <c r="F68" s="57"/>
      <c r="G68" s="709">
        <v>7000</v>
      </c>
      <c r="H68" s="710">
        <f>H82</f>
        <v>0.29107309523809521</v>
      </c>
      <c r="I68" s="347"/>
    </row>
    <row r="69" spans="1:9" ht="18.75" thickBot="1" x14ac:dyDescent="0.55000000000000004">
      <c r="B69" s="50"/>
      <c r="C69" s="50"/>
      <c r="D69" s="336"/>
      <c r="E69" s="61"/>
      <c r="F69" s="61"/>
      <c r="G69" s="49"/>
      <c r="H69" s="49"/>
      <c r="I69" s="367"/>
    </row>
    <row r="70" spans="1:9" x14ac:dyDescent="0.5">
      <c r="A70" s="63" t="s">
        <v>605</v>
      </c>
      <c r="B70" s="350" t="s">
        <v>10</v>
      </c>
      <c r="C70" s="350" t="s">
        <v>9</v>
      </c>
      <c r="D70" s="338" t="s">
        <v>8</v>
      </c>
      <c r="E70" s="52" t="s">
        <v>613</v>
      </c>
      <c r="F70" s="52" t="s">
        <v>614</v>
      </c>
      <c r="G70" s="339" t="s">
        <v>11</v>
      </c>
      <c r="H70" s="339" t="s">
        <v>24</v>
      </c>
      <c r="I70" s="340" t="s">
        <v>25</v>
      </c>
    </row>
    <row r="71" spans="1:9" x14ac:dyDescent="0.5">
      <c r="A71" s="354" t="s">
        <v>531</v>
      </c>
      <c r="B71" s="21" t="s">
        <v>669</v>
      </c>
      <c r="C71" s="352" t="s">
        <v>459</v>
      </c>
      <c r="D71" s="341">
        <v>0.7</v>
      </c>
      <c r="E71" s="86">
        <v>0</v>
      </c>
      <c r="F71" s="67">
        <f t="shared" ref="F71:F75" si="8">D71+D71*E71</f>
        <v>0.7</v>
      </c>
      <c r="G71" s="34">
        <v>3000</v>
      </c>
      <c r="H71" s="46">
        <f t="shared" ref="H71:H77" si="9">F71*G71</f>
        <v>2100</v>
      </c>
      <c r="I71" s="343">
        <f t="shared" ref="I71:I77" si="10">H71/I$3</f>
        <v>1</v>
      </c>
    </row>
    <row r="72" spans="1:9" x14ac:dyDescent="0.5">
      <c r="A72" s="354" t="s">
        <v>532</v>
      </c>
      <c r="B72" s="21" t="s">
        <v>664</v>
      </c>
      <c r="C72" s="352" t="s">
        <v>463</v>
      </c>
      <c r="D72" s="341">
        <v>0.3</v>
      </c>
      <c r="E72" s="86">
        <v>0</v>
      </c>
      <c r="F72" s="67">
        <f t="shared" si="8"/>
        <v>0.3</v>
      </c>
      <c r="G72" s="34">
        <v>40000</v>
      </c>
      <c r="H72" s="46">
        <f t="shared" si="9"/>
        <v>12000</v>
      </c>
      <c r="I72" s="343">
        <f t="shared" si="10"/>
        <v>5.7142857142857144</v>
      </c>
    </row>
    <row r="73" spans="1:9" x14ac:dyDescent="0.5">
      <c r="A73" s="351" t="s">
        <v>472</v>
      </c>
      <c r="B73" s="21" t="s">
        <v>603</v>
      </c>
      <c r="C73" s="352" t="s">
        <v>21</v>
      </c>
      <c r="D73" s="341">
        <v>8</v>
      </c>
      <c r="E73" s="86">
        <v>0</v>
      </c>
      <c r="F73" s="67">
        <f t="shared" si="8"/>
        <v>8</v>
      </c>
      <c r="G73" s="34">
        <v>380</v>
      </c>
      <c r="H73" s="46">
        <f t="shared" si="9"/>
        <v>3040</v>
      </c>
      <c r="I73" s="343">
        <f t="shared" si="10"/>
        <v>1.4476190476190476</v>
      </c>
    </row>
    <row r="74" spans="1:9" x14ac:dyDescent="0.5">
      <c r="A74" s="354" t="s">
        <v>542</v>
      </c>
      <c r="B74" s="21" t="s">
        <v>612</v>
      </c>
      <c r="C74" s="352" t="s">
        <v>471</v>
      </c>
      <c r="D74" s="341">
        <v>0.2</v>
      </c>
      <c r="E74" s="86">
        <v>0</v>
      </c>
      <c r="F74" s="67">
        <f t="shared" si="8"/>
        <v>0.2</v>
      </c>
      <c r="G74" s="34">
        <v>5800</v>
      </c>
      <c r="H74" s="46">
        <f t="shared" si="9"/>
        <v>1160</v>
      </c>
      <c r="I74" s="343">
        <f t="shared" si="10"/>
        <v>0.55238095238095242</v>
      </c>
    </row>
    <row r="75" spans="1:9" x14ac:dyDescent="0.5">
      <c r="A75" s="66" t="s">
        <v>576</v>
      </c>
      <c r="B75" s="89" t="s">
        <v>577</v>
      </c>
      <c r="C75" s="373" t="s">
        <v>463</v>
      </c>
      <c r="D75" s="341">
        <v>0.04</v>
      </c>
      <c r="E75" s="86">
        <v>0</v>
      </c>
      <c r="F75" s="67">
        <f t="shared" si="8"/>
        <v>0.04</v>
      </c>
      <c r="G75" s="342">
        <v>16000</v>
      </c>
      <c r="H75" s="46">
        <f t="shared" si="9"/>
        <v>640</v>
      </c>
      <c r="I75" s="343">
        <f t="shared" si="10"/>
        <v>0.30476190476190479</v>
      </c>
    </row>
    <row r="76" spans="1:9" x14ac:dyDescent="0.5">
      <c r="A76" s="66" t="s">
        <v>574</v>
      </c>
      <c r="B76" s="466" t="s">
        <v>857</v>
      </c>
      <c r="C76" s="467" t="s">
        <v>459</v>
      </c>
      <c r="D76" s="468">
        <v>0.3</v>
      </c>
      <c r="E76" s="86">
        <v>0</v>
      </c>
      <c r="F76" s="67">
        <f t="shared" ref="F76" si="11">D76+D76*E76</f>
        <v>0.3</v>
      </c>
      <c r="G76" s="342">
        <v>6800</v>
      </c>
      <c r="H76" s="46">
        <f t="shared" si="9"/>
        <v>2040</v>
      </c>
      <c r="I76" s="343">
        <f t="shared" si="10"/>
        <v>0.97142857142857142</v>
      </c>
    </row>
    <row r="77" spans="1:9" ht="18.75" thickBot="1" x14ac:dyDescent="0.55000000000000004">
      <c r="A77" s="344"/>
      <c r="B77" s="466" t="s">
        <v>858</v>
      </c>
      <c r="C77" s="467" t="s">
        <v>459</v>
      </c>
      <c r="D77" s="468">
        <f>D54</f>
        <v>0.2</v>
      </c>
      <c r="E77" s="86">
        <v>0</v>
      </c>
      <c r="F77" s="345">
        <v>0.2</v>
      </c>
      <c r="G77" s="346">
        <v>3000</v>
      </c>
      <c r="H77" s="46">
        <f t="shared" si="9"/>
        <v>600</v>
      </c>
      <c r="I77" s="343">
        <f t="shared" si="10"/>
        <v>0.2857142857142857</v>
      </c>
    </row>
    <row r="78" spans="1:9" x14ac:dyDescent="0.5">
      <c r="B78" s="358" t="s">
        <v>4</v>
      </c>
      <c r="C78" s="350"/>
      <c r="D78" s="338"/>
      <c r="E78" s="338"/>
      <c r="F78" s="338"/>
      <c r="G78" s="339"/>
      <c r="H78" s="711">
        <f>SUM(H71:H77)</f>
        <v>21580</v>
      </c>
      <c r="I78" s="340">
        <f>SUM(I71:I77)</f>
        <v>10.276190476190477</v>
      </c>
    </row>
    <row r="79" spans="1:9" x14ac:dyDescent="0.5">
      <c r="B79" s="237" t="s">
        <v>465</v>
      </c>
      <c r="C79" s="360"/>
      <c r="D79" s="341"/>
      <c r="E79" s="341"/>
      <c r="F79" s="341"/>
      <c r="G79" s="342"/>
      <c r="H79" s="712">
        <f>H78/12</f>
        <v>1798.3333333333333</v>
      </c>
      <c r="I79" s="361"/>
    </row>
    <row r="80" spans="1:9" x14ac:dyDescent="0.5">
      <c r="B80" s="237" t="s">
        <v>453</v>
      </c>
      <c r="C80" s="360"/>
      <c r="D80" s="341"/>
      <c r="E80" s="341"/>
      <c r="F80" s="341"/>
      <c r="G80" s="342"/>
      <c r="H80" s="361">
        <f>G68</f>
        <v>7000</v>
      </c>
      <c r="I80" s="361"/>
    </row>
    <row r="81" spans="1:9" x14ac:dyDescent="0.5">
      <c r="B81" s="237" t="s">
        <v>455</v>
      </c>
      <c r="C81" s="360"/>
      <c r="D81" s="341"/>
      <c r="E81" s="341"/>
      <c r="F81" s="341"/>
      <c r="G81" s="342"/>
      <c r="H81" s="103">
        <f>H80/113.3%</f>
        <v>6178.2877316857903</v>
      </c>
      <c r="I81" s="103"/>
    </row>
    <row r="82" spans="1:9" x14ac:dyDescent="0.5">
      <c r="B82" s="237" t="s">
        <v>16</v>
      </c>
      <c r="C82" s="360"/>
      <c r="D82" s="341"/>
      <c r="E82" s="341"/>
      <c r="F82" s="341"/>
      <c r="G82" s="342"/>
      <c r="H82" s="616">
        <f>H79/H81</f>
        <v>0.29107309523809521</v>
      </c>
      <c r="I82" s="713"/>
    </row>
    <row r="83" spans="1:9" x14ac:dyDescent="0.5">
      <c r="B83" s="237"/>
      <c r="C83" s="360"/>
      <c r="D83" s="341"/>
      <c r="E83" s="341"/>
      <c r="F83" s="341"/>
      <c r="G83" s="342"/>
      <c r="H83" s="361"/>
      <c r="I83" s="343"/>
    </row>
    <row r="84" spans="1:9" ht="18.75" thickBot="1" x14ac:dyDescent="0.55000000000000004">
      <c r="B84" s="344"/>
      <c r="C84" s="368"/>
      <c r="D84" s="369"/>
      <c r="E84" s="369"/>
      <c r="F84" s="369"/>
      <c r="G84" s="370"/>
      <c r="H84" s="370"/>
      <c r="I84" s="371"/>
    </row>
    <row r="87" spans="1:9" ht="18.75" thickBot="1" x14ac:dyDescent="0.55000000000000004">
      <c r="B87" s="48"/>
      <c r="C87" s="48"/>
      <c r="D87" s="336" t="s">
        <v>0</v>
      </c>
      <c r="E87" s="336"/>
      <c r="F87" s="336"/>
      <c r="G87" s="49"/>
      <c r="H87" s="49"/>
      <c r="I87" s="367"/>
    </row>
    <row r="88" spans="1:9" x14ac:dyDescent="0.5">
      <c r="A88" s="702" t="s">
        <v>722</v>
      </c>
      <c r="B88" s="703" t="s">
        <v>859</v>
      </c>
      <c r="C88" s="703"/>
      <c r="D88" s="338"/>
      <c r="E88" s="338"/>
      <c r="F88" s="338"/>
      <c r="G88" s="339" t="s">
        <v>1</v>
      </c>
      <c r="H88" s="704" t="s">
        <v>868</v>
      </c>
      <c r="I88" s="340" t="s">
        <v>595</v>
      </c>
    </row>
    <row r="89" spans="1:9" x14ac:dyDescent="0.5">
      <c r="A89" s="705">
        <v>5</v>
      </c>
      <c r="B89" s="706" t="s">
        <v>5</v>
      </c>
      <c r="C89" s="706" t="s">
        <v>4</v>
      </c>
      <c r="D89" s="341" t="s">
        <v>3</v>
      </c>
      <c r="E89" s="54" t="s">
        <v>613</v>
      </c>
      <c r="F89" s="54" t="s">
        <v>614</v>
      </c>
      <c r="G89" s="342" t="s">
        <v>510</v>
      </c>
      <c r="H89" s="342" t="s">
        <v>7</v>
      </c>
      <c r="I89" s="707">
        <v>45574</v>
      </c>
    </row>
    <row r="90" spans="1:9" ht="18.75" thickBot="1" x14ac:dyDescent="0.55000000000000004">
      <c r="A90" s="344"/>
      <c r="B90" s="708"/>
      <c r="C90" s="708"/>
      <c r="D90" s="345">
        <v>10</v>
      </c>
      <c r="E90" s="57"/>
      <c r="F90" s="57"/>
      <c r="G90" s="709">
        <v>7000</v>
      </c>
      <c r="H90" s="346"/>
      <c r="I90" s="347"/>
    </row>
    <row r="91" spans="1:9" ht="18.75" thickBot="1" x14ac:dyDescent="0.55000000000000004">
      <c r="B91" s="50"/>
      <c r="C91" s="50"/>
      <c r="D91" s="336"/>
      <c r="E91" s="61"/>
      <c r="F91" s="61"/>
      <c r="G91" s="49"/>
      <c r="H91" s="49"/>
      <c r="I91" s="367"/>
    </row>
    <row r="92" spans="1:9" x14ac:dyDescent="0.5">
      <c r="A92" s="63" t="s">
        <v>605</v>
      </c>
      <c r="B92" s="350" t="s">
        <v>10</v>
      </c>
      <c r="C92" s="350" t="s">
        <v>9</v>
      </c>
      <c r="D92" s="338" t="s">
        <v>8</v>
      </c>
      <c r="E92" s="52" t="s">
        <v>613</v>
      </c>
      <c r="F92" s="52" t="s">
        <v>614</v>
      </c>
      <c r="G92" s="339" t="s">
        <v>11</v>
      </c>
      <c r="H92" s="339" t="s">
        <v>24</v>
      </c>
      <c r="I92" s="340" t="s">
        <v>25</v>
      </c>
    </row>
    <row r="93" spans="1:9" x14ac:dyDescent="0.5">
      <c r="A93" s="354" t="s">
        <v>531</v>
      </c>
      <c r="B93" s="21" t="s">
        <v>714</v>
      </c>
      <c r="C93" s="352" t="s">
        <v>459</v>
      </c>
      <c r="D93" s="341">
        <v>0.7</v>
      </c>
      <c r="E93" s="86">
        <v>0</v>
      </c>
      <c r="F93" s="67">
        <f>D93+D93*E93</f>
        <v>0.7</v>
      </c>
      <c r="G93" s="34">
        <v>3000</v>
      </c>
      <c r="H93" s="46">
        <f t="shared" ref="H93:H97" si="12">F93*G93</f>
        <v>2100</v>
      </c>
      <c r="I93" s="343">
        <f t="shared" ref="I93:I97" si="13">H93/I$3</f>
        <v>1</v>
      </c>
    </row>
    <row r="94" spans="1:9" x14ac:dyDescent="0.5">
      <c r="A94" s="354" t="s">
        <v>532</v>
      </c>
      <c r="B94" s="21" t="s">
        <v>664</v>
      </c>
      <c r="C94" s="352" t="s">
        <v>463</v>
      </c>
      <c r="D94" s="341">
        <v>0.2</v>
      </c>
      <c r="E94" s="86">
        <v>0</v>
      </c>
      <c r="F94" s="67">
        <f>D94+D94*E94</f>
        <v>0.2</v>
      </c>
      <c r="G94" s="34">
        <v>40000</v>
      </c>
      <c r="H94" s="46">
        <f t="shared" si="12"/>
        <v>8000</v>
      </c>
      <c r="I94" s="343">
        <f t="shared" si="13"/>
        <v>3.8095238095238093</v>
      </c>
    </row>
    <row r="95" spans="1:9" x14ac:dyDescent="0.5">
      <c r="A95" s="351" t="s">
        <v>472</v>
      </c>
      <c r="B95" s="21" t="s">
        <v>603</v>
      </c>
      <c r="C95" s="352" t="s">
        <v>21</v>
      </c>
      <c r="D95" s="714">
        <v>6</v>
      </c>
      <c r="E95" s="86">
        <v>0</v>
      </c>
      <c r="F95" s="67">
        <f>D95+D95*E95</f>
        <v>6</v>
      </c>
      <c r="G95" s="34">
        <v>380</v>
      </c>
      <c r="H95" s="46">
        <f t="shared" si="12"/>
        <v>2280</v>
      </c>
      <c r="I95" s="343">
        <f t="shared" si="13"/>
        <v>1.0857142857142856</v>
      </c>
    </row>
    <row r="96" spans="1:9" x14ac:dyDescent="0.5">
      <c r="A96" s="354" t="s">
        <v>542</v>
      </c>
      <c r="B96" s="21" t="s">
        <v>612</v>
      </c>
      <c r="C96" s="352" t="s">
        <v>471</v>
      </c>
      <c r="D96" s="341">
        <v>0.15</v>
      </c>
      <c r="E96" s="86">
        <v>0</v>
      </c>
      <c r="F96" s="67">
        <f>D96+D96*E96</f>
        <v>0.15</v>
      </c>
      <c r="G96" s="34">
        <v>5800</v>
      </c>
      <c r="H96" s="46">
        <f t="shared" si="12"/>
        <v>870</v>
      </c>
      <c r="I96" s="343">
        <f t="shared" si="13"/>
        <v>0.41428571428571431</v>
      </c>
    </row>
    <row r="97" spans="1:9" x14ac:dyDescent="0.5">
      <c r="A97" s="66" t="s">
        <v>576</v>
      </c>
      <c r="B97" s="715" t="s">
        <v>534</v>
      </c>
      <c r="C97" s="352" t="s">
        <v>22</v>
      </c>
      <c r="D97" s="341">
        <v>0.12</v>
      </c>
      <c r="E97" s="86">
        <v>0</v>
      </c>
      <c r="F97" s="67">
        <f>D97+D97*E97</f>
        <v>0.12</v>
      </c>
      <c r="G97" s="342">
        <v>25000</v>
      </c>
      <c r="H97" s="46">
        <f t="shared" si="12"/>
        <v>3000</v>
      </c>
      <c r="I97" s="343">
        <f t="shared" si="13"/>
        <v>1.4285714285714286</v>
      </c>
    </row>
    <row r="98" spans="1:9" x14ac:dyDescent="0.5">
      <c r="A98" s="66"/>
      <c r="B98" s="89"/>
      <c r="C98" s="360"/>
      <c r="D98" s="374"/>
      <c r="E98" s="374"/>
      <c r="F98" s="67"/>
      <c r="G98" s="375"/>
      <c r="H98" s="46"/>
      <c r="I98" s="343"/>
    </row>
    <row r="99" spans="1:9" ht="18.75" thickBot="1" x14ac:dyDescent="0.55000000000000004">
      <c r="A99" s="344"/>
      <c r="B99" s="356"/>
      <c r="C99" s="357"/>
      <c r="D99" s="376"/>
      <c r="E99" s="376"/>
      <c r="F99" s="376"/>
      <c r="G99" s="377"/>
      <c r="H99" s="346"/>
      <c r="I99" s="347"/>
    </row>
    <row r="100" spans="1:9" x14ac:dyDescent="0.5">
      <c r="B100" s="358" t="s">
        <v>4</v>
      </c>
      <c r="C100" s="350"/>
      <c r="D100" s="378"/>
      <c r="E100" s="378"/>
      <c r="F100" s="378"/>
      <c r="G100" s="379"/>
      <c r="H100" s="339">
        <f>SUM(H93:H99)</f>
        <v>16250</v>
      </c>
      <c r="I100" s="340">
        <f>SUM(I93:I99)</f>
        <v>7.7380952380952381</v>
      </c>
    </row>
    <row r="101" spans="1:9" x14ac:dyDescent="0.5">
      <c r="B101" s="237" t="s">
        <v>465</v>
      </c>
      <c r="C101" s="360"/>
      <c r="D101" s="374"/>
      <c r="E101" s="374"/>
      <c r="F101" s="374"/>
      <c r="G101" s="375"/>
      <c r="H101" s="342">
        <f>H100/10</f>
        <v>1625</v>
      </c>
      <c r="I101" s="361"/>
    </row>
    <row r="102" spans="1:9" x14ac:dyDescent="0.5">
      <c r="B102" s="237" t="s">
        <v>15</v>
      </c>
      <c r="C102" s="360"/>
      <c r="D102" s="374"/>
      <c r="E102" s="374"/>
      <c r="F102" s="374"/>
      <c r="G102" s="375"/>
      <c r="H102" s="361">
        <f>G90</f>
        <v>7000</v>
      </c>
      <c r="I102" s="361"/>
    </row>
    <row r="103" spans="1:9" x14ac:dyDescent="0.5">
      <c r="B103" s="237" t="s">
        <v>455</v>
      </c>
      <c r="C103" s="360"/>
      <c r="D103" s="374"/>
      <c r="E103" s="374"/>
      <c r="F103" s="374"/>
      <c r="G103" s="375"/>
      <c r="H103" s="103">
        <f>H102/113.3%</f>
        <v>6178.2877316857903</v>
      </c>
      <c r="I103" s="103"/>
    </row>
    <row r="104" spans="1:9" x14ac:dyDescent="0.5">
      <c r="B104" s="237" t="s">
        <v>16</v>
      </c>
      <c r="C104" s="360"/>
      <c r="D104" s="341"/>
      <c r="E104" s="341"/>
      <c r="F104" s="341"/>
      <c r="G104" s="342"/>
      <c r="H104" s="616">
        <f>H101/H103</f>
        <v>0.26301785714285714</v>
      </c>
      <c r="I104" s="713"/>
    </row>
    <row r="105" spans="1:9" x14ac:dyDescent="0.5">
      <c r="B105" s="237"/>
      <c r="C105" s="360"/>
      <c r="D105" s="341"/>
      <c r="E105" s="341"/>
      <c r="F105" s="341"/>
      <c r="G105" s="342"/>
      <c r="H105" s="342"/>
      <c r="I105" s="343"/>
    </row>
    <row r="106" spans="1:9" ht="18.75" thickBot="1" x14ac:dyDescent="0.55000000000000004">
      <c r="B106" s="344"/>
      <c r="C106" s="368"/>
      <c r="D106" s="369"/>
      <c r="E106" s="369"/>
      <c r="F106" s="369"/>
      <c r="G106" s="370"/>
      <c r="H106" s="370"/>
      <c r="I106" s="371"/>
    </row>
    <row r="107" spans="1:9" ht="18.75" thickBot="1" x14ac:dyDescent="0.55000000000000004"/>
    <row r="108" spans="1:9" s="51" customFormat="1" ht="21" x14ac:dyDescent="0.6">
      <c r="A108" s="617" t="s">
        <v>665</v>
      </c>
      <c r="B108" s="615" t="s">
        <v>867</v>
      </c>
      <c r="C108" s="592"/>
      <c r="D108" s="618"/>
      <c r="E108" s="618"/>
      <c r="F108" s="618"/>
      <c r="G108" s="593" t="s">
        <v>1</v>
      </c>
      <c r="H108" s="541" t="s">
        <v>868</v>
      </c>
      <c r="I108" s="619" t="s">
        <v>595</v>
      </c>
    </row>
    <row r="109" spans="1:9" s="51" customFormat="1" ht="21" x14ac:dyDescent="0.6">
      <c r="A109" s="628">
        <v>6</v>
      </c>
      <c r="B109" s="594" t="s">
        <v>5</v>
      </c>
      <c r="C109" s="594" t="s">
        <v>4</v>
      </c>
      <c r="D109" s="621" t="s">
        <v>3</v>
      </c>
      <c r="E109" s="540" t="s">
        <v>613</v>
      </c>
      <c r="F109" s="540" t="s">
        <v>614</v>
      </c>
      <c r="G109" s="595" t="s">
        <v>510</v>
      </c>
      <c r="H109" s="595" t="s">
        <v>7</v>
      </c>
      <c r="I109" s="648">
        <f>I67</f>
        <v>45574</v>
      </c>
    </row>
    <row r="110" spans="1:9" s="51" customFormat="1" ht="21.75" thickBot="1" x14ac:dyDescent="0.65">
      <c r="A110" s="622"/>
      <c r="B110" s="623"/>
      <c r="C110" s="623"/>
      <c r="D110" s="624">
        <v>10</v>
      </c>
      <c r="E110" s="553"/>
      <c r="F110" s="553"/>
      <c r="G110" s="597">
        <f>Summary!J97</f>
        <v>7000</v>
      </c>
      <c r="H110" s="649">
        <f>H122</f>
        <v>0.13414719999999999</v>
      </c>
      <c r="I110" s="625"/>
    </row>
    <row r="111" spans="1:9" s="51" customFormat="1" ht="21.75" thickBot="1" x14ac:dyDescent="0.65">
      <c r="A111" s="335"/>
      <c r="B111" s="50"/>
      <c r="C111" s="50"/>
      <c r="D111" s="336"/>
      <c r="E111" s="61"/>
      <c r="F111" s="61"/>
      <c r="G111" s="348"/>
      <c r="H111" s="348"/>
      <c r="I111" s="349"/>
    </row>
    <row r="112" spans="1:9" s="51" customFormat="1" ht="21" x14ac:dyDescent="0.6">
      <c r="A112" s="63" t="s">
        <v>605</v>
      </c>
      <c r="B112" s="350" t="s">
        <v>10</v>
      </c>
      <c r="C112" s="350" t="s">
        <v>9</v>
      </c>
      <c r="D112" s="338" t="s">
        <v>8</v>
      </c>
      <c r="E112" s="52" t="s">
        <v>613</v>
      </c>
      <c r="F112" s="52" t="s">
        <v>614</v>
      </c>
      <c r="G112" s="339" t="s">
        <v>11</v>
      </c>
      <c r="H112" s="339" t="s">
        <v>24</v>
      </c>
      <c r="I112" s="340" t="s">
        <v>25</v>
      </c>
    </row>
    <row r="113" spans="1:9" s="51" customFormat="1" ht="21" x14ac:dyDescent="0.6">
      <c r="A113" s="351" t="s">
        <v>533</v>
      </c>
      <c r="B113" s="438" t="s">
        <v>668</v>
      </c>
      <c r="C113" s="471" t="s">
        <v>13</v>
      </c>
      <c r="D113" s="472">
        <v>4</v>
      </c>
      <c r="E113" s="86">
        <v>0</v>
      </c>
      <c r="F113" s="67">
        <f t="shared" ref="F113:F117" si="14">D113+D113*E113</f>
        <v>4</v>
      </c>
      <c r="G113" s="353">
        <v>380</v>
      </c>
      <c r="H113" s="46">
        <f t="shared" ref="H113:H117" si="15">F113*G113</f>
        <v>1520</v>
      </c>
      <c r="I113" s="343">
        <f>H113/I$3</f>
        <v>0.72380952380952379</v>
      </c>
    </row>
    <row r="114" spans="1:9" s="51" customFormat="1" ht="21" x14ac:dyDescent="0.6">
      <c r="A114" s="351" t="s">
        <v>472</v>
      </c>
      <c r="B114" s="444" t="s">
        <v>612</v>
      </c>
      <c r="C114" s="462" t="s">
        <v>596</v>
      </c>
      <c r="D114" s="463">
        <v>0.06</v>
      </c>
      <c r="E114" s="86">
        <v>0</v>
      </c>
      <c r="F114" s="67">
        <f t="shared" si="14"/>
        <v>0.06</v>
      </c>
      <c r="G114" s="34">
        <v>5800</v>
      </c>
      <c r="H114" s="46">
        <f t="shared" si="15"/>
        <v>348</v>
      </c>
      <c r="I114" s="343">
        <f>H114/I$3</f>
        <v>0.1657142857142857</v>
      </c>
    </row>
    <row r="115" spans="1:9" s="51" customFormat="1" ht="21" x14ac:dyDescent="0.6">
      <c r="A115" s="351" t="s">
        <v>579</v>
      </c>
      <c r="B115" s="444" t="s">
        <v>669</v>
      </c>
      <c r="C115" s="445" t="s">
        <v>463</v>
      </c>
      <c r="D115" s="446">
        <v>0.5</v>
      </c>
      <c r="E115" s="86">
        <v>0</v>
      </c>
      <c r="F115" s="67">
        <f t="shared" si="14"/>
        <v>0.5</v>
      </c>
      <c r="G115" s="34">
        <v>3000</v>
      </c>
      <c r="H115" s="46">
        <f t="shared" si="15"/>
        <v>1500</v>
      </c>
      <c r="I115" s="343">
        <f>H115/I$3</f>
        <v>0.7142857142857143</v>
      </c>
    </row>
    <row r="116" spans="1:9" s="51" customFormat="1" ht="21" x14ac:dyDescent="0.6">
      <c r="A116" s="354" t="s">
        <v>542</v>
      </c>
      <c r="B116" s="457" t="s">
        <v>715</v>
      </c>
      <c r="C116" s="473" t="s">
        <v>13</v>
      </c>
      <c r="D116" s="474">
        <v>0.6</v>
      </c>
      <c r="E116" s="86">
        <v>0.2</v>
      </c>
      <c r="F116" s="67">
        <f t="shared" si="14"/>
        <v>0.72</v>
      </c>
      <c r="G116" s="35">
        <v>3500</v>
      </c>
      <c r="H116" s="46">
        <f t="shared" si="15"/>
        <v>2520</v>
      </c>
      <c r="I116" s="343">
        <f>H116/I$3</f>
        <v>1.2</v>
      </c>
    </row>
    <row r="117" spans="1:9" s="51" customFormat="1" ht="21.75" thickBot="1" x14ac:dyDescent="0.65">
      <c r="A117" s="351" t="s">
        <v>499</v>
      </c>
      <c r="B117" s="444" t="s">
        <v>852</v>
      </c>
      <c r="C117" s="462" t="s">
        <v>13</v>
      </c>
      <c r="D117" s="464">
        <v>0.5</v>
      </c>
      <c r="E117" s="86">
        <v>0.2</v>
      </c>
      <c r="F117" s="67">
        <f t="shared" si="14"/>
        <v>0.6</v>
      </c>
      <c r="G117" s="143">
        <v>4000</v>
      </c>
      <c r="H117" s="46">
        <f t="shared" si="15"/>
        <v>2400</v>
      </c>
      <c r="I117" s="343">
        <f>H117/I$3</f>
        <v>1.1428571428571428</v>
      </c>
    </row>
    <row r="118" spans="1:9" s="51" customFormat="1" ht="21" x14ac:dyDescent="0.6">
      <c r="A118" s="335"/>
      <c r="B118" s="358" t="s">
        <v>4</v>
      </c>
      <c r="C118" s="350"/>
      <c r="D118" s="338"/>
      <c r="E118" s="338"/>
      <c r="F118" s="338"/>
      <c r="G118" s="339"/>
      <c r="H118" s="339">
        <f>SUM(H113:H117)</f>
        <v>8288</v>
      </c>
      <c r="I118" s="359">
        <f>SUM(I113:I117)</f>
        <v>3.9466666666666668</v>
      </c>
    </row>
    <row r="119" spans="1:9" s="51" customFormat="1" ht="21" x14ac:dyDescent="0.6">
      <c r="A119" s="335"/>
      <c r="B119" s="237" t="s">
        <v>14</v>
      </c>
      <c r="C119" s="360"/>
      <c r="D119" s="341"/>
      <c r="E119" s="341"/>
      <c r="F119" s="341"/>
      <c r="G119" s="342"/>
      <c r="H119" s="342">
        <f>H118/D110</f>
        <v>828.8</v>
      </c>
      <c r="I119" s="361"/>
    </row>
    <row r="120" spans="1:9" s="51" customFormat="1" ht="21" x14ac:dyDescent="0.6">
      <c r="A120" s="335"/>
      <c r="B120" s="237" t="s">
        <v>453</v>
      </c>
      <c r="C120" s="360"/>
      <c r="D120" s="341"/>
      <c r="E120" s="341"/>
      <c r="F120" s="341"/>
      <c r="G120" s="342"/>
      <c r="H120" s="527">
        <f>G110</f>
        <v>7000</v>
      </c>
      <c r="I120" s="527"/>
    </row>
    <row r="121" spans="1:9" s="51" customFormat="1" ht="21" x14ac:dyDescent="0.6">
      <c r="A121" s="335"/>
      <c r="B121" s="237" t="s">
        <v>455</v>
      </c>
      <c r="C121" s="360"/>
      <c r="D121" s="341"/>
      <c r="E121" s="341"/>
      <c r="F121" s="341"/>
      <c r="G121" s="342"/>
      <c r="H121" s="104">
        <f>H120/113.3%</f>
        <v>6178.2877316857903</v>
      </c>
      <c r="I121" s="104"/>
    </row>
    <row r="122" spans="1:9" s="51" customFormat="1" ht="21" x14ac:dyDescent="0.6">
      <c r="A122" s="335"/>
      <c r="B122" s="237" t="s">
        <v>16</v>
      </c>
      <c r="C122" s="360"/>
      <c r="D122" s="341"/>
      <c r="E122" s="341"/>
      <c r="F122" s="341"/>
      <c r="G122" s="342"/>
      <c r="H122" s="616">
        <f>H119/H121</f>
        <v>0.13414719999999999</v>
      </c>
      <c r="I122" s="616"/>
    </row>
    <row r="123" spans="1:9" s="51" customFormat="1" ht="21.75" thickBot="1" x14ac:dyDescent="0.65">
      <c r="A123" s="335"/>
      <c r="B123" s="362"/>
      <c r="C123" s="357"/>
      <c r="D123" s="345"/>
      <c r="E123" s="345"/>
      <c r="F123" s="345"/>
      <c r="G123" s="346"/>
      <c r="H123" s="346"/>
      <c r="I123" s="347"/>
    </row>
    <row r="126" spans="1:9" ht="18.75" thickBot="1" x14ac:dyDescent="0.55000000000000004">
      <c r="B126" s="48"/>
      <c r="C126" s="48"/>
      <c r="D126" s="336" t="s">
        <v>0</v>
      </c>
      <c r="E126" s="336"/>
      <c r="F126" s="336"/>
      <c r="G126" s="49"/>
      <c r="H126" s="49"/>
      <c r="I126" s="367"/>
    </row>
    <row r="127" spans="1:9" x14ac:dyDescent="0.5">
      <c r="A127" s="626" t="s">
        <v>665</v>
      </c>
      <c r="B127" s="629" t="s">
        <v>860</v>
      </c>
      <c r="C127" s="592"/>
      <c r="D127" s="618"/>
      <c r="E127" s="618"/>
      <c r="F127" s="618"/>
      <c r="G127" s="593" t="s">
        <v>1</v>
      </c>
      <c r="H127" s="541" t="s">
        <v>868</v>
      </c>
      <c r="I127" s="619" t="s">
        <v>595</v>
      </c>
    </row>
    <row r="128" spans="1:9" x14ac:dyDescent="0.5">
      <c r="A128" s="628">
        <v>5</v>
      </c>
      <c r="B128" s="594" t="s">
        <v>5</v>
      </c>
      <c r="C128" s="594" t="s">
        <v>4</v>
      </c>
      <c r="D128" s="621" t="s">
        <v>3</v>
      </c>
      <c r="E128" s="540" t="s">
        <v>613</v>
      </c>
      <c r="F128" s="540" t="s">
        <v>614</v>
      </c>
      <c r="G128" s="595" t="s">
        <v>510</v>
      </c>
      <c r="H128" s="595" t="s">
        <v>7</v>
      </c>
      <c r="I128" s="648">
        <f>I109</f>
        <v>45574</v>
      </c>
    </row>
    <row r="129" spans="1:9" ht="18.75" thickBot="1" x14ac:dyDescent="0.55000000000000004">
      <c r="A129" s="622"/>
      <c r="B129" s="623"/>
      <c r="C129" s="623"/>
      <c r="D129" s="624">
        <v>5</v>
      </c>
      <c r="E129" s="553"/>
      <c r="F129" s="553"/>
      <c r="G129" s="650">
        <f>Summary!J98</f>
        <v>8000</v>
      </c>
      <c r="H129" s="649">
        <f>H143</f>
        <v>0.25321238657407408</v>
      </c>
      <c r="I129" s="625"/>
    </row>
    <row r="130" spans="1:9" ht="18.75" thickBot="1" x14ac:dyDescent="0.55000000000000004">
      <c r="B130" s="50"/>
      <c r="C130" s="50"/>
      <c r="D130" s="336"/>
      <c r="E130" s="61"/>
      <c r="F130" s="61"/>
      <c r="G130" s="49"/>
      <c r="H130" s="49"/>
      <c r="I130" s="367"/>
    </row>
    <row r="131" spans="1:9" x14ac:dyDescent="0.5">
      <c r="A131" s="63" t="s">
        <v>605</v>
      </c>
      <c r="B131" s="350" t="s">
        <v>10</v>
      </c>
      <c r="C131" s="350" t="s">
        <v>9</v>
      </c>
      <c r="D131" s="338" t="s">
        <v>8</v>
      </c>
      <c r="E131" s="52" t="s">
        <v>613</v>
      </c>
      <c r="F131" s="52" t="s">
        <v>614</v>
      </c>
      <c r="G131" s="339" t="s">
        <v>11</v>
      </c>
      <c r="H131" s="339" t="s">
        <v>24</v>
      </c>
      <c r="I131" s="340" t="s">
        <v>25</v>
      </c>
    </row>
    <row r="132" spans="1:9" x14ac:dyDescent="0.5">
      <c r="A132" s="236" t="s">
        <v>550</v>
      </c>
      <c r="B132" s="444" t="s">
        <v>668</v>
      </c>
      <c r="C132" s="462" t="s">
        <v>13</v>
      </c>
      <c r="D132" s="463">
        <v>6</v>
      </c>
      <c r="E132" s="86">
        <v>0</v>
      </c>
      <c r="F132" s="67">
        <f>D132+D132*E132</f>
        <v>6</v>
      </c>
      <c r="G132" s="381">
        <v>380</v>
      </c>
      <c r="H132" s="46">
        <f>F132*G132</f>
        <v>2280</v>
      </c>
      <c r="I132" s="343">
        <f t="shared" ref="I132:I137" si="16">H132/I$3</f>
        <v>1.0857142857142856</v>
      </c>
    </row>
    <row r="133" spans="1:9" x14ac:dyDescent="0.5">
      <c r="A133" s="236" t="s">
        <v>549</v>
      </c>
      <c r="B133" s="444" t="s">
        <v>612</v>
      </c>
      <c r="C133" s="462" t="s">
        <v>23</v>
      </c>
      <c r="D133" s="463">
        <v>0.15</v>
      </c>
      <c r="E133" s="86">
        <v>0</v>
      </c>
      <c r="F133" s="67">
        <f>D133+D133*E133</f>
        <v>0.15</v>
      </c>
      <c r="G133" s="381">
        <f>5800/1.62</f>
        <v>3580.2469135802467</v>
      </c>
      <c r="H133" s="46">
        <f>F133*G133</f>
        <v>537.03703703703695</v>
      </c>
      <c r="I133" s="343">
        <f t="shared" si="16"/>
        <v>0.25573192239858905</v>
      </c>
    </row>
    <row r="134" spans="1:9" x14ac:dyDescent="0.5">
      <c r="A134" s="236" t="s">
        <v>551</v>
      </c>
      <c r="B134" s="444" t="s">
        <v>861</v>
      </c>
      <c r="C134" s="445" t="s">
        <v>23</v>
      </c>
      <c r="D134" s="446">
        <v>0.1</v>
      </c>
      <c r="E134" s="86">
        <v>0</v>
      </c>
      <c r="F134" s="67">
        <f>D134+D134*E134</f>
        <v>0.1</v>
      </c>
      <c r="G134" s="34">
        <v>25000</v>
      </c>
      <c r="H134" s="46">
        <f>F134*G134</f>
        <v>2500</v>
      </c>
      <c r="I134" s="343">
        <f t="shared" si="16"/>
        <v>1.1904761904761905</v>
      </c>
    </row>
    <row r="135" spans="1:9" x14ac:dyDescent="0.5">
      <c r="A135" s="382" t="s">
        <v>548</v>
      </c>
      <c r="B135" s="444" t="s">
        <v>862</v>
      </c>
      <c r="C135" s="445" t="s">
        <v>23</v>
      </c>
      <c r="D135" s="446">
        <v>0.15</v>
      </c>
      <c r="E135" s="86">
        <v>0</v>
      </c>
      <c r="F135" s="67">
        <f>D135+D135*E135</f>
        <v>0.15</v>
      </c>
      <c r="G135" s="381">
        <v>22500</v>
      </c>
      <c r="H135" s="46">
        <f>F135*G135</f>
        <v>3375</v>
      </c>
      <c r="I135" s="343">
        <f t="shared" si="16"/>
        <v>1.6071428571428572</v>
      </c>
    </row>
    <row r="136" spans="1:9" ht="18.75" x14ac:dyDescent="0.5">
      <c r="A136" s="461"/>
      <c r="B136" s="444" t="s">
        <v>664</v>
      </c>
      <c r="C136" s="462" t="s">
        <v>463</v>
      </c>
      <c r="D136" s="464"/>
      <c r="E136" s="86">
        <v>0</v>
      </c>
      <c r="F136" s="20"/>
      <c r="G136" s="381">
        <v>40000</v>
      </c>
      <c r="H136" s="46">
        <f t="shared" ref="H136:H137" si="17">F136*G136</f>
        <v>0</v>
      </c>
      <c r="I136" s="343">
        <f t="shared" si="16"/>
        <v>0</v>
      </c>
    </row>
    <row r="137" spans="1:9" ht="18.75" x14ac:dyDescent="0.5">
      <c r="A137" s="461"/>
      <c r="B137" s="444" t="s">
        <v>863</v>
      </c>
      <c r="C137" s="462" t="s">
        <v>23</v>
      </c>
      <c r="D137" s="465">
        <v>3.0000000000000001E-3</v>
      </c>
      <c r="E137" s="86">
        <v>0</v>
      </c>
      <c r="F137" s="20">
        <v>3.0000000000000001E-3</v>
      </c>
      <c r="G137" s="381">
        <v>82500</v>
      </c>
      <c r="H137" s="46">
        <f t="shared" si="17"/>
        <v>247.5</v>
      </c>
      <c r="I137" s="343">
        <f t="shared" si="16"/>
        <v>0.11785714285714285</v>
      </c>
    </row>
    <row r="138" spans="1:9" ht="18.75" thickBot="1" x14ac:dyDescent="0.55000000000000004">
      <c r="A138" s="384"/>
      <c r="B138" s="356"/>
      <c r="C138" s="357"/>
      <c r="D138" s="376"/>
      <c r="E138" s="376"/>
      <c r="F138" s="376"/>
      <c r="G138" s="377"/>
      <c r="H138" s="346"/>
      <c r="I138" s="347"/>
    </row>
    <row r="139" spans="1:9" x14ac:dyDescent="0.5">
      <c r="B139" s="358" t="s">
        <v>4</v>
      </c>
      <c r="C139" s="350"/>
      <c r="D139" s="378"/>
      <c r="E139" s="378"/>
      <c r="F139" s="378"/>
      <c r="G139" s="379"/>
      <c r="H139" s="339">
        <f>SUM(H132:H138)</f>
        <v>8939.5370370370365</v>
      </c>
      <c r="I139" s="359">
        <f>SUM(I132:I138)</f>
        <v>4.2569223985890652</v>
      </c>
    </row>
    <row r="140" spans="1:9" x14ac:dyDescent="0.5">
      <c r="B140" s="237" t="s">
        <v>14</v>
      </c>
      <c r="C140" s="360"/>
      <c r="D140" s="374"/>
      <c r="E140" s="374"/>
      <c r="F140" s="374"/>
      <c r="G140" s="375"/>
      <c r="H140" s="342">
        <f>H139/A128</f>
        <v>1787.9074074074074</v>
      </c>
      <c r="I140" s="527"/>
    </row>
    <row r="141" spans="1:9" x14ac:dyDescent="0.5">
      <c r="B141" s="237" t="s">
        <v>453</v>
      </c>
      <c r="C141" s="360"/>
      <c r="D141" s="374"/>
      <c r="E141" s="374"/>
      <c r="F141" s="374"/>
      <c r="G141" s="375"/>
      <c r="H141" s="527">
        <f>G129</f>
        <v>8000</v>
      </c>
      <c r="I141" s="527"/>
    </row>
    <row r="142" spans="1:9" x14ac:dyDescent="0.5">
      <c r="B142" s="237" t="s">
        <v>455</v>
      </c>
      <c r="C142" s="360"/>
      <c r="D142" s="374"/>
      <c r="E142" s="374"/>
      <c r="F142" s="374"/>
      <c r="G142" s="375"/>
      <c r="H142" s="104">
        <f>H141/113.3%</f>
        <v>7060.9002647837597</v>
      </c>
      <c r="I142" s="104"/>
    </row>
    <row r="143" spans="1:9" x14ac:dyDescent="0.5">
      <c r="B143" s="237" t="s">
        <v>16</v>
      </c>
      <c r="C143" s="360"/>
      <c r="D143" s="341"/>
      <c r="E143" s="341"/>
      <c r="F143" s="341"/>
      <c r="G143" s="342"/>
      <c r="H143" s="616">
        <f>H140/H142</f>
        <v>0.25321238657407408</v>
      </c>
      <c r="I143" s="616"/>
    </row>
    <row r="144" spans="1:9" ht="18.75" thickBot="1" x14ac:dyDescent="0.55000000000000004">
      <c r="B144" s="362"/>
      <c r="C144" s="357"/>
      <c r="D144" s="345"/>
      <c r="E144" s="345"/>
      <c r="F144" s="345"/>
      <c r="G144" s="346"/>
      <c r="H144" s="346"/>
      <c r="I144" s="529"/>
    </row>
    <row r="147" spans="1:12" ht="18.75" thickBot="1" x14ac:dyDescent="0.55000000000000004">
      <c r="B147" s="48"/>
      <c r="C147" s="48"/>
      <c r="D147" s="336" t="s">
        <v>0</v>
      </c>
      <c r="E147" s="336"/>
      <c r="F147" s="336"/>
      <c r="G147" s="49"/>
      <c r="H147" s="49"/>
      <c r="I147" s="367"/>
    </row>
    <row r="148" spans="1:12" ht="18.75" thickBot="1" x14ac:dyDescent="0.55000000000000004">
      <c r="A148" s="626" t="s">
        <v>665</v>
      </c>
      <c r="B148" s="613" t="s">
        <v>864</v>
      </c>
      <c r="C148" s="592"/>
      <c r="D148" s="618"/>
      <c r="E148" s="618"/>
      <c r="F148" s="618"/>
      <c r="G148" s="593" t="s">
        <v>1</v>
      </c>
      <c r="H148" s="541" t="s">
        <v>868</v>
      </c>
      <c r="I148" s="619" t="s">
        <v>595</v>
      </c>
    </row>
    <row r="149" spans="1:12" x14ac:dyDescent="0.5">
      <c r="A149" s="620">
        <v>8</v>
      </c>
      <c r="B149" s="594" t="s">
        <v>5</v>
      </c>
      <c r="C149" s="594" t="s">
        <v>4</v>
      </c>
      <c r="D149" s="621" t="s">
        <v>3</v>
      </c>
      <c r="E149" s="540" t="s">
        <v>613</v>
      </c>
      <c r="F149" s="540" t="s">
        <v>614</v>
      </c>
      <c r="G149" s="595" t="s">
        <v>510</v>
      </c>
      <c r="H149" s="595" t="s">
        <v>7</v>
      </c>
      <c r="I149" s="648">
        <f>I128</f>
        <v>45574</v>
      </c>
    </row>
    <row r="150" spans="1:12" ht="18.75" thickBot="1" x14ac:dyDescent="0.55000000000000004">
      <c r="A150" s="622"/>
      <c r="B150" s="623"/>
      <c r="C150" s="623"/>
      <c r="D150" s="624">
        <v>1</v>
      </c>
      <c r="E150" s="553"/>
      <c r="F150" s="553"/>
      <c r="G150" s="650">
        <f>Summary!J99</f>
        <v>8000</v>
      </c>
      <c r="H150" s="649">
        <f>H164</f>
        <v>0.21355279687500001</v>
      </c>
      <c r="I150" s="625"/>
    </row>
    <row r="151" spans="1:12" ht="18.75" thickBot="1" x14ac:dyDescent="0.55000000000000004">
      <c r="B151" s="50"/>
      <c r="C151" s="50"/>
      <c r="D151" s="336"/>
      <c r="E151" s="61"/>
      <c r="F151" s="61"/>
      <c r="G151" s="49"/>
      <c r="H151" s="49"/>
      <c r="I151" s="367"/>
      <c r="K151" s="630"/>
      <c r="L151" s="630"/>
    </row>
    <row r="152" spans="1:12" x14ac:dyDescent="0.5">
      <c r="A152" s="63" t="s">
        <v>605</v>
      </c>
      <c r="B152" s="350" t="s">
        <v>10</v>
      </c>
      <c r="C152" s="350" t="s">
        <v>9</v>
      </c>
      <c r="D152" s="338" t="s">
        <v>8</v>
      </c>
      <c r="E152" s="52" t="s">
        <v>613</v>
      </c>
      <c r="F152" s="52" t="s">
        <v>614</v>
      </c>
      <c r="G152" s="339" t="s">
        <v>11</v>
      </c>
      <c r="H152" s="339" t="s">
        <v>24</v>
      </c>
      <c r="I152" s="340" t="s">
        <v>25</v>
      </c>
      <c r="K152" s="630"/>
      <c r="L152" s="630"/>
    </row>
    <row r="153" spans="1:12" x14ac:dyDescent="0.5">
      <c r="A153" s="236">
        <v>10200095</v>
      </c>
      <c r="B153" s="466" t="s">
        <v>668</v>
      </c>
      <c r="C153" s="467" t="s">
        <v>13</v>
      </c>
      <c r="D153" s="468">
        <v>8</v>
      </c>
      <c r="E153" s="86">
        <v>0</v>
      </c>
      <c r="F153" s="67">
        <f>D153+D153*E153</f>
        <v>8</v>
      </c>
      <c r="G153" s="385">
        <v>380</v>
      </c>
      <c r="H153" s="46">
        <f>F153*G153</f>
        <v>3040</v>
      </c>
      <c r="I153" s="343">
        <f>H153/I$3</f>
        <v>1.4476190476190476</v>
      </c>
      <c r="K153" s="630"/>
      <c r="L153" s="630"/>
    </row>
    <row r="154" spans="1:12" x14ac:dyDescent="0.5">
      <c r="A154" s="351" t="s">
        <v>472</v>
      </c>
      <c r="B154" s="466" t="s">
        <v>865</v>
      </c>
      <c r="C154" s="467" t="s">
        <v>471</v>
      </c>
      <c r="D154" s="468">
        <v>0.15</v>
      </c>
      <c r="E154" s="86">
        <v>0</v>
      </c>
      <c r="F154" s="67">
        <f>D154+D154*E154</f>
        <v>0.15</v>
      </c>
      <c r="G154" s="34">
        <v>5800</v>
      </c>
      <c r="H154" s="46">
        <f>F154*G154</f>
        <v>870</v>
      </c>
      <c r="I154" s="343">
        <f>H154/I$3</f>
        <v>0.41428571428571431</v>
      </c>
      <c r="K154" s="630"/>
      <c r="L154" s="630"/>
    </row>
    <row r="155" spans="1:12" x14ac:dyDescent="0.5">
      <c r="A155" s="354" t="s">
        <v>531</v>
      </c>
      <c r="B155" s="466" t="s">
        <v>618</v>
      </c>
      <c r="C155" s="467" t="s">
        <v>22</v>
      </c>
      <c r="D155" s="468">
        <v>0.1</v>
      </c>
      <c r="E155" s="86">
        <v>0</v>
      </c>
      <c r="F155" s="67">
        <f>D155+D155*E155</f>
        <v>0.1</v>
      </c>
      <c r="G155" s="34">
        <v>4375</v>
      </c>
      <c r="H155" s="46">
        <f>F155*G155</f>
        <v>437.5</v>
      </c>
      <c r="I155" s="343">
        <f>H155/I$3</f>
        <v>0.20833333333333334</v>
      </c>
      <c r="K155" s="630"/>
      <c r="L155" s="630"/>
    </row>
    <row r="156" spans="1:12" x14ac:dyDescent="0.5">
      <c r="A156" s="354" t="s">
        <v>542</v>
      </c>
      <c r="B156" s="466" t="s">
        <v>691</v>
      </c>
      <c r="C156" s="467" t="s">
        <v>22</v>
      </c>
      <c r="D156" s="469">
        <v>5.0000000000000001E-3</v>
      </c>
      <c r="E156" s="86">
        <v>0</v>
      </c>
      <c r="F156" s="67">
        <f>D156+D156*E156</f>
        <v>5.0000000000000001E-3</v>
      </c>
      <c r="G156" s="35">
        <v>5900</v>
      </c>
      <c r="H156" s="46">
        <f>F156*G156</f>
        <v>29.5</v>
      </c>
      <c r="I156" s="343">
        <f>H156/I$3</f>
        <v>1.4047619047619048E-2</v>
      </c>
      <c r="K156" s="630"/>
      <c r="L156" s="630"/>
    </row>
    <row r="157" spans="1:12" x14ac:dyDescent="0.5">
      <c r="A157" s="66" t="s">
        <v>563</v>
      </c>
      <c r="B157" s="466" t="s">
        <v>712</v>
      </c>
      <c r="C157" s="467" t="s">
        <v>22</v>
      </c>
      <c r="D157" s="469">
        <v>1.2E-2</v>
      </c>
      <c r="E157" s="86">
        <v>0</v>
      </c>
      <c r="F157" s="67">
        <f>D157+D157*E157</f>
        <v>1.2E-2</v>
      </c>
      <c r="G157" s="274">
        <v>14500</v>
      </c>
      <c r="H157" s="46">
        <f>F157*G157</f>
        <v>174</v>
      </c>
      <c r="I157" s="343">
        <f>H157/I$3</f>
        <v>8.2857142857142851E-2</v>
      </c>
      <c r="K157" s="630"/>
      <c r="L157" s="630"/>
    </row>
    <row r="158" spans="1:12" x14ac:dyDescent="0.5">
      <c r="A158" s="240"/>
      <c r="B158" s="530" t="s">
        <v>672</v>
      </c>
      <c r="C158" s="531" t="s">
        <v>471</v>
      </c>
      <c r="D158" s="532">
        <v>0.04</v>
      </c>
      <c r="E158" s="411">
        <v>0</v>
      </c>
      <c r="F158" s="413">
        <v>0.04</v>
      </c>
      <c r="G158" s="470">
        <v>7800</v>
      </c>
      <c r="H158" s="414">
        <f t="shared" ref="H158:H159" si="18">F158*G158</f>
        <v>312</v>
      </c>
      <c r="I158" s="453">
        <f t="shared" ref="I158:I159" si="19">H158/I$3</f>
        <v>0.14857142857142858</v>
      </c>
    </row>
    <row r="159" spans="1:12" ht="18.75" thickBot="1" x14ac:dyDescent="0.55000000000000004">
      <c r="A159" s="509"/>
      <c r="B159" s="533" t="s">
        <v>866</v>
      </c>
      <c r="C159" s="534" t="s">
        <v>23</v>
      </c>
      <c r="D159" s="535">
        <v>0.1</v>
      </c>
      <c r="E159" s="394">
        <v>0</v>
      </c>
      <c r="F159" s="96">
        <v>0.1</v>
      </c>
      <c r="G159" s="536">
        <v>72000</v>
      </c>
      <c r="H159" s="59">
        <f t="shared" si="18"/>
        <v>7200</v>
      </c>
      <c r="I159" s="366">
        <f t="shared" si="19"/>
        <v>3.4285714285714284</v>
      </c>
    </row>
    <row r="160" spans="1:12" x14ac:dyDescent="0.5">
      <c r="B160" s="386" t="s">
        <v>4</v>
      </c>
      <c r="C160" s="387"/>
      <c r="D160" s="388"/>
      <c r="E160" s="388"/>
      <c r="F160" s="388"/>
      <c r="G160" s="389"/>
      <c r="H160" s="389">
        <f>SUM(H153:H159)</f>
        <v>12063</v>
      </c>
      <c r="I160" s="390">
        <f>SUM(I153:I159)</f>
        <v>5.7442857142857147</v>
      </c>
    </row>
    <row r="161" spans="1:9" x14ac:dyDescent="0.5">
      <c r="B161" s="237" t="s">
        <v>14</v>
      </c>
      <c r="C161" s="360"/>
      <c r="D161" s="341"/>
      <c r="E161" s="341"/>
      <c r="F161" s="341"/>
      <c r="G161" s="342"/>
      <c r="H161" s="342">
        <f>H160/A149</f>
        <v>1507.875</v>
      </c>
      <c r="I161" s="527">
        <f>H161</f>
        <v>1507.875</v>
      </c>
    </row>
    <row r="162" spans="1:9" x14ac:dyDescent="0.5">
      <c r="B162" s="237" t="s">
        <v>453</v>
      </c>
      <c r="C162" s="360"/>
      <c r="D162" s="341"/>
      <c r="E162" s="341"/>
      <c r="F162" s="341"/>
      <c r="G162" s="342"/>
      <c r="H162" s="527">
        <f>G150</f>
        <v>8000</v>
      </c>
      <c r="I162" s="527"/>
    </row>
    <row r="163" spans="1:9" x14ac:dyDescent="0.5">
      <c r="B163" s="237" t="s">
        <v>455</v>
      </c>
      <c r="C163" s="360"/>
      <c r="D163" s="341"/>
      <c r="E163" s="341"/>
      <c r="F163" s="341"/>
      <c r="G163" s="342"/>
      <c r="H163" s="104">
        <f>H162/113.3%</f>
        <v>7060.9002647837597</v>
      </c>
      <c r="I163" s="104"/>
    </row>
    <row r="164" spans="1:9" x14ac:dyDescent="0.5">
      <c r="B164" s="237" t="s">
        <v>16</v>
      </c>
      <c r="C164" s="360"/>
      <c r="D164" s="341"/>
      <c r="E164" s="341"/>
      <c r="F164" s="341"/>
      <c r="G164" s="342"/>
      <c r="H164" s="616">
        <f>H161/H163</f>
        <v>0.21355279687500001</v>
      </c>
      <c r="I164" s="616"/>
    </row>
    <row r="165" spans="1:9" ht="18.75" thickBot="1" x14ac:dyDescent="0.55000000000000004">
      <c r="B165" s="344"/>
      <c r="C165" s="368"/>
      <c r="D165" s="369"/>
      <c r="E165" s="369"/>
      <c r="F165" s="369"/>
      <c r="G165" s="370"/>
      <c r="H165" s="370"/>
      <c r="I165" s="371"/>
    </row>
    <row r="167" spans="1:9" s="51" customFormat="1" ht="21" x14ac:dyDescent="0.6">
      <c r="A167" s="948"/>
      <c r="B167" s="948"/>
      <c r="C167" s="948"/>
      <c r="D167" s="948"/>
      <c r="E167" s="948"/>
      <c r="F167" s="948"/>
      <c r="G167" s="948"/>
      <c r="H167" s="948"/>
      <c r="I167" s="948"/>
    </row>
    <row r="168" spans="1:9" s="51" customFormat="1" ht="21" x14ac:dyDescent="0.6">
      <c r="D168" s="221"/>
      <c r="G168" s="193"/>
      <c r="H168" s="193"/>
    </row>
    <row r="169" spans="1:9" s="51" customFormat="1" ht="21" x14ac:dyDescent="0.6">
      <c r="D169" s="221"/>
      <c r="G169" s="193"/>
      <c r="H169" s="193"/>
    </row>
    <row r="170" spans="1:9" s="51" customFormat="1" ht="21" x14ac:dyDescent="0.6">
      <c r="D170" s="221"/>
      <c r="G170" s="193"/>
      <c r="H170" s="193"/>
    </row>
    <row r="171" spans="1:9" s="51" customFormat="1" ht="21" x14ac:dyDescent="0.6">
      <c r="D171" s="221"/>
      <c r="G171" s="193"/>
      <c r="H171" s="193"/>
    </row>
    <row r="172" spans="1:9" s="51" customFormat="1" ht="21" x14ac:dyDescent="0.6">
      <c r="D172" s="221"/>
      <c r="G172" s="193"/>
      <c r="H172" s="193"/>
    </row>
    <row r="173" spans="1:9" s="51" customFormat="1" ht="21" x14ac:dyDescent="0.6">
      <c r="D173" s="221"/>
      <c r="G173" s="193"/>
      <c r="H173" s="193"/>
    </row>
    <row r="174" spans="1:9" s="51" customFormat="1" ht="21" x14ac:dyDescent="0.6">
      <c r="D174" s="221"/>
      <c r="G174" s="193"/>
      <c r="H174" s="193"/>
    </row>
    <row r="175" spans="1:9" s="51" customFormat="1" ht="21" x14ac:dyDescent="0.6">
      <c r="D175" s="221"/>
      <c r="G175" s="193"/>
      <c r="H175" s="193"/>
    </row>
    <row r="176" spans="1:9" s="51" customFormat="1" ht="21" x14ac:dyDescent="0.6">
      <c r="D176" s="221"/>
      <c r="G176" s="193"/>
      <c r="H176" s="193"/>
    </row>
    <row r="177" spans="4:8" s="51" customFormat="1" ht="21" x14ac:dyDescent="0.6">
      <c r="D177" s="221"/>
      <c r="G177" s="193"/>
      <c r="H177" s="193"/>
    </row>
    <row r="178" spans="4:8" s="51" customFormat="1" ht="21" x14ac:dyDescent="0.6">
      <c r="D178" s="221"/>
      <c r="G178" s="193"/>
      <c r="H178" s="193"/>
    </row>
    <row r="179" spans="4:8" s="51" customFormat="1" ht="21" x14ac:dyDescent="0.6">
      <c r="D179" s="221"/>
      <c r="G179" s="193"/>
      <c r="H179" s="193"/>
    </row>
    <row r="180" spans="4:8" s="51" customFormat="1" ht="21" x14ac:dyDescent="0.6">
      <c r="D180" s="221"/>
      <c r="G180" s="193"/>
      <c r="H180" s="193"/>
    </row>
    <row r="181" spans="4:8" s="51" customFormat="1" ht="21" x14ac:dyDescent="0.6">
      <c r="D181" s="221"/>
      <c r="G181" s="193"/>
      <c r="H181" s="193"/>
    </row>
    <row r="182" spans="4:8" s="51" customFormat="1" ht="21" x14ac:dyDescent="0.6">
      <c r="D182" s="221"/>
      <c r="G182" s="193"/>
      <c r="H182" s="193"/>
    </row>
    <row r="183" spans="4:8" s="51" customFormat="1" ht="21" x14ac:dyDescent="0.6">
      <c r="D183" s="221"/>
      <c r="G183" s="193"/>
      <c r="H183" s="193"/>
    </row>
    <row r="184" spans="4:8" s="51" customFormat="1" ht="21" x14ac:dyDescent="0.6">
      <c r="D184" s="221"/>
      <c r="G184" s="193"/>
      <c r="H184" s="193"/>
    </row>
    <row r="185" spans="4:8" s="51" customFormat="1" ht="21" x14ac:dyDescent="0.6">
      <c r="D185" s="221"/>
      <c r="G185" s="193"/>
      <c r="H185" s="193"/>
    </row>
    <row r="186" spans="4:8" s="51" customFormat="1" ht="21" x14ac:dyDescent="0.6">
      <c r="D186" s="221"/>
      <c r="G186" s="193"/>
      <c r="H186" s="193"/>
    </row>
    <row r="187" spans="4:8" s="51" customFormat="1" ht="21" x14ac:dyDescent="0.6">
      <c r="D187" s="221"/>
      <c r="G187" s="193"/>
      <c r="H187" s="193"/>
    </row>
    <row r="188" spans="4:8" s="51" customFormat="1" ht="21" x14ac:dyDescent="0.6">
      <c r="D188" s="221"/>
      <c r="G188" s="193"/>
      <c r="H188" s="193"/>
    </row>
    <row r="189" spans="4:8" s="51" customFormat="1" ht="21" x14ac:dyDescent="0.6">
      <c r="D189" s="221"/>
      <c r="G189" s="193"/>
      <c r="H189" s="193"/>
    </row>
    <row r="190" spans="4:8" s="51" customFormat="1" ht="21" x14ac:dyDescent="0.6">
      <c r="D190" s="221"/>
      <c r="G190" s="193"/>
      <c r="H190" s="193"/>
    </row>
    <row r="191" spans="4:8" s="51" customFormat="1" ht="21" x14ac:dyDescent="0.6">
      <c r="D191" s="221"/>
      <c r="G191" s="193"/>
      <c r="H191" s="193"/>
    </row>
    <row r="192" spans="4:8" s="51" customFormat="1" ht="21" x14ac:dyDescent="0.6">
      <c r="D192" s="221"/>
      <c r="G192" s="193"/>
      <c r="H192" s="193"/>
    </row>
  </sheetData>
  <mergeCells count="4">
    <mergeCell ref="A22:I22"/>
    <mergeCell ref="A2:I2"/>
    <mergeCell ref="A4:I4"/>
    <mergeCell ref="A167:I167"/>
  </mergeCells>
  <pageMargins left="0.7" right="0.7" top="0.75" bottom="0.75" header="0.3" footer="0.3"/>
  <pageSetup paperSize="9" orientation="portrait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70C0"/>
  </sheetPr>
  <dimension ref="A1:U112"/>
  <sheetViews>
    <sheetView topLeftCell="A109" workbookViewId="0">
      <selection activeCell="L125" sqref="L125"/>
    </sheetView>
  </sheetViews>
  <sheetFormatPr defaultColWidth="9.140625" defaultRowHeight="21.75" x14ac:dyDescent="0.6"/>
  <cols>
    <col min="1" max="1" width="14.140625" style="74" customWidth="1"/>
    <col min="2" max="2" width="32.42578125" style="74" customWidth="1"/>
    <col min="3" max="3" width="11.7109375" style="74" customWidth="1"/>
    <col min="4" max="4" width="12.5703125" style="74" customWidth="1"/>
    <col min="5" max="6" width="11.5703125" style="74" customWidth="1"/>
    <col min="7" max="7" width="19.85546875" style="189" customWidth="1"/>
    <col min="8" max="8" width="17.7109375" style="189" customWidth="1"/>
    <col min="9" max="9" width="17.28515625" style="74" customWidth="1"/>
    <col min="10" max="16384" width="9.140625" style="241"/>
  </cols>
  <sheetData>
    <row r="1" spans="1:10" ht="17.25" customHeight="1" x14ac:dyDescent="0.6"/>
    <row r="2" spans="1:10" x14ac:dyDescent="0.6">
      <c r="A2" s="947" t="s">
        <v>887</v>
      </c>
      <c r="B2" s="947"/>
      <c r="C2" s="947"/>
      <c r="D2" s="947"/>
      <c r="E2" s="947"/>
      <c r="F2" s="947"/>
      <c r="G2" s="947"/>
      <c r="H2" s="947"/>
      <c r="I2" s="947"/>
    </row>
    <row r="3" spans="1:10" x14ac:dyDescent="0.6">
      <c r="D3" s="188"/>
      <c r="E3" s="188"/>
      <c r="F3" s="188"/>
      <c r="H3" s="190"/>
      <c r="I3" s="60">
        <v>2100</v>
      </c>
    </row>
    <row r="4" spans="1:10" s="246" customFormat="1" ht="22.5" thickBot="1" x14ac:dyDescent="0.65">
      <c r="A4" s="951" t="s">
        <v>0</v>
      </c>
      <c r="B4" s="951"/>
      <c r="C4" s="951"/>
      <c r="D4" s="951"/>
      <c r="E4" s="951"/>
      <c r="F4" s="951"/>
      <c r="G4" s="951"/>
      <c r="H4" s="951"/>
      <c r="I4" s="951"/>
    </row>
    <row r="5" spans="1:10" s="246" customFormat="1" x14ac:dyDescent="0.6">
      <c r="A5" s="558" t="s">
        <v>738</v>
      </c>
      <c r="B5" s="718" t="s">
        <v>869</v>
      </c>
      <c r="C5" s="547"/>
      <c r="D5" s="548"/>
      <c r="E5" s="548"/>
      <c r="F5" s="548"/>
      <c r="G5" s="548" t="s">
        <v>1</v>
      </c>
      <c r="H5" s="651" t="s">
        <v>868</v>
      </c>
      <c r="I5" s="549" t="s">
        <v>2</v>
      </c>
      <c r="J5" s="246">
        <v>2</v>
      </c>
    </row>
    <row r="6" spans="1:10" s="246" customFormat="1" x14ac:dyDescent="0.6">
      <c r="A6" s="565">
        <v>5</v>
      </c>
      <c r="B6" s="539" t="s">
        <v>5</v>
      </c>
      <c r="C6" s="539" t="s">
        <v>4</v>
      </c>
      <c r="D6" s="540" t="s">
        <v>3</v>
      </c>
      <c r="E6" s="540" t="s">
        <v>613</v>
      </c>
      <c r="F6" s="540" t="s">
        <v>614</v>
      </c>
      <c r="G6" s="540" t="s">
        <v>510</v>
      </c>
      <c r="H6" s="543" t="s">
        <v>7</v>
      </c>
      <c r="I6" s="636">
        <v>45574</v>
      </c>
    </row>
    <row r="7" spans="1:10" s="246" customFormat="1" ht="22.5" thickBot="1" x14ac:dyDescent="0.65">
      <c r="A7" s="551"/>
      <c r="B7" s="552"/>
      <c r="C7" s="552"/>
      <c r="D7" s="553">
        <v>1</v>
      </c>
      <c r="E7" s="553"/>
      <c r="F7" s="553"/>
      <c r="G7" s="553">
        <f>Summary!J102</f>
        <v>10000</v>
      </c>
      <c r="H7" s="633">
        <f>H27</f>
        <v>0.3062599561046408</v>
      </c>
      <c r="I7" s="555"/>
    </row>
    <row r="8" spans="1:10" s="246" customFormat="1" ht="22.5" thickBot="1" x14ac:dyDescent="0.65">
      <c r="A8" s="124"/>
      <c r="B8" s="124"/>
      <c r="C8" s="124"/>
      <c r="D8" s="125"/>
      <c r="E8" s="125"/>
      <c r="F8" s="125"/>
      <c r="G8" s="125"/>
      <c r="H8" s="126"/>
      <c r="I8" s="124"/>
    </row>
    <row r="9" spans="1:10" s="246" customFormat="1" x14ac:dyDescent="0.6">
      <c r="A9" s="194" t="s">
        <v>605</v>
      </c>
      <c r="B9" s="166" t="s">
        <v>10</v>
      </c>
      <c r="C9" s="166" t="s">
        <v>9</v>
      </c>
      <c r="D9" s="117" t="s">
        <v>8</v>
      </c>
      <c r="E9" s="117" t="s">
        <v>613</v>
      </c>
      <c r="F9" s="117" t="s">
        <v>614</v>
      </c>
      <c r="G9" s="117" t="s">
        <v>11</v>
      </c>
      <c r="H9" s="118" t="s">
        <v>12</v>
      </c>
      <c r="I9" s="195" t="s">
        <v>12</v>
      </c>
    </row>
    <row r="10" spans="1:10" s="246" customFormat="1" x14ac:dyDescent="0.6">
      <c r="A10" s="141" t="s">
        <v>469</v>
      </c>
      <c r="B10" s="719" t="s">
        <v>693</v>
      </c>
      <c r="C10" s="720" t="s">
        <v>471</v>
      </c>
      <c r="D10" s="721">
        <v>0.1</v>
      </c>
      <c r="E10" s="86">
        <v>0.34</v>
      </c>
      <c r="F10" s="67">
        <f t="shared" ref="F10:F17" si="0">D10+D10*E10</f>
        <v>0.13400000000000001</v>
      </c>
      <c r="G10" s="35">
        <v>22000</v>
      </c>
      <c r="H10" s="68">
        <f t="shared" ref="H10:H20" si="1">F10*G10</f>
        <v>2948</v>
      </c>
      <c r="I10" s="161">
        <f t="shared" ref="I10:I20" si="2">H10/I$3</f>
        <v>1.4038095238095238</v>
      </c>
    </row>
    <row r="11" spans="1:10" s="246" customFormat="1" x14ac:dyDescent="0.6">
      <c r="A11" s="144" t="s">
        <v>518</v>
      </c>
      <c r="B11" s="29" t="s">
        <v>870</v>
      </c>
      <c r="C11" s="722" t="s">
        <v>22</v>
      </c>
      <c r="D11" s="723">
        <v>0.1</v>
      </c>
      <c r="E11" s="86">
        <v>0</v>
      </c>
      <c r="F11" s="67">
        <f t="shared" si="0"/>
        <v>0.1</v>
      </c>
      <c r="G11" s="35">
        <v>16500</v>
      </c>
      <c r="H11" s="68">
        <f t="shared" si="1"/>
        <v>1650</v>
      </c>
      <c r="I11" s="161">
        <f t="shared" si="2"/>
        <v>0.7857142857142857</v>
      </c>
    </row>
    <row r="12" spans="1:10" s="246" customFormat="1" x14ac:dyDescent="0.6">
      <c r="A12" s="141" t="s">
        <v>497</v>
      </c>
      <c r="B12" s="29" t="s">
        <v>672</v>
      </c>
      <c r="C12" s="722" t="s">
        <v>871</v>
      </c>
      <c r="D12" s="723">
        <v>1.5432098765432098E-2</v>
      </c>
      <c r="E12" s="86">
        <v>0</v>
      </c>
      <c r="F12" s="67">
        <f t="shared" si="0"/>
        <v>1.5432098765432098E-2</v>
      </c>
      <c r="G12" s="143">
        <v>7800</v>
      </c>
      <c r="H12" s="68">
        <f t="shared" si="1"/>
        <v>120.37037037037037</v>
      </c>
      <c r="I12" s="161">
        <f t="shared" si="2"/>
        <v>5.7319223985890649E-2</v>
      </c>
    </row>
    <row r="13" spans="1:10" s="246" customFormat="1" x14ac:dyDescent="0.6">
      <c r="A13" s="144" t="s">
        <v>569</v>
      </c>
      <c r="B13" s="29" t="s">
        <v>872</v>
      </c>
      <c r="C13" s="722" t="s">
        <v>459</v>
      </c>
      <c r="D13" s="723">
        <v>0.05</v>
      </c>
      <c r="E13" s="86">
        <v>0</v>
      </c>
      <c r="F13" s="67">
        <f t="shared" si="0"/>
        <v>0.05</v>
      </c>
      <c r="G13" s="35">
        <f>21000/4.15</f>
        <v>5060.2409638554209</v>
      </c>
      <c r="H13" s="68">
        <f t="shared" si="1"/>
        <v>253.01204819277106</v>
      </c>
      <c r="I13" s="161">
        <f t="shared" si="2"/>
        <v>0.12048192771084336</v>
      </c>
    </row>
    <row r="14" spans="1:10" s="246" customFormat="1" x14ac:dyDescent="0.6">
      <c r="A14" s="141" t="s">
        <v>537</v>
      </c>
      <c r="B14" s="29" t="s">
        <v>889</v>
      </c>
      <c r="C14" s="722" t="s">
        <v>19</v>
      </c>
      <c r="D14" s="723">
        <v>1</v>
      </c>
      <c r="E14" s="86">
        <v>0</v>
      </c>
      <c r="F14" s="67">
        <f t="shared" si="0"/>
        <v>1</v>
      </c>
      <c r="G14" s="35">
        <v>500</v>
      </c>
      <c r="H14" s="68">
        <f t="shared" si="1"/>
        <v>500</v>
      </c>
      <c r="I14" s="161">
        <f t="shared" si="2"/>
        <v>0.23809523809523808</v>
      </c>
    </row>
    <row r="15" spans="1:10" s="246" customFormat="1" x14ac:dyDescent="0.6">
      <c r="A15" s="144" t="s">
        <v>507</v>
      </c>
      <c r="B15" s="29" t="s">
        <v>610</v>
      </c>
      <c r="C15" s="722" t="s">
        <v>463</v>
      </c>
      <c r="D15" s="723">
        <v>0.13636363636363635</v>
      </c>
      <c r="E15" s="86">
        <v>0</v>
      </c>
      <c r="F15" s="67">
        <f t="shared" si="0"/>
        <v>0.13636363636363635</v>
      </c>
      <c r="G15" s="178">
        <v>1200</v>
      </c>
      <c r="H15" s="68">
        <f t="shared" si="1"/>
        <v>163.63636363636363</v>
      </c>
      <c r="I15" s="161">
        <f t="shared" si="2"/>
        <v>7.792207792207792E-2</v>
      </c>
    </row>
    <row r="16" spans="1:10" s="246" customFormat="1" x14ac:dyDescent="0.6">
      <c r="A16" s="141" t="s">
        <v>579</v>
      </c>
      <c r="B16" s="29" t="s">
        <v>627</v>
      </c>
      <c r="C16" s="722" t="s">
        <v>471</v>
      </c>
      <c r="D16" s="723">
        <v>1E-3</v>
      </c>
      <c r="E16" s="86">
        <v>0</v>
      </c>
      <c r="F16" s="67">
        <f t="shared" si="0"/>
        <v>1E-3</v>
      </c>
      <c r="G16" s="35">
        <v>70000</v>
      </c>
      <c r="H16" s="68">
        <f t="shared" si="1"/>
        <v>70</v>
      </c>
      <c r="I16" s="161">
        <f t="shared" si="2"/>
        <v>3.3333333333333333E-2</v>
      </c>
    </row>
    <row r="17" spans="1:9" s="246" customFormat="1" x14ac:dyDescent="0.6">
      <c r="A17" s="145"/>
      <c r="B17" s="29" t="s">
        <v>619</v>
      </c>
      <c r="C17" s="722" t="s">
        <v>463</v>
      </c>
      <c r="D17" s="723">
        <v>0.04</v>
      </c>
      <c r="E17" s="86">
        <v>0</v>
      </c>
      <c r="F17" s="67">
        <f t="shared" si="0"/>
        <v>0.04</v>
      </c>
      <c r="G17" s="35">
        <v>14000</v>
      </c>
      <c r="H17" s="68">
        <f t="shared" si="1"/>
        <v>560</v>
      </c>
      <c r="I17" s="161">
        <f t="shared" si="2"/>
        <v>0.26666666666666666</v>
      </c>
    </row>
    <row r="18" spans="1:9" s="246" customFormat="1" x14ac:dyDescent="0.6">
      <c r="A18" s="145"/>
      <c r="B18" s="724" t="s">
        <v>618</v>
      </c>
      <c r="C18" s="725" t="s">
        <v>598</v>
      </c>
      <c r="D18" s="726">
        <v>2.5000000000000001E-3</v>
      </c>
      <c r="E18" s="86">
        <v>0</v>
      </c>
      <c r="F18" s="67">
        <v>3.0000000000000001E-3</v>
      </c>
      <c r="G18" s="35">
        <v>3475</v>
      </c>
      <c r="H18" s="68">
        <f t="shared" si="1"/>
        <v>10.425000000000001</v>
      </c>
      <c r="I18" s="161">
        <f t="shared" si="2"/>
        <v>4.9642857142857145E-3</v>
      </c>
    </row>
    <row r="19" spans="1:9" s="246" customFormat="1" x14ac:dyDescent="0.6">
      <c r="A19" s="145"/>
      <c r="B19" s="724" t="s">
        <v>668</v>
      </c>
      <c r="C19" s="725" t="s">
        <v>19</v>
      </c>
      <c r="D19" s="727">
        <v>8</v>
      </c>
      <c r="E19" s="86">
        <v>0</v>
      </c>
      <c r="F19" s="67">
        <v>8</v>
      </c>
      <c r="G19" s="35">
        <v>380</v>
      </c>
      <c r="H19" s="68">
        <f t="shared" si="1"/>
        <v>3040</v>
      </c>
      <c r="I19" s="161">
        <f t="shared" si="2"/>
        <v>1.4476190476190476</v>
      </c>
    </row>
    <row r="20" spans="1:9" s="246" customFormat="1" x14ac:dyDescent="0.6">
      <c r="A20" s="145"/>
      <c r="B20" s="724" t="s">
        <v>873</v>
      </c>
      <c r="C20" s="725" t="s">
        <v>463</v>
      </c>
      <c r="D20" s="727">
        <v>0.2</v>
      </c>
      <c r="E20" s="86">
        <v>0</v>
      </c>
      <c r="F20" s="67">
        <f t="shared" ref="F20:F21" si="3">D20+D20*E20</f>
        <v>0.2</v>
      </c>
      <c r="G20" s="37">
        <v>21000</v>
      </c>
      <c r="H20" s="200">
        <f t="shared" si="1"/>
        <v>4200</v>
      </c>
      <c r="I20" s="161">
        <f t="shared" si="2"/>
        <v>2</v>
      </c>
    </row>
    <row r="21" spans="1:9" s="246" customFormat="1" x14ac:dyDescent="0.6">
      <c r="A21" s="145"/>
      <c r="B21" s="23"/>
      <c r="C21" s="24"/>
      <c r="D21" s="25"/>
      <c r="E21" s="139">
        <v>0</v>
      </c>
      <c r="F21" s="25">
        <f t="shared" si="3"/>
        <v>0</v>
      </c>
      <c r="G21" s="35"/>
      <c r="H21" s="122"/>
      <c r="I21" s="163"/>
    </row>
    <row r="22" spans="1:9" s="246" customFormat="1" ht="22.5" thickBot="1" x14ac:dyDescent="0.65">
      <c r="A22" s="146"/>
      <c r="B22" s="147"/>
      <c r="C22" s="147"/>
      <c r="D22" s="58"/>
      <c r="E22" s="58"/>
      <c r="F22" s="58"/>
      <c r="G22" s="58"/>
      <c r="H22" s="123"/>
      <c r="I22" s="164"/>
    </row>
    <row r="23" spans="1:9" s="246" customFormat="1" x14ac:dyDescent="0.6">
      <c r="A23" s="124"/>
      <c r="B23" s="180" t="s">
        <v>4</v>
      </c>
      <c r="C23" s="186"/>
      <c r="D23" s="187"/>
      <c r="E23" s="187"/>
      <c r="F23" s="187"/>
      <c r="G23" s="187"/>
      <c r="H23" s="167">
        <f>SUM(H10:H22)</f>
        <v>13515.443782199505</v>
      </c>
      <c r="I23" s="160">
        <f>SUM(I10:I22)</f>
        <v>6.4359256105711928</v>
      </c>
    </row>
    <row r="24" spans="1:9" s="246" customFormat="1" x14ac:dyDescent="0.6">
      <c r="A24" s="124"/>
      <c r="B24" s="168" t="s">
        <v>14</v>
      </c>
      <c r="C24" s="43"/>
      <c r="D24" s="121"/>
      <c r="E24" s="121"/>
      <c r="F24" s="121"/>
      <c r="G24" s="121"/>
      <c r="H24" s="169">
        <f>H23/A6</f>
        <v>2703.0887564399009</v>
      </c>
      <c r="I24" s="104"/>
    </row>
    <row r="25" spans="1:9" s="246" customFormat="1" x14ac:dyDescent="0.6">
      <c r="A25" s="124"/>
      <c r="B25" s="168" t="s">
        <v>453</v>
      </c>
      <c r="C25" s="43"/>
      <c r="D25" s="121"/>
      <c r="E25" s="121"/>
      <c r="F25" s="121"/>
      <c r="G25" s="121"/>
      <c r="H25" s="104">
        <f>G7</f>
        <v>10000</v>
      </c>
      <c r="I25" s="104"/>
    </row>
    <row r="26" spans="1:9" s="246" customFormat="1" x14ac:dyDescent="0.6">
      <c r="A26" s="124"/>
      <c r="B26" s="168" t="s">
        <v>455</v>
      </c>
      <c r="C26" s="43"/>
      <c r="D26" s="121"/>
      <c r="E26" s="121"/>
      <c r="F26" s="121"/>
      <c r="G26" s="121"/>
      <c r="H26" s="104">
        <f>H25/113.3%</f>
        <v>8826.1253309796994</v>
      </c>
      <c r="I26" s="104"/>
    </row>
    <row r="27" spans="1:9" s="246" customFormat="1" x14ac:dyDescent="0.6">
      <c r="A27" s="124"/>
      <c r="B27" s="168" t="s">
        <v>16</v>
      </c>
      <c r="C27" s="43"/>
      <c r="D27" s="121"/>
      <c r="E27" s="121"/>
      <c r="F27" s="121"/>
      <c r="G27" s="121"/>
      <c r="H27" s="588">
        <f>H24/H26</f>
        <v>0.3062599561046408</v>
      </c>
      <c r="I27" s="588"/>
    </row>
    <row r="28" spans="1:9" s="246" customFormat="1" x14ac:dyDescent="0.6">
      <c r="A28" s="124"/>
      <c r="B28" s="168"/>
      <c r="C28" s="43"/>
      <c r="D28" s="121"/>
      <c r="E28" s="121"/>
      <c r="F28" s="121"/>
      <c r="G28" s="121"/>
      <c r="H28" s="169"/>
      <c r="I28" s="171"/>
    </row>
    <row r="29" spans="1:9" s="246" customFormat="1" ht="22.5" thickBot="1" x14ac:dyDescent="0.65">
      <c r="A29" s="124"/>
      <c r="B29" s="172"/>
      <c r="C29" s="147"/>
      <c r="D29" s="58"/>
      <c r="E29" s="58"/>
      <c r="F29" s="58"/>
      <c r="G29" s="58"/>
      <c r="H29" s="173"/>
      <c r="I29" s="164"/>
    </row>
    <row r="30" spans="1:9" x14ac:dyDescent="0.6">
      <c r="D30" s="77"/>
      <c r="E30" s="77"/>
      <c r="F30" s="77"/>
      <c r="G30" s="114"/>
      <c r="H30" s="115"/>
    </row>
    <row r="31" spans="1:9" x14ac:dyDescent="0.6">
      <c r="D31" s="77"/>
      <c r="E31" s="77"/>
      <c r="F31" s="77"/>
      <c r="G31" s="114"/>
      <c r="H31" s="115"/>
    </row>
    <row r="32" spans="1:9" s="246" customFormat="1" ht="22.5" thickBot="1" x14ac:dyDescent="0.65">
      <c r="A32" s="154"/>
      <c r="B32" s="154"/>
      <c r="C32" s="154"/>
      <c r="D32" s="155" t="s">
        <v>0</v>
      </c>
      <c r="E32" s="155"/>
      <c r="F32" s="155"/>
      <c r="G32" s="125"/>
      <c r="H32" s="126"/>
      <c r="I32" s="124"/>
    </row>
    <row r="33" spans="1:10" s="246" customFormat="1" x14ac:dyDescent="0.6">
      <c r="A33" s="558" t="s">
        <v>722</v>
      </c>
      <c r="B33" s="728" t="s">
        <v>881</v>
      </c>
      <c r="C33" s="547"/>
      <c r="D33" s="548"/>
      <c r="E33" s="548"/>
      <c r="F33" s="548"/>
      <c r="G33" s="548" t="s">
        <v>1</v>
      </c>
      <c r="H33" s="651" t="s">
        <v>868</v>
      </c>
      <c r="I33" s="549" t="s">
        <v>2</v>
      </c>
      <c r="J33" s="246">
        <v>1</v>
      </c>
    </row>
    <row r="34" spans="1:10" s="246" customFormat="1" x14ac:dyDescent="0.6">
      <c r="A34" s="565">
        <v>6</v>
      </c>
      <c r="B34" s="539" t="s">
        <v>5</v>
      </c>
      <c r="C34" s="539" t="s">
        <v>4</v>
      </c>
      <c r="D34" s="540" t="s">
        <v>3</v>
      </c>
      <c r="E34" s="540" t="s">
        <v>613</v>
      </c>
      <c r="F34" s="540" t="s">
        <v>614</v>
      </c>
      <c r="G34" s="540" t="s">
        <v>510</v>
      </c>
      <c r="H34" s="543" t="s">
        <v>7</v>
      </c>
      <c r="I34" s="636">
        <f>I6</f>
        <v>45574</v>
      </c>
    </row>
    <row r="35" spans="1:10" s="246" customFormat="1" ht="22.5" thickBot="1" x14ac:dyDescent="0.65">
      <c r="A35" s="551"/>
      <c r="B35" s="552"/>
      <c r="C35" s="552"/>
      <c r="D35" s="553">
        <v>1</v>
      </c>
      <c r="E35" s="553"/>
      <c r="F35" s="553"/>
      <c r="G35" s="553">
        <f>Summary!J103</f>
        <v>20000</v>
      </c>
      <c r="H35" s="633">
        <f>H53</f>
        <v>0.32317408750000004</v>
      </c>
      <c r="I35" s="555"/>
    </row>
    <row r="36" spans="1:10" s="246" customFormat="1" ht="22.5" thickBot="1" x14ac:dyDescent="0.65">
      <c r="A36" s="124"/>
      <c r="B36" s="124"/>
      <c r="C36" s="124"/>
      <c r="D36" s="125"/>
      <c r="E36" s="125"/>
      <c r="F36" s="125"/>
      <c r="G36" s="125"/>
      <c r="H36" s="126"/>
      <c r="I36" s="124"/>
    </row>
    <row r="37" spans="1:10" s="246" customFormat="1" x14ac:dyDescent="0.6">
      <c r="A37" s="194" t="s">
        <v>605</v>
      </c>
      <c r="B37" s="166" t="s">
        <v>10</v>
      </c>
      <c r="C37" s="166" t="s">
        <v>9</v>
      </c>
      <c r="D37" s="117" t="s">
        <v>8</v>
      </c>
      <c r="E37" s="117" t="s">
        <v>613</v>
      </c>
      <c r="F37" s="117" t="s">
        <v>614</v>
      </c>
      <c r="G37" s="117" t="s">
        <v>11</v>
      </c>
      <c r="H37" s="118" t="s">
        <v>24</v>
      </c>
      <c r="I37" s="195" t="s">
        <v>25</v>
      </c>
    </row>
    <row r="38" spans="1:10" s="246" customFormat="1" x14ac:dyDescent="0.6">
      <c r="A38" s="141" t="s">
        <v>585</v>
      </c>
      <c r="B38" s="271" t="s">
        <v>874</v>
      </c>
      <c r="C38" s="729" t="s">
        <v>23</v>
      </c>
      <c r="D38" s="730">
        <v>0.05</v>
      </c>
      <c r="E38" s="139">
        <v>0</v>
      </c>
      <c r="F38" s="32">
        <f t="shared" ref="F38:F45" si="4">D38+D38*E38</f>
        <v>0.05</v>
      </c>
      <c r="G38" s="35">
        <v>21000</v>
      </c>
      <c r="H38" s="68">
        <f t="shared" ref="H38:H48" si="5">F38*G38</f>
        <v>1050</v>
      </c>
      <c r="I38" s="161">
        <f t="shared" ref="I38:I48" si="6">H38/I$3</f>
        <v>0.5</v>
      </c>
    </row>
    <row r="39" spans="1:10" s="246" customFormat="1" x14ac:dyDescent="0.6">
      <c r="A39" s="144" t="s">
        <v>506</v>
      </c>
      <c r="B39" s="29" t="s">
        <v>696</v>
      </c>
      <c r="C39" s="722" t="s">
        <v>596</v>
      </c>
      <c r="D39" s="723">
        <v>0.05</v>
      </c>
      <c r="E39" s="139">
        <v>0.12</v>
      </c>
      <c r="F39" s="32">
        <f t="shared" si="4"/>
        <v>5.6000000000000001E-2</v>
      </c>
      <c r="G39" s="39">
        <v>24000</v>
      </c>
      <c r="H39" s="122">
        <f t="shared" si="5"/>
        <v>1344</v>
      </c>
      <c r="I39" s="140">
        <f t="shared" si="6"/>
        <v>0.64</v>
      </c>
    </row>
    <row r="40" spans="1:10" s="246" customFormat="1" x14ac:dyDescent="0.6">
      <c r="A40" s="144" t="s">
        <v>569</v>
      </c>
      <c r="B40" s="29" t="s">
        <v>875</v>
      </c>
      <c r="C40" s="722" t="s">
        <v>20</v>
      </c>
      <c r="D40" s="723">
        <v>0.2</v>
      </c>
      <c r="E40" s="139">
        <v>0.05</v>
      </c>
      <c r="F40" s="32">
        <f t="shared" si="4"/>
        <v>0.21000000000000002</v>
      </c>
      <c r="G40" s="35">
        <v>500</v>
      </c>
      <c r="H40" s="68">
        <f t="shared" si="5"/>
        <v>105.00000000000001</v>
      </c>
      <c r="I40" s="161">
        <f t="shared" si="6"/>
        <v>5.000000000000001E-2</v>
      </c>
    </row>
    <row r="41" spans="1:10" s="246" customFormat="1" x14ac:dyDescent="0.6">
      <c r="A41" s="141" t="s">
        <v>537</v>
      </c>
      <c r="B41" s="29" t="s">
        <v>709</v>
      </c>
      <c r="C41" s="722" t="s">
        <v>19</v>
      </c>
      <c r="D41" s="723">
        <v>1</v>
      </c>
      <c r="E41" s="139">
        <v>0</v>
      </c>
      <c r="F41" s="32">
        <f t="shared" si="4"/>
        <v>1</v>
      </c>
      <c r="G41" s="35">
        <v>200</v>
      </c>
      <c r="H41" s="68">
        <f t="shared" si="5"/>
        <v>200</v>
      </c>
      <c r="I41" s="161">
        <f t="shared" si="6"/>
        <v>9.5238095238095233E-2</v>
      </c>
    </row>
    <row r="42" spans="1:10" s="246" customFormat="1" x14ac:dyDescent="0.6">
      <c r="A42" s="144" t="s">
        <v>507</v>
      </c>
      <c r="B42" s="29" t="s">
        <v>610</v>
      </c>
      <c r="C42" s="722" t="s">
        <v>463</v>
      </c>
      <c r="D42" s="723">
        <v>0.01</v>
      </c>
      <c r="E42" s="139">
        <v>0</v>
      </c>
      <c r="F42" s="32">
        <f t="shared" si="4"/>
        <v>0.01</v>
      </c>
      <c r="G42" s="178">
        <v>1200</v>
      </c>
      <c r="H42" s="68">
        <f t="shared" si="5"/>
        <v>12</v>
      </c>
      <c r="I42" s="161">
        <f t="shared" si="6"/>
        <v>5.7142857142857143E-3</v>
      </c>
    </row>
    <row r="43" spans="1:10" s="246" customFormat="1" x14ac:dyDescent="0.6">
      <c r="A43" s="141" t="s">
        <v>579</v>
      </c>
      <c r="B43" s="29" t="s">
        <v>609</v>
      </c>
      <c r="C43" s="722" t="s">
        <v>463</v>
      </c>
      <c r="D43" s="723">
        <v>0.01</v>
      </c>
      <c r="E43" s="139">
        <v>0</v>
      </c>
      <c r="F43" s="32">
        <f t="shared" si="4"/>
        <v>0.01</v>
      </c>
      <c r="G43" s="35">
        <v>14000</v>
      </c>
      <c r="H43" s="68">
        <f t="shared" si="5"/>
        <v>140</v>
      </c>
      <c r="I43" s="161">
        <f t="shared" si="6"/>
        <v>6.6666666666666666E-2</v>
      </c>
    </row>
    <row r="44" spans="1:10" s="246" customFormat="1" x14ac:dyDescent="0.6">
      <c r="A44" s="145"/>
      <c r="B44" s="29" t="s">
        <v>660</v>
      </c>
      <c r="C44" s="722" t="s">
        <v>463</v>
      </c>
      <c r="D44" s="723">
        <v>0.05</v>
      </c>
      <c r="E44" s="139">
        <v>0</v>
      </c>
      <c r="F44" s="32">
        <f t="shared" si="4"/>
        <v>0.05</v>
      </c>
      <c r="G44" s="35">
        <v>16500</v>
      </c>
      <c r="H44" s="68">
        <f t="shared" si="5"/>
        <v>825</v>
      </c>
      <c r="I44" s="161">
        <f t="shared" si="6"/>
        <v>0.39285714285714285</v>
      </c>
    </row>
    <row r="45" spans="1:10" s="246" customFormat="1" x14ac:dyDescent="0.6">
      <c r="A45" s="138"/>
      <c r="B45" s="29" t="s">
        <v>603</v>
      </c>
      <c r="C45" s="722" t="s">
        <v>19</v>
      </c>
      <c r="D45" s="723">
        <v>1</v>
      </c>
      <c r="E45" s="139">
        <v>0</v>
      </c>
      <c r="F45" s="32">
        <f t="shared" si="4"/>
        <v>1</v>
      </c>
      <c r="G45" s="35">
        <v>380</v>
      </c>
      <c r="H45" s="68">
        <f t="shared" si="5"/>
        <v>380</v>
      </c>
      <c r="I45" s="161">
        <f t="shared" si="6"/>
        <v>0.18095238095238095</v>
      </c>
    </row>
    <row r="46" spans="1:10" s="246" customFormat="1" x14ac:dyDescent="0.6">
      <c r="A46" s="138"/>
      <c r="B46" s="29" t="s">
        <v>876</v>
      </c>
      <c r="C46" s="725" t="s">
        <v>596</v>
      </c>
      <c r="D46" s="727">
        <v>0.05</v>
      </c>
      <c r="E46" s="139">
        <v>0</v>
      </c>
      <c r="F46" s="32">
        <v>0.1</v>
      </c>
      <c r="G46" s="35">
        <v>7800</v>
      </c>
      <c r="H46" s="68">
        <f t="shared" si="5"/>
        <v>780</v>
      </c>
      <c r="I46" s="161">
        <f t="shared" si="6"/>
        <v>0.37142857142857144</v>
      </c>
    </row>
    <row r="47" spans="1:10" s="246" customFormat="1" x14ac:dyDescent="0.6">
      <c r="A47" s="145"/>
      <c r="B47" s="724" t="s">
        <v>877</v>
      </c>
      <c r="C47" s="725" t="s">
        <v>871</v>
      </c>
      <c r="D47" s="731">
        <v>0.05</v>
      </c>
      <c r="E47" s="139">
        <v>0</v>
      </c>
      <c r="F47" s="32">
        <v>0.05</v>
      </c>
      <c r="G47" s="35">
        <v>16500</v>
      </c>
      <c r="H47" s="68">
        <f t="shared" si="5"/>
        <v>825</v>
      </c>
      <c r="I47" s="161">
        <f t="shared" si="6"/>
        <v>0.39285714285714285</v>
      </c>
    </row>
    <row r="48" spans="1:10" s="246" customFormat="1" x14ac:dyDescent="0.6">
      <c r="A48" s="145"/>
      <c r="B48" s="724" t="s">
        <v>878</v>
      </c>
      <c r="C48" s="725" t="s">
        <v>596</v>
      </c>
      <c r="D48" s="726">
        <v>0.01</v>
      </c>
      <c r="E48" s="139">
        <v>0</v>
      </c>
      <c r="F48" s="32">
        <f t="shared" ref="F48" si="7">D48+D48*E48</f>
        <v>0.01</v>
      </c>
      <c r="G48" s="35">
        <v>4375</v>
      </c>
      <c r="H48" s="68">
        <f t="shared" si="5"/>
        <v>43.75</v>
      </c>
      <c r="I48" s="161">
        <f t="shared" si="6"/>
        <v>2.0833333333333332E-2</v>
      </c>
    </row>
    <row r="49" spans="1:10" s="246" customFormat="1" x14ac:dyDescent="0.6">
      <c r="A49" s="124"/>
      <c r="B49" s="180" t="s">
        <v>4</v>
      </c>
      <c r="C49" s="186"/>
      <c r="D49" s="187"/>
      <c r="E49" s="187"/>
      <c r="F49" s="187"/>
      <c r="G49" s="187"/>
      <c r="H49" s="167">
        <f>SUM(H38:H48)</f>
        <v>5704.75</v>
      </c>
      <c r="I49" s="160">
        <f>SUM(I38:I48)</f>
        <v>2.7165476190476192</v>
      </c>
    </row>
    <row r="50" spans="1:10" s="246" customFormat="1" x14ac:dyDescent="0.6">
      <c r="A50" s="124"/>
      <c r="B50" s="168" t="s">
        <v>14</v>
      </c>
      <c r="C50" s="43"/>
      <c r="D50" s="121"/>
      <c r="E50" s="121"/>
      <c r="F50" s="121"/>
      <c r="G50" s="121"/>
      <c r="H50" s="169">
        <f>H49/1</f>
        <v>5704.75</v>
      </c>
      <c r="I50" s="104"/>
    </row>
    <row r="51" spans="1:10" s="246" customFormat="1" x14ac:dyDescent="0.6">
      <c r="A51" s="124"/>
      <c r="B51" s="168" t="s">
        <v>453</v>
      </c>
      <c r="C51" s="43"/>
      <c r="D51" s="121"/>
      <c r="E51" s="121"/>
      <c r="F51" s="121"/>
      <c r="G51" s="121"/>
      <c r="H51" s="104">
        <f>G35</f>
        <v>20000</v>
      </c>
      <c r="I51" s="104"/>
    </row>
    <row r="52" spans="1:10" s="246" customFormat="1" x14ac:dyDescent="0.6">
      <c r="A52" s="124"/>
      <c r="B52" s="168" t="s">
        <v>455</v>
      </c>
      <c r="C52" s="43"/>
      <c r="D52" s="121"/>
      <c r="E52" s="121"/>
      <c r="F52" s="121"/>
      <c r="G52" s="121"/>
      <c r="H52" s="104">
        <f>H51/113.3%</f>
        <v>17652.250661959399</v>
      </c>
      <c r="I52" s="104"/>
    </row>
    <row r="53" spans="1:10" s="246" customFormat="1" x14ac:dyDescent="0.6">
      <c r="A53" s="124"/>
      <c r="B53" s="168" t="s">
        <v>16</v>
      </c>
      <c r="C53" s="43"/>
      <c r="D53" s="121"/>
      <c r="E53" s="121"/>
      <c r="F53" s="121"/>
      <c r="G53" s="121"/>
      <c r="H53" s="588">
        <f>H50/H52</f>
        <v>0.32317408750000004</v>
      </c>
      <c r="I53" s="588"/>
    </row>
    <row r="54" spans="1:10" s="246" customFormat="1" x14ac:dyDescent="0.6">
      <c r="A54" s="124"/>
      <c r="B54" s="168"/>
      <c r="C54" s="43"/>
      <c r="D54" s="121"/>
      <c r="E54" s="121"/>
      <c r="F54" s="121"/>
      <c r="G54" s="121"/>
      <c r="H54" s="169"/>
      <c r="I54" s="171"/>
    </row>
    <row r="55" spans="1:10" s="246" customFormat="1" ht="22.5" thickBot="1" x14ac:dyDescent="0.65">
      <c r="A55" s="124"/>
      <c r="B55" s="172"/>
      <c r="C55" s="147"/>
      <c r="D55" s="58"/>
      <c r="E55" s="58"/>
      <c r="F55" s="58"/>
      <c r="G55" s="58"/>
      <c r="H55" s="173"/>
      <c r="I55" s="164"/>
    </row>
    <row r="56" spans="1:10" x14ac:dyDescent="0.6">
      <c r="A56" s="60"/>
      <c r="B56" s="75"/>
      <c r="C56" s="60"/>
      <c r="D56" s="116"/>
      <c r="E56" s="116"/>
      <c r="F56" s="116"/>
      <c r="G56" s="116"/>
      <c r="H56" s="278"/>
      <c r="I56" s="60"/>
    </row>
    <row r="57" spans="1:10" x14ac:dyDescent="0.6">
      <c r="A57" s="60"/>
      <c r="B57" s="75"/>
      <c r="C57" s="60"/>
      <c r="D57" s="116"/>
      <c r="E57" s="116"/>
      <c r="F57" s="116"/>
      <c r="G57" s="116"/>
      <c r="H57" s="278"/>
      <c r="I57" s="60"/>
    </row>
    <row r="58" spans="1:10" x14ac:dyDescent="0.6">
      <c r="A58" s="60"/>
      <c r="B58" s="75"/>
      <c r="C58" s="60"/>
      <c r="D58" s="116"/>
      <c r="E58" s="116"/>
      <c r="F58" s="116"/>
      <c r="G58" s="116"/>
      <c r="H58" s="278"/>
      <c r="I58" s="60"/>
    </row>
    <row r="59" spans="1:10" ht="22.5" thickBot="1" x14ac:dyDescent="0.65">
      <c r="A59" s="76"/>
      <c r="B59" s="76"/>
      <c r="C59" s="76"/>
      <c r="D59" s="116" t="s">
        <v>0</v>
      </c>
      <c r="E59" s="116"/>
      <c r="F59" s="116"/>
      <c r="G59" s="61"/>
      <c r="H59" s="62"/>
      <c r="I59" s="60"/>
    </row>
    <row r="60" spans="1:10" x14ac:dyDescent="0.6">
      <c r="A60" s="562" t="s">
        <v>845</v>
      </c>
      <c r="B60" s="732" t="s">
        <v>882</v>
      </c>
      <c r="C60" s="547"/>
      <c r="D60" s="548"/>
      <c r="E60" s="548"/>
      <c r="F60" s="548"/>
      <c r="G60" s="548" t="s">
        <v>1</v>
      </c>
      <c r="H60" s="651" t="s">
        <v>868</v>
      </c>
      <c r="I60" s="564" t="s">
        <v>595</v>
      </c>
      <c r="J60" s="241">
        <v>3</v>
      </c>
    </row>
    <row r="61" spans="1:10" x14ac:dyDescent="0.6">
      <c r="A61" s="565">
        <v>7</v>
      </c>
      <c r="B61" s="539" t="s">
        <v>5</v>
      </c>
      <c r="C61" s="539" t="s">
        <v>4</v>
      </c>
      <c r="D61" s="540" t="s">
        <v>3</v>
      </c>
      <c r="E61" s="540" t="s">
        <v>613</v>
      </c>
      <c r="F61" s="540" t="s">
        <v>614</v>
      </c>
      <c r="G61" s="540" t="s">
        <v>510</v>
      </c>
      <c r="H61" s="543" t="s">
        <v>7</v>
      </c>
      <c r="I61" s="636">
        <f>I34</f>
        <v>45574</v>
      </c>
    </row>
    <row r="62" spans="1:10" ht="22.5" thickBot="1" x14ac:dyDescent="0.65">
      <c r="A62" s="551"/>
      <c r="B62" s="552"/>
      <c r="C62" s="552"/>
      <c r="D62" s="553">
        <v>1</v>
      </c>
      <c r="E62" s="553"/>
      <c r="F62" s="553"/>
      <c r="G62" s="553">
        <f>Summary!J104</f>
        <v>25000</v>
      </c>
      <c r="H62" s="645">
        <f>H81</f>
        <v>0.37055024361445782</v>
      </c>
      <c r="I62" s="555"/>
    </row>
    <row r="63" spans="1:10" ht="22.5" thickBot="1" x14ac:dyDescent="0.65">
      <c r="A63" s="60"/>
      <c r="B63" s="60"/>
      <c r="C63" s="60"/>
      <c r="D63" s="61"/>
      <c r="E63" s="61"/>
      <c r="F63" s="61"/>
      <c r="G63" s="61"/>
      <c r="H63" s="62"/>
      <c r="I63" s="60"/>
    </row>
    <row r="64" spans="1:10" x14ac:dyDescent="0.6">
      <c r="A64" s="63" t="s">
        <v>605</v>
      </c>
      <c r="B64" s="64" t="s">
        <v>10</v>
      </c>
      <c r="C64" s="64" t="s">
        <v>9</v>
      </c>
      <c r="D64" s="52" t="s">
        <v>8</v>
      </c>
      <c r="E64" s="52" t="s">
        <v>613</v>
      </c>
      <c r="F64" s="52" t="s">
        <v>614</v>
      </c>
      <c r="G64" s="52" t="s">
        <v>11</v>
      </c>
      <c r="H64" s="53" t="s">
        <v>24</v>
      </c>
      <c r="I64" s="65" t="s">
        <v>25</v>
      </c>
    </row>
    <row r="65" spans="1:9" x14ac:dyDescent="0.6">
      <c r="A65" s="66"/>
      <c r="B65" s="733" t="s">
        <v>882</v>
      </c>
      <c r="C65" s="19"/>
      <c r="D65" s="20"/>
      <c r="E65" s="86"/>
      <c r="F65" s="67"/>
      <c r="G65" s="34"/>
      <c r="H65" s="46"/>
      <c r="I65" s="47"/>
    </row>
    <row r="66" spans="1:9" x14ac:dyDescent="0.6">
      <c r="A66" s="66" t="s">
        <v>579</v>
      </c>
      <c r="B66" s="29" t="s">
        <v>875</v>
      </c>
      <c r="C66" s="722" t="s">
        <v>20</v>
      </c>
      <c r="D66" s="723">
        <v>0.1</v>
      </c>
      <c r="E66" s="139">
        <v>0.05</v>
      </c>
      <c r="F66" s="32">
        <f t="shared" ref="F66:F71" si="8">D66+D66*E66</f>
        <v>0.10500000000000001</v>
      </c>
      <c r="G66" s="34">
        <v>500</v>
      </c>
      <c r="H66" s="46">
        <f t="shared" ref="H66:H74" si="9">F66*G66</f>
        <v>52.500000000000007</v>
      </c>
      <c r="I66" s="47">
        <f t="shared" ref="I66:I74" si="10">H66/I$3</f>
        <v>2.5000000000000005E-2</v>
      </c>
    </row>
    <row r="67" spans="1:9" x14ac:dyDescent="0.6">
      <c r="A67" s="236" t="s">
        <v>530</v>
      </c>
      <c r="B67" s="29" t="s">
        <v>703</v>
      </c>
      <c r="C67" s="722" t="s">
        <v>23</v>
      </c>
      <c r="D67" s="723">
        <v>0.05</v>
      </c>
      <c r="E67" s="139">
        <v>0</v>
      </c>
      <c r="F67" s="32">
        <f t="shared" si="8"/>
        <v>0.05</v>
      </c>
      <c r="G67" s="91">
        <v>90000</v>
      </c>
      <c r="H67" s="46">
        <f t="shared" si="9"/>
        <v>4500</v>
      </c>
      <c r="I67" s="47">
        <f t="shared" si="10"/>
        <v>2.1428571428571428</v>
      </c>
    </row>
    <row r="68" spans="1:9" x14ac:dyDescent="0.6">
      <c r="A68" s="236"/>
      <c r="B68" s="29" t="s">
        <v>628</v>
      </c>
      <c r="C68" s="722" t="s">
        <v>27</v>
      </c>
      <c r="D68" s="723">
        <v>0.03</v>
      </c>
      <c r="E68" s="139">
        <v>0</v>
      </c>
      <c r="F68" s="32">
        <f t="shared" si="8"/>
        <v>0.03</v>
      </c>
      <c r="G68" s="35">
        <v>21000</v>
      </c>
      <c r="H68" s="46">
        <f t="shared" si="9"/>
        <v>630</v>
      </c>
      <c r="I68" s="47">
        <f t="shared" si="10"/>
        <v>0.3</v>
      </c>
    </row>
    <row r="69" spans="1:9" x14ac:dyDescent="0.6">
      <c r="A69" s="236"/>
      <c r="B69" s="29" t="s">
        <v>672</v>
      </c>
      <c r="C69" s="722" t="s">
        <v>471</v>
      </c>
      <c r="D69" s="723">
        <v>0.05</v>
      </c>
      <c r="E69" s="139">
        <v>0</v>
      </c>
      <c r="F69" s="32">
        <f t="shared" si="8"/>
        <v>0.05</v>
      </c>
      <c r="G69" s="35">
        <v>7800</v>
      </c>
      <c r="H69" s="46">
        <f t="shared" si="9"/>
        <v>390</v>
      </c>
      <c r="I69" s="47">
        <f t="shared" si="10"/>
        <v>0.18571428571428572</v>
      </c>
    </row>
    <row r="70" spans="1:9" x14ac:dyDescent="0.6">
      <c r="A70" s="66"/>
      <c r="B70" s="29" t="s">
        <v>625</v>
      </c>
      <c r="C70" s="725" t="s">
        <v>471</v>
      </c>
      <c r="D70" s="727">
        <v>0.05</v>
      </c>
      <c r="E70" s="139">
        <v>0</v>
      </c>
      <c r="F70" s="32">
        <f t="shared" si="8"/>
        <v>0.05</v>
      </c>
      <c r="G70" s="34">
        <v>7000</v>
      </c>
      <c r="H70" s="46">
        <f t="shared" si="9"/>
        <v>350</v>
      </c>
      <c r="I70" s="47">
        <f t="shared" si="10"/>
        <v>0.16666666666666666</v>
      </c>
    </row>
    <row r="71" spans="1:9" x14ac:dyDescent="0.6">
      <c r="A71" s="66"/>
      <c r="B71" s="29" t="s">
        <v>615</v>
      </c>
      <c r="C71" s="722" t="s">
        <v>19</v>
      </c>
      <c r="D71" s="723">
        <v>0.05</v>
      </c>
      <c r="E71" s="139">
        <v>0.1</v>
      </c>
      <c r="F71" s="32">
        <f t="shared" si="8"/>
        <v>5.5000000000000007E-2</v>
      </c>
      <c r="G71" s="35">
        <v>3000</v>
      </c>
      <c r="H71" s="46">
        <f t="shared" si="9"/>
        <v>165.00000000000003</v>
      </c>
      <c r="I71" s="47">
        <f t="shared" si="10"/>
        <v>7.8571428571428584E-2</v>
      </c>
    </row>
    <row r="72" spans="1:9" x14ac:dyDescent="0.6">
      <c r="A72" s="66"/>
      <c r="B72" s="29" t="s">
        <v>675</v>
      </c>
      <c r="C72" s="722" t="s">
        <v>471</v>
      </c>
      <c r="D72" s="723">
        <v>0.03</v>
      </c>
      <c r="E72" s="139">
        <v>0.1</v>
      </c>
      <c r="F72" s="32">
        <v>0.03</v>
      </c>
      <c r="G72" s="35">
        <v>10000</v>
      </c>
      <c r="H72" s="46">
        <f t="shared" si="9"/>
        <v>300</v>
      </c>
      <c r="I72" s="47">
        <f t="shared" si="10"/>
        <v>0.14285714285714285</v>
      </c>
    </row>
    <row r="73" spans="1:9" x14ac:dyDescent="0.6">
      <c r="A73" s="66"/>
      <c r="B73" s="29" t="s">
        <v>666</v>
      </c>
      <c r="C73" s="725" t="s">
        <v>871</v>
      </c>
      <c r="D73" s="731">
        <v>0.05</v>
      </c>
      <c r="E73" s="139">
        <v>0</v>
      </c>
      <c r="F73" s="32">
        <v>0.05</v>
      </c>
      <c r="G73" s="35">
        <v>16500</v>
      </c>
      <c r="H73" s="46">
        <f t="shared" si="9"/>
        <v>825</v>
      </c>
      <c r="I73" s="47">
        <f t="shared" si="10"/>
        <v>0.39285714285714285</v>
      </c>
    </row>
    <row r="74" spans="1:9" x14ac:dyDescent="0.6">
      <c r="A74" s="66"/>
      <c r="B74" s="29" t="s">
        <v>639</v>
      </c>
      <c r="C74" s="725" t="s">
        <v>459</v>
      </c>
      <c r="D74" s="727">
        <v>0.03</v>
      </c>
      <c r="E74" s="139">
        <v>0</v>
      </c>
      <c r="F74" s="32">
        <v>0.03</v>
      </c>
      <c r="G74" s="35">
        <f>21000/4.15</f>
        <v>5060.2409638554209</v>
      </c>
      <c r="H74" s="46">
        <f t="shared" si="9"/>
        <v>151.80722891566262</v>
      </c>
      <c r="I74" s="47">
        <f t="shared" si="10"/>
        <v>7.2289156626506007E-2</v>
      </c>
    </row>
    <row r="75" spans="1:9" x14ac:dyDescent="0.6">
      <c r="A75" s="66"/>
      <c r="B75" s="29" t="s">
        <v>879</v>
      </c>
      <c r="C75" s="725" t="s">
        <v>880</v>
      </c>
      <c r="D75" s="727">
        <v>2</v>
      </c>
      <c r="E75" s="139">
        <v>0</v>
      </c>
      <c r="F75" s="32">
        <f t="shared" ref="F75:F76" si="11">D75+D75*E75</f>
        <v>2</v>
      </c>
      <c r="G75" s="34">
        <v>400</v>
      </c>
      <c r="H75" s="46">
        <f t="shared" ref="H75:H76" si="12">F75*G75</f>
        <v>800</v>
      </c>
      <c r="I75" s="47">
        <f t="shared" ref="I75:I76" si="13">H75/I$3</f>
        <v>0.38095238095238093</v>
      </c>
    </row>
    <row r="76" spans="1:9" ht="22.5" thickBot="1" x14ac:dyDescent="0.65">
      <c r="A76" s="66" t="s">
        <v>501</v>
      </c>
      <c r="B76" s="29" t="s">
        <v>610</v>
      </c>
      <c r="C76" s="722" t="s">
        <v>463</v>
      </c>
      <c r="D76" s="723">
        <v>0.01</v>
      </c>
      <c r="E76" s="139">
        <v>0</v>
      </c>
      <c r="F76" s="177">
        <f t="shared" si="11"/>
        <v>0.01</v>
      </c>
      <c r="G76" s="91">
        <v>1200</v>
      </c>
      <c r="H76" s="46">
        <f t="shared" si="12"/>
        <v>12</v>
      </c>
      <c r="I76" s="47">
        <f t="shared" si="13"/>
        <v>5.7142857142857143E-3</v>
      </c>
    </row>
    <row r="77" spans="1:9" x14ac:dyDescent="0.6">
      <c r="A77" s="60"/>
      <c r="B77" s="224" t="s">
        <v>4</v>
      </c>
      <c r="C77" s="64"/>
      <c r="D77" s="52"/>
      <c r="E77" s="52"/>
      <c r="F77" s="52"/>
      <c r="G77" s="52"/>
      <c r="H77" s="226">
        <f>SUM(H66:H76)</f>
        <v>8176.3072289156626</v>
      </c>
      <c r="I77" s="197">
        <f>SUM(I65:I76)</f>
        <v>3.8934796328169821</v>
      </c>
    </row>
    <row r="78" spans="1:9" x14ac:dyDescent="0.6">
      <c r="A78" s="60"/>
      <c r="B78" s="101" t="s">
        <v>14</v>
      </c>
      <c r="C78" s="22"/>
      <c r="D78" s="54"/>
      <c r="E78" s="54"/>
      <c r="F78" s="54"/>
      <c r="G78" s="54"/>
      <c r="H78" s="73">
        <f>H77</f>
        <v>8176.3072289156626</v>
      </c>
      <c r="I78" s="104"/>
    </row>
    <row r="79" spans="1:9" x14ac:dyDescent="0.6">
      <c r="A79" s="60"/>
      <c r="B79" s="101" t="s">
        <v>453</v>
      </c>
      <c r="C79" s="22"/>
      <c r="D79" s="54"/>
      <c r="E79" s="54"/>
      <c r="F79" s="54"/>
      <c r="G79" s="54"/>
      <c r="H79" s="104">
        <f>G62</f>
        <v>25000</v>
      </c>
      <c r="I79" s="104"/>
    </row>
    <row r="80" spans="1:9" x14ac:dyDescent="0.6">
      <c r="A80" s="60"/>
      <c r="B80" s="101" t="s">
        <v>455</v>
      </c>
      <c r="C80" s="22"/>
      <c r="D80" s="54"/>
      <c r="E80" s="54"/>
      <c r="F80" s="54"/>
      <c r="G80" s="54"/>
      <c r="H80" s="104">
        <f>H79/113.3%</f>
        <v>22065.31332744925</v>
      </c>
      <c r="I80" s="104"/>
    </row>
    <row r="81" spans="1:10" x14ac:dyDescent="0.6">
      <c r="A81" s="60"/>
      <c r="B81" s="101" t="s">
        <v>16</v>
      </c>
      <c r="C81" s="22"/>
      <c r="D81" s="54"/>
      <c r="E81" s="54"/>
      <c r="F81" s="54"/>
      <c r="G81" s="54"/>
      <c r="H81" s="588">
        <f>H78/H80</f>
        <v>0.37055024361445782</v>
      </c>
      <c r="I81" s="588"/>
    </row>
    <row r="82" spans="1:10" x14ac:dyDescent="0.6">
      <c r="A82" s="60"/>
      <c r="B82" s="101"/>
      <c r="C82" s="22"/>
      <c r="D82" s="54"/>
      <c r="E82" s="54"/>
      <c r="F82" s="54"/>
      <c r="G82" s="54"/>
      <c r="H82" s="73"/>
      <c r="I82" s="171"/>
    </row>
    <row r="83" spans="1:10" ht="22.5" thickBot="1" x14ac:dyDescent="0.65">
      <c r="A83" s="60"/>
      <c r="B83" s="150"/>
      <c r="C83" s="151"/>
      <c r="D83" s="57"/>
      <c r="E83" s="57"/>
      <c r="F83" s="57"/>
      <c r="G83" s="57"/>
      <c r="H83" s="152"/>
      <c r="I83" s="164"/>
    </row>
    <row r="84" spans="1:10" x14ac:dyDescent="0.6">
      <c r="G84" s="114"/>
      <c r="H84" s="114"/>
    </row>
    <row r="85" spans="1:10" s="246" customFormat="1" ht="22.5" thickBot="1" x14ac:dyDescent="0.65">
      <c r="A85" s="154"/>
      <c r="B85" s="154"/>
      <c r="C85" s="154"/>
      <c r="D85" s="155" t="s">
        <v>0</v>
      </c>
      <c r="E85" s="155"/>
      <c r="F85" s="155"/>
      <c r="G85" s="125"/>
      <c r="H85" s="126"/>
      <c r="I85" s="124"/>
    </row>
    <row r="86" spans="1:10" s="246" customFormat="1" x14ac:dyDescent="0.6">
      <c r="A86" s="562" t="s">
        <v>845</v>
      </c>
      <c r="B86" s="732" t="s">
        <v>916</v>
      </c>
      <c r="C86" s="547"/>
      <c r="D86" s="548"/>
      <c r="E86" s="548"/>
      <c r="F86" s="548"/>
      <c r="G86" s="548" t="s">
        <v>1</v>
      </c>
      <c r="H86" s="734" t="s">
        <v>457</v>
      </c>
      <c r="I86" s="564" t="s">
        <v>595</v>
      </c>
      <c r="J86" s="246">
        <v>4</v>
      </c>
    </row>
    <row r="87" spans="1:10" s="246" customFormat="1" x14ac:dyDescent="0.6">
      <c r="A87" s="565">
        <v>7</v>
      </c>
      <c r="B87" s="539" t="s">
        <v>5</v>
      </c>
      <c r="C87" s="539" t="s">
        <v>4</v>
      </c>
      <c r="D87" s="540" t="s">
        <v>3</v>
      </c>
      <c r="E87" s="540" t="s">
        <v>613</v>
      </c>
      <c r="F87" s="540" t="s">
        <v>614</v>
      </c>
      <c r="G87" s="540" t="s">
        <v>510</v>
      </c>
      <c r="H87" s="543" t="s">
        <v>7</v>
      </c>
      <c r="I87" s="636">
        <f>I61</f>
        <v>45574</v>
      </c>
    </row>
    <row r="88" spans="1:10" s="246" customFormat="1" ht="22.5" thickBot="1" x14ac:dyDescent="0.65">
      <c r="A88" s="551"/>
      <c r="B88" s="552"/>
      <c r="C88" s="552"/>
      <c r="D88" s="553">
        <v>1</v>
      </c>
      <c r="E88" s="553"/>
      <c r="F88" s="553"/>
      <c r="G88" s="553">
        <f>Summary!J105</f>
        <v>20000</v>
      </c>
      <c r="H88" s="633">
        <f>H107</f>
        <v>0.34574245783132529</v>
      </c>
      <c r="I88" s="555"/>
    </row>
    <row r="89" spans="1:10" s="246" customFormat="1" ht="22.5" thickBot="1" x14ac:dyDescent="0.65">
      <c r="A89" s="124"/>
      <c r="B89" s="124"/>
      <c r="C89" s="124"/>
      <c r="D89" s="125"/>
      <c r="E89" s="125"/>
      <c r="F89" s="125"/>
      <c r="G89" s="125"/>
      <c r="H89" s="126"/>
      <c r="I89" s="124"/>
    </row>
    <row r="90" spans="1:10" s="246" customFormat="1" x14ac:dyDescent="0.6">
      <c r="A90" s="194" t="s">
        <v>605</v>
      </c>
      <c r="B90" s="166" t="s">
        <v>10</v>
      </c>
      <c r="C90" s="166" t="s">
        <v>9</v>
      </c>
      <c r="D90" s="117" t="s">
        <v>8</v>
      </c>
      <c r="E90" s="117" t="s">
        <v>613</v>
      </c>
      <c r="F90" s="117" t="s">
        <v>614</v>
      </c>
      <c r="G90" s="117" t="s">
        <v>11</v>
      </c>
      <c r="H90" s="118" t="s">
        <v>24</v>
      </c>
      <c r="I90" s="195" t="s">
        <v>25</v>
      </c>
    </row>
    <row r="91" spans="1:10" s="246" customFormat="1" x14ac:dyDescent="0.6">
      <c r="A91" s="141"/>
      <c r="B91" s="735" t="s">
        <v>923</v>
      </c>
      <c r="C91" s="24"/>
      <c r="D91" s="25"/>
      <c r="E91" s="139"/>
      <c r="F91" s="32"/>
      <c r="G91" s="35"/>
      <c r="H91" s="68"/>
      <c r="I91" s="161"/>
    </row>
    <row r="92" spans="1:10" s="246" customFormat="1" x14ac:dyDescent="0.6">
      <c r="A92" s="141" t="s">
        <v>579</v>
      </c>
      <c r="B92" s="72" t="s">
        <v>890</v>
      </c>
      <c r="C92" s="22" t="s">
        <v>27</v>
      </c>
      <c r="D92" s="736">
        <v>0.2</v>
      </c>
      <c r="E92" s="139">
        <v>0</v>
      </c>
      <c r="F92" s="32">
        <f t="shared" ref="F92:F101" si="14">D92+D92*E92</f>
        <v>0.2</v>
      </c>
      <c r="G92" s="35">
        <v>7200</v>
      </c>
      <c r="H92" s="68">
        <f t="shared" ref="H92:H99" si="15">F92*G92</f>
        <v>1440</v>
      </c>
      <c r="I92" s="161">
        <f t="shared" ref="I92:I99" si="16">H92/I$3</f>
        <v>0.68571428571428572</v>
      </c>
    </row>
    <row r="93" spans="1:10" s="246" customFormat="1" x14ac:dyDescent="0.6">
      <c r="A93" s="141"/>
      <c r="B93" s="29" t="s">
        <v>664</v>
      </c>
      <c r="C93" s="722" t="s">
        <v>463</v>
      </c>
      <c r="D93" s="737">
        <v>0.05</v>
      </c>
      <c r="E93" s="139">
        <v>0</v>
      </c>
      <c r="F93" s="32">
        <f t="shared" si="14"/>
        <v>0.05</v>
      </c>
      <c r="G93" s="35">
        <v>40000</v>
      </c>
      <c r="H93" s="68">
        <f t="shared" si="15"/>
        <v>2000</v>
      </c>
      <c r="I93" s="161">
        <f t="shared" si="16"/>
        <v>0.95238095238095233</v>
      </c>
    </row>
    <row r="94" spans="1:10" s="246" customFormat="1" x14ac:dyDescent="0.6">
      <c r="A94" s="144"/>
      <c r="B94" s="724" t="s">
        <v>839</v>
      </c>
      <c r="C94" s="725" t="s">
        <v>23</v>
      </c>
      <c r="D94" s="738">
        <v>0.01</v>
      </c>
      <c r="E94" s="139">
        <v>0</v>
      </c>
      <c r="F94" s="32">
        <f t="shared" si="14"/>
        <v>0.01</v>
      </c>
      <c r="G94" s="35">
        <v>116000</v>
      </c>
      <c r="H94" s="68">
        <f t="shared" si="15"/>
        <v>1160</v>
      </c>
      <c r="I94" s="161">
        <f t="shared" si="16"/>
        <v>0.55238095238095242</v>
      </c>
    </row>
    <row r="95" spans="1:10" s="246" customFormat="1" ht="22.5" thickBot="1" x14ac:dyDescent="0.65">
      <c r="A95" s="141"/>
      <c r="B95" s="739" t="s">
        <v>603</v>
      </c>
      <c r="C95" s="740" t="s">
        <v>19</v>
      </c>
      <c r="D95" s="737">
        <v>1</v>
      </c>
      <c r="E95" s="139">
        <v>0</v>
      </c>
      <c r="F95" s="32">
        <f t="shared" si="14"/>
        <v>1</v>
      </c>
      <c r="G95" s="35">
        <v>380</v>
      </c>
      <c r="H95" s="68">
        <f t="shared" si="15"/>
        <v>380</v>
      </c>
      <c r="I95" s="161">
        <f t="shared" si="16"/>
        <v>0.18095238095238095</v>
      </c>
    </row>
    <row r="96" spans="1:10" s="246" customFormat="1" x14ac:dyDescent="0.6">
      <c r="A96" s="141"/>
      <c r="B96" s="29" t="s">
        <v>609</v>
      </c>
      <c r="C96" s="43" t="s">
        <v>463</v>
      </c>
      <c r="D96" s="121">
        <v>0.01</v>
      </c>
      <c r="E96" s="139">
        <v>0</v>
      </c>
      <c r="F96" s="32">
        <f t="shared" si="14"/>
        <v>0.01</v>
      </c>
      <c r="G96" s="35">
        <v>14000</v>
      </c>
      <c r="H96" s="68">
        <f t="shared" si="15"/>
        <v>140</v>
      </c>
      <c r="I96" s="161">
        <f t="shared" si="16"/>
        <v>6.6666666666666666E-2</v>
      </c>
    </row>
    <row r="97" spans="1:21" s="246" customFormat="1" x14ac:dyDescent="0.6">
      <c r="A97" s="141"/>
      <c r="B97" s="29" t="s">
        <v>666</v>
      </c>
      <c r="C97" s="43" t="s">
        <v>22</v>
      </c>
      <c r="D97" s="121">
        <v>0.02</v>
      </c>
      <c r="E97" s="139">
        <v>0</v>
      </c>
      <c r="F97" s="32">
        <f t="shared" si="14"/>
        <v>0.02</v>
      </c>
      <c r="G97" s="35">
        <v>16500</v>
      </c>
      <c r="H97" s="68">
        <f t="shared" si="15"/>
        <v>330</v>
      </c>
      <c r="I97" s="161">
        <f t="shared" si="16"/>
        <v>0.15714285714285714</v>
      </c>
    </row>
    <row r="98" spans="1:21" s="246" customFormat="1" x14ac:dyDescent="0.6">
      <c r="A98" s="141"/>
      <c r="B98" s="29" t="s">
        <v>709</v>
      </c>
      <c r="C98" s="43" t="s">
        <v>19</v>
      </c>
      <c r="D98" s="121">
        <v>1</v>
      </c>
      <c r="E98" s="139">
        <v>0</v>
      </c>
      <c r="F98" s="32">
        <f t="shared" si="14"/>
        <v>1</v>
      </c>
      <c r="G98" s="35">
        <v>200</v>
      </c>
      <c r="H98" s="68">
        <f t="shared" si="15"/>
        <v>200</v>
      </c>
      <c r="I98" s="161">
        <f t="shared" si="16"/>
        <v>9.5238095238095233E-2</v>
      </c>
    </row>
    <row r="99" spans="1:21" s="246" customFormat="1" x14ac:dyDescent="0.6">
      <c r="A99" s="141"/>
      <c r="B99" s="29" t="s">
        <v>671</v>
      </c>
      <c r="C99" s="43" t="s">
        <v>20</v>
      </c>
      <c r="D99" s="121">
        <v>0.02</v>
      </c>
      <c r="E99" s="139">
        <v>0</v>
      </c>
      <c r="F99" s="32">
        <f t="shared" si="14"/>
        <v>0.02</v>
      </c>
      <c r="G99" s="35">
        <v>500</v>
      </c>
      <c r="H99" s="68">
        <f t="shared" si="15"/>
        <v>10</v>
      </c>
      <c r="I99" s="161">
        <f t="shared" si="16"/>
        <v>4.7619047619047623E-3</v>
      </c>
    </row>
    <row r="100" spans="1:21" s="246" customFormat="1" x14ac:dyDescent="0.6">
      <c r="A100" s="141" t="s">
        <v>469</v>
      </c>
      <c r="B100" s="29" t="s">
        <v>672</v>
      </c>
      <c r="C100" s="43" t="s">
        <v>471</v>
      </c>
      <c r="D100" s="741">
        <v>0.05</v>
      </c>
      <c r="E100" s="139">
        <v>0</v>
      </c>
      <c r="F100" s="32">
        <f t="shared" si="14"/>
        <v>0.05</v>
      </c>
      <c r="G100" s="35">
        <v>7800</v>
      </c>
      <c r="H100" s="68">
        <f t="shared" ref="H100:H101" si="17">F100*G100</f>
        <v>390</v>
      </c>
      <c r="I100" s="161">
        <f t="shared" ref="I100:I101" si="18">H100/I$3</f>
        <v>0.18571428571428572</v>
      </c>
    </row>
    <row r="101" spans="1:21" s="246" customFormat="1" x14ac:dyDescent="0.6">
      <c r="A101" s="141" t="s">
        <v>501</v>
      </c>
      <c r="B101" s="29" t="s">
        <v>639</v>
      </c>
      <c r="C101" s="43" t="s">
        <v>599</v>
      </c>
      <c r="D101" s="121">
        <v>0.01</v>
      </c>
      <c r="E101" s="139">
        <v>0.05</v>
      </c>
      <c r="F101" s="32">
        <f t="shared" si="14"/>
        <v>1.0500000000000001E-2</v>
      </c>
      <c r="G101" s="143">
        <f>21000/4.15</f>
        <v>5060.2409638554209</v>
      </c>
      <c r="H101" s="68">
        <f t="shared" si="17"/>
        <v>53.132530120481924</v>
      </c>
      <c r="I101" s="161">
        <f t="shared" si="18"/>
        <v>2.5301204819277105E-2</v>
      </c>
    </row>
    <row r="102" spans="1:21" s="246" customFormat="1" ht="22.5" thickBot="1" x14ac:dyDescent="0.65">
      <c r="A102" s="146"/>
      <c r="B102" s="147"/>
      <c r="C102" s="147"/>
      <c r="D102" s="58"/>
      <c r="E102" s="58"/>
      <c r="F102" s="58"/>
      <c r="G102" s="58"/>
      <c r="H102" s="123"/>
      <c r="I102" s="164"/>
    </row>
    <row r="103" spans="1:21" s="246" customFormat="1" x14ac:dyDescent="0.6">
      <c r="A103" s="124"/>
      <c r="B103" s="165" t="s">
        <v>4</v>
      </c>
      <c r="C103" s="166"/>
      <c r="D103" s="117"/>
      <c r="E103" s="117"/>
      <c r="F103" s="117"/>
      <c r="G103" s="117"/>
      <c r="H103" s="192">
        <f>SUM(H92:H102)</f>
        <v>6103.1325301204815</v>
      </c>
      <c r="I103" s="197">
        <f>SUM(I91:I102)</f>
        <v>2.9062535857716583</v>
      </c>
    </row>
    <row r="104" spans="1:21" s="246" customFormat="1" x14ac:dyDescent="0.6">
      <c r="A104" s="124"/>
      <c r="B104" s="168" t="s">
        <v>14</v>
      </c>
      <c r="C104" s="43"/>
      <c r="D104" s="121"/>
      <c r="E104" s="121"/>
      <c r="F104" s="121"/>
      <c r="G104" s="121"/>
      <c r="H104" s="169">
        <f>H103/1</f>
        <v>6103.1325301204815</v>
      </c>
      <c r="I104" s="104"/>
    </row>
    <row r="105" spans="1:21" s="246" customFormat="1" x14ac:dyDescent="0.6">
      <c r="A105" s="124"/>
      <c r="B105" s="168" t="s">
        <v>453</v>
      </c>
      <c r="C105" s="43"/>
      <c r="D105" s="121"/>
      <c r="E105" s="121"/>
      <c r="F105" s="121"/>
      <c r="G105" s="121"/>
      <c r="H105" s="104">
        <f>G88</f>
        <v>20000</v>
      </c>
      <c r="I105" s="104"/>
    </row>
    <row r="106" spans="1:21" s="246" customFormat="1" x14ac:dyDescent="0.6">
      <c r="A106" s="124"/>
      <c r="B106" s="168" t="s">
        <v>455</v>
      </c>
      <c r="C106" s="43"/>
      <c r="D106" s="121"/>
      <c r="E106" s="121"/>
      <c r="F106" s="121"/>
      <c r="G106" s="121"/>
      <c r="H106" s="104">
        <f>H105/113.3%</f>
        <v>17652.250661959399</v>
      </c>
      <c r="I106" s="104"/>
      <c r="M106" s="242"/>
      <c r="N106" s="242"/>
      <c r="O106" s="242"/>
      <c r="P106" s="243"/>
      <c r="Q106" s="243"/>
      <c r="R106" s="243"/>
      <c r="S106" s="247"/>
      <c r="T106" s="244"/>
      <c r="U106" s="245"/>
    </row>
    <row r="107" spans="1:21" s="246" customFormat="1" x14ac:dyDescent="0.6">
      <c r="A107" s="124"/>
      <c r="B107" s="168" t="s">
        <v>16</v>
      </c>
      <c r="C107" s="43"/>
      <c r="D107" s="121"/>
      <c r="E107" s="121"/>
      <c r="F107" s="121"/>
      <c r="G107" s="121"/>
      <c r="H107" s="588">
        <f>H104/H106</f>
        <v>0.34574245783132529</v>
      </c>
      <c r="I107" s="588"/>
    </row>
    <row r="108" spans="1:21" s="246" customFormat="1" x14ac:dyDescent="0.6">
      <c r="A108" s="124"/>
      <c r="B108" s="168"/>
      <c r="C108" s="43"/>
      <c r="D108" s="121"/>
      <c r="E108" s="121"/>
      <c r="F108" s="121"/>
      <c r="G108" s="121"/>
      <c r="H108" s="169"/>
      <c r="I108" s="171"/>
    </row>
    <row r="109" spans="1:21" s="246" customFormat="1" ht="22.5" thickBot="1" x14ac:dyDescent="0.65">
      <c r="A109" s="124"/>
      <c r="B109" s="172"/>
      <c r="C109" s="147"/>
      <c r="D109" s="58"/>
      <c r="E109" s="58"/>
      <c r="F109" s="58"/>
      <c r="G109" s="58"/>
      <c r="H109" s="173"/>
      <c r="I109" s="164"/>
    </row>
    <row r="110" spans="1:21" x14ac:dyDescent="0.6">
      <c r="A110" s="325"/>
      <c r="B110" s="325"/>
      <c r="C110" s="325"/>
      <c r="D110" s="155"/>
      <c r="E110" s="155"/>
      <c r="F110" s="155"/>
      <c r="G110" s="155"/>
      <c r="H110" s="301"/>
      <c r="I110" s="327"/>
    </row>
    <row r="111" spans="1:21" x14ac:dyDescent="0.6">
      <c r="A111" s="124"/>
      <c r="B111" s="124"/>
      <c r="C111" s="124"/>
      <c r="D111" s="155"/>
      <c r="E111" s="155"/>
      <c r="F111" s="155"/>
      <c r="G111" s="155"/>
      <c r="H111" s="301"/>
      <c r="I111" s="124"/>
    </row>
    <row r="112" spans="1:21" x14ac:dyDescent="0.6">
      <c r="K112" s="246"/>
    </row>
  </sheetData>
  <mergeCells count="2">
    <mergeCell ref="A2:I2"/>
    <mergeCell ref="A4:I4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U311"/>
  <sheetViews>
    <sheetView topLeftCell="C154" workbookViewId="0">
      <selection activeCell="D293" sqref="D293"/>
    </sheetView>
  </sheetViews>
  <sheetFormatPr defaultColWidth="9.140625" defaultRowHeight="12.75" customHeight="1" x14ac:dyDescent="0.25"/>
  <cols>
    <col min="1" max="1" width="0" style="9" hidden="1" customWidth="1"/>
    <col min="2" max="2" width="0" style="3" hidden="1" customWidth="1"/>
    <col min="3" max="3" width="5.7109375" style="3" customWidth="1"/>
    <col min="4" max="4" width="32.28515625" style="3" customWidth="1"/>
    <col min="5" max="5" width="12.7109375" style="3" customWidth="1"/>
    <col min="6" max="6" width="10.7109375" style="3" customWidth="1"/>
    <col min="7" max="7" width="8.7109375" style="6" customWidth="1"/>
    <col min="8" max="8" width="6.7109375" style="5" customWidth="1"/>
    <col min="9" max="9" width="4.7109375" style="3" customWidth="1"/>
    <col min="10" max="10" width="12.7109375" style="6" customWidth="1"/>
    <col min="11" max="11" width="3.7109375" style="6" customWidth="1"/>
    <col min="12" max="12" width="10.7109375" style="5" customWidth="1"/>
    <col min="13" max="13" width="6.7109375" style="3" customWidth="1"/>
    <col min="14" max="14" width="12.7109375" style="3" customWidth="1"/>
    <col min="15" max="15" width="10.7109375" style="3" customWidth="1"/>
    <col min="16" max="16384" width="9.140625" style="9"/>
  </cols>
  <sheetData>
    <row r="1" spans="1:16" s="11" customFormat="1" x14ac:dyDescent="0.25">
      <c r="A1" s="952" t="s">
        <v>40</v>
      </c>
      <c r="B1" s="952"/>
      <c r="C1" s="952"/>
      <c r="D1" s="952"/>
      <c r="E1" s="953" t="s">
        <v>41</v>
      </c>
      <c r="F1" s="953"/>
      <c r="G1" s="953"/>
      <c r="H1" s="953"/>
      <c r="I1" s="953"/>
      <c r="J1" s="953"/>
      <c r="K1" s="953"/>
      <c r="L1" s="953"/>
      <c r="M1" s="10"/>
      <c r="N1" s="10"/>
      <c r="O1" s="10"/>
    </row>
    <row r="2" spans="1:16" s="11" customFormat="1" x14ac:dyDescent="0.25">
      <c r="B2" s="10"/>
      <c r="C2" s="10"/>
      <c r="D2" s="10"/>
      <c r="E2" s="953" t="s">
        <v>42</v>
      </c>
      <c r="F2" s="953"/>
      <c r="G2" s="953"/>
      <c r="H2" s="953"/>
      <c r="I2" s="953"/>
      <c r="J2" s="953"/>
      <c r="K2" s="953"/>
      <c r="L2" s="953"/>
      <c r="M2" s="10"/>
      <c r="N2" s="10"/>
      <c r="O2" s="10"/>
    </row>
    <row r="3" spans="1:16" x14ac:dyDescent="0.25">
      <c r="A3" s="11"/>
      <c r="B3" s="10"/>
      <c r="C3" s="10" t="s">
        <v>43</v>
      </c>
      <c r="D3" s="10"/>
      <c r="E3" s="10"/>
      <c r="F3" s="10"/>
      <c r="G3" s="12"/>
      <c r="H3" s="13"/>
      <c r="I3" s="10"/>
      <c r="J3" s="12"/>
      <c r="K3" s="12"/>
      <c r="L3" s="13"/>
      <c r="M3" s="10"/>
      <c r="N3" s="10"/>
      <c r="O3" s="10"/>
    </row>
    <row r="4" spans="1:16" s="11" customFormat="1" x14ac:dyDescent="0.25">
      <c r="B4" s="10"/>
      <c r="C4" s="10" t="s">
        <v>44</v>
      </c>
      <c r="D4" s="10" t="s">
        <v>45</v>
      </c>
      <c r="E4" s="10"/>
      <c r="F4" s="10" t="s">
        <v>46</v>
      </c>
      <c r="G4" s="12" t="s">
        <v>47</v>
      </c>
      <c r="H4" s="13" t="s">
        <v>48</v>
      </c>
      <c r="I4" s="10" t="s">
        <v>49</v>
      </c>
      <c r="J4" s="12" t="s">
        <v>50</v>
      </c>
      <c r="K4" s="12" t="s">
        <v>51</v>
      </c>
      <c r="L4" s="13" t="s">
        <v>52</v>
      </c>
      <c r="M4" s="10" t="s">
        <v>53</v>
      </c>
      <c r="N4" s="10" t="s">
        <v>54</v>
      </c>
      <c r="O4" s="10" t="s">
        <v>55</v>
      </c>
    </row>
    <row r="5" spans="1:16" x14ac:dyDescent="0.25">
      <c r="A5" s="11"/>
      <c r="B5" s="10"/>
      <c r="C5" s="10" t="s">
        <v>43</v>
      </c>
      <c r="D5" s="10"/>
      <c r="E5" s="10"/>
      <c r="F5" s="10"/>
      <c r="G5" s="12"/>
      <c r="H5" s="13"/>
      <c r="I5" s="10"/>
      <c r="J5" s="12"/>
      <c r="K5" s="12"/>
      <c r="L5" s="13"/>
      <c r="M5" s="10"/>
      <c r="N5" s="10"/>
      <c r="O5" s="10"/>
    </row>
    <row r="6" spans="1:16" s="11" customFormat="1" x14ac:dyDescent="0.25">
      <c r="B6" s="952" t="s">
        <v>56</v>
      </c>
      <c r="C6" s="952"/>
      <c r="D6" s="952"/>
      <c r="E6" s="952"/>
      <c r="F6" s="10"/>
      <c r="G6" s="12"/>
      <c r="H6" s="13"/>
      <c r="I6" s="10"/>
      <c r="J6" s="12"/>
      <c r="K6" s="12"/>
      <c r="L6" s="13"/>
      <c r="M6" s="10"/>
      <c r="N6" s="10"/>
      <c r="O6" s="10"/>
    </row>
    <row r="7" spans="1:16" s="11" customFormat="1" x14ac:dyDescent="0.25">
      <c r="B7" s="10"/>
      <c r="C7" s="952" t="s">
        <v>57</v>
      </c>
      <c r="D7" s="952"/>
      <c r="E7" s="952"/>
      <c r="F7" s="10"/>
      <c r="G7" s="12"/>
      <c r="H7" s="13"/>
      <c r="I7" s="10"/>
      <c r="J7" s="12"/>
      <c r="K7" s="12"/>
      <c r="L7" s="13"/>
      <c r="M7" s="10"/>
      <c r="N7" s="10"/>
      <c r="O7" s="10"/>
    </row>
    <row r="8" spans="1:16" x14ac:dyDescent="0.25">
      <c r="C8" s="3">
        <v>265</v>
      </c>
      <c r="D8" s="3" t="s">
        <v>58</v>
      </c>
      <c r="F8" s="3" t="s">
        <v>59</v>
      </c>
      <c r="G8" s="4" t="s">
        <v>60</v>
      </c>
      <c r="H8" s="5" t="s">
        <v>61</v>
      </c>
      <c r="I8" s="3" t="s">
        <v>62</v>
      </c>
      <c r="J8" s="4" t="s">
        <v>63</v>
      </c>
      <c r="K8" s="6">
        <v>1</v>
      </c>
      <c r="L8" s="5" t="s">
        <v>64</v>
      </c>
      <c r="M8" s="7" t="s">
        <v>65</v>
      </c>
      <c r="N8" s="8" t="s">
        <v>66</v>
      </c>
      <c r="O8" s="3" t="s">
        <v>67</v>
      </c>
    </row>
    <row r="9" spans="1:16" s="11" customFormat="1" x14ac:dyDescent="0.25">
      <c r="B9" s="10"/>
      <c r="C9" s="952" t="s">
        <v>68</v>
      </c>
      <c r="D9" s="952"/>
      <c r="E9" s="952"/>
      <c r="F9" s="10"/>
      <c r="G9" s="12"/>
      <c r="H9" s="13"/>
      <c r="I9" s="10"/>
      <c r="J9" s="12"/>
      <c r="K9" s="12"/>
      <c r="L9" s="13"/>
      <c r="M9" s="10"/>
      <c r="N9" s="10"/>
      <c r="O9" s="10"/>
    </row>
    <row r="10" spans="1:16" x14ac:dyDescent="0.25">
      <c r="C10" s="3">
        <v>182</v>
      </c>
      <c r="D10" s="16" t="s">
        <v>69</v>
      </c>
      <c r="F10" s="3" t="s">
        <v>59</v>
      </c>
      <c r="G10" s="4" t="s">
        <v>60</v>
      </c>
      <c r="H10" s="5" t="s">
        <v>70</v>
      </c>
      <c r="I10" s="3" t="s">
        <v>62</v>
      </c>
      <c r="J10" s="4" t="s">
        <v>71</v>
      </c>
      <c r="K10" s="6">
        <v>1</v>
      </c>
      <c r="L10" s="5" t="s">
        <v>64</v>
      </c>
      <c r="M10" s="7" t="s">
        <v>72</v>
      </c>
      <c r="N10" s="8" t="s">
        <v>73</v>
      </c>
      <c r="O10" s="3" t="s">
        <v>67</v>
      </c>
      <c r="P10" s="15" t="s">
        <v>452</v>
      </c>
    </row>
    <row r="11" spans="1:16" x14ac:dyDescent="0.25">
      <c r="C11" s="3">
        <v>2</v>
      </c>
      <c r="D11" s="1" t="s">
        <v>74</v>
      </c>
      <c r="F11" s="3" t="s">
        <v>59</v>
      </c>
      <c r="G11" s="4" t="s">
        <v>60</v>
      </c>
      <c r="H11" s="5" t="s">
        <v>70</v>
      </c>
      <c r="I11" s="3" t="s">
        <v>62</v>
      </c>
      <c r="J11" s="2" t="s">
        <v>75</v>
      </c>
      <c r="K11" s="6">
        <v>1</v>
      </c>
      <c r="L11" s="5" t="s">
        <v>64</v>
      </c>
      <c r="M11" s="7" t="s">
        <v>76</v>
      </c>
      <c r="N11" s="8" t="s">
        <v>77</v>
      </c>
      <c r="O11" s="3" t="s">
        <v>67</v>
      </c>
      <c r="P11" s="9" t="s">
        <v>78</v>
      </c>
    </row>
    <row r="12" spans="1:16" x14ac:dyDescent="0.25">
      <c r="C12" s="3">
        <v>1</v>
      </c>
      <c r="D12" s="1" t="s">
        <v>79</v>
      </c>
      <c r="F12" s="3" t="s">
        <v>59</v>
      </c>
      <c r="G12" s="4" t="s">
        <v>60</v>
      </c>
      <c r="H12" s="5" t="s">
        <v>70</v>
      </c>
      <c r="I12" s="3" t="s">
        <v>62</v>
      </c>
      <c r="J12" s="2" t="s">
        <v>80</v>
      </c>
      <c r="K12" s="6">
        <v>1</v>
      </c>
      <c r="L12" s="5" t="s">
        <v>64</v>
      </c>
      <c r="M12" s="7" t="s">
        <v>81</v>
      </c>
      <c r="N12" s="8" t="s">
        <v>82</v>
      </c>
      <c r="O12" s="3" t="s">
        <v>67</v>
      </c>
      <c r="P12" s="9" t="s">
        <v>78</v>
      </c>
    </row>
    <row r="13" spans="1:16" x14ac:dyDescent="0.25">
      <c r="C13" s="3">
        <v>211</v>
      </c>
      <c r="D13" s="1" t="s">
        <v>83</v>
      </c>
      <c r="F13" s="3" t="s">
        <v>59</v>
      </c>
      <c r="G13" s="4" t="s">
        <v>60</v>
      </c>
      <c r="H13" s="5" t="s">
        <v>70</v>
      </c>
      <c r="I13" s="3" t="s">
        <v>62</v>
      </c>
      <c r="J13" s="2" t="s">
        <v>75</v>
      </c>
      <c r="K13" s="6">
        <v>1</v>
      </c>
      <c r="L13" s="5" t="s">
        <v>64</v>
      </c>
      <c r="M13" s="7" t="s">
        <v>84</v>
      </c>
      <c r="N13" s="8" t="s">
        <v>85</v>
      </c>
      <c r="O13" s="3" t="s">
        <v>86</v>
      </c>
    </row>
    <row r="14" spans="1:16" x14ac:dyDescent="0.25">
      <c r="C14" s="3">
        <v>192</v>
      </c>
      <c r="D14" s="1" t="s">
        <v>87</v>
      </c>
      <c r="F14" s="3" t="s">
        <v>59</v>
      </c>
      <c r="G14" s="4" t="s">
        <v>60</v>
      </c>
      <c r="H14" s="5" t="s">
        <v>70</v>
      </c>
      <c r="I14" s="3" t="s">
        <v>62</v>
      </c>
      <c r="J14" s="2" t="s">
        <v>88</v>
      </c>
      <c r="K14" s="6">
        <v>1</v>
      </c>
      <c r="L14" s="5" t="s">
        <v>64</v>
      </c>
      <c r="M14" s="7" t="s">
        <v>80</v>
      </c>
      <c r="N14" s="8" t="s">
        <v>77</v>
      </c>
      <c r="O14" s="3" t="s">
        <v>67</v>
      </c>
    </row>
    <row r="15" spans="1:16" x14ac:dyDescent="0.25">
      <c r="C15" s="3">
        <v>264</v>
      </c>
      <c r="D15" s="1" t="s">
        <v>89</v>
      </c>
      <c r="F15" s="3" t="s">
        <v>59</v>
      </c>
      <c r="G15" s="4" t="s">
        <v>60</v>
      </c>
      <c r="H15" s="5" t="s">
        <v>70</v>
      </c>
      <c r="I15" s="3" t="s">
        <v>62</v>
      </c>
      <c r="J15" s="2" t="s">
        <v>90</v>
      </c>
      <c r="K15" s="6">
        <v>1</v>
      </c>
      <c r="L15" s="5" t="s">
        <v>64</v>
      </c>
      <c r="M15" s="7" t="s">
        <v>91</v>
      </c>
      <c r="N15" s="8" t="s">
        <v>92</v>
      </c>
      <c r="O15" s="3" t="s">
        <v>67</v>
      </c>
    </row>
    <row r="16" spans="1:16" x14ac:dyDescent="0.25">
      <c r="C16" s="3">
        <v>52</v>
      </c>
      <c r="D16" s="1" t="s">
        <v>93</v>
      </c>
      <c r="F16" s="3" t="s">
        <v>59</v>
      </c>
      <c r="G16" s="4" t="s">
        <v>60</v>
      </c>
      <c r="H16" s="5" t="s">
        <v>70</v>
      </c>
      <c r="I16" s="3" t="s">
        <v>62</v>
      </c>
      <c r="J16" s="2" t="s">
        <v>94</v>
      </c>
      <c r="K16" s="6">
        <v>1</v>
      </c>
      <c r="L16" s="5" t="s">
        <v>64</v>
      </c>
      <c r="M16" s="7" t="s">
        <v>95</v>
      </c>
      <c r="N16" s="8" t="s">
        <v>77</v>
      </c>
      <c r="O16" s="3" t="s">
        <v>67</v>
      </c>
      <c r="P16" s="9" t="s">
        <v>78</v>
      </c>
    </row>
    <row r="17" spans="2:16" x14ac:dyDescent="0.25">
      <c r="C17" s="3">
        <v>194</v>
      </c>
      <c r="D17" s="1" t="s">
        <v>96</v>
      </c>
      <c r="F17" s="3" t="s">
        <v>59</v>
      </c>
      <c r="G17" s="4" t="s">
        <v>60</v>
      </c>
      <c r="H17" s="5" t="s">
        <v>70</v>
      </c>
      <c r="I17" s="3" t="s">
        <v>62</v>
      </c>
      <c r="J17" s="2" t="s">
        <v>88</v>
      </c>
      <c r="K17" s="6">
        <v>1</v>
      </c>
      <c r="L17" s="5" t="s">
        <v>64</v>
      </c>
      <c r="M17" s="7" t="s">
        <v>97</v>
      </c>
      <c r="N17" s="8" t="s">
        <v>77</v>
      </c>
      <c r="O17" s="3" t="s">
        <v>67</v>
      </c>
    </row>
    <row r="18" spans="2:16" x14ac:dyDescent="0.25">
      <c r="C18" s="3">
        <v>3</v>
      </c>
      <c r="D18" s="1" t="s">
        <v>98</v>
      </c>
      <c r="F18" s="3" t="s">
        <v>59</v>
      </c>
      <c r="G18" s="4" t="s">
        <v>60</v>
      </c>
      <c r="H18" s="5" t="s">
        <v>70</v>
      </c>
      <c r="I18" s="3" t="s">
        <v>62</v>
      </c>
      <c r="J18" s="2" t="s">
        <v>99</v>
      </c>
      <c r="K18" s="6">
        <v>1</v>
      </c>
      <c r="L18" s="5" t="s">
        <v>64</v>
      </c>
      <c r="M18" s="7" t="s">
        <v>84</v>
      </c>
      <c r="N18" s="8" t="s">
        <v>77</v>
      </c>
      <c r="O18" s="3" t="s">
        <v>67</v>
      </c>
      <c r="P18" s="9" t="s">
        <v>78</v>
      </c>
    </row>
    <row r="19" spans="2:16" x14ac:dyDescent="0.25">
      <c r="C19" s="3">
        <v>4</v>
      </c>
      <c r="D19" s="1" t="s">
        <v>100</v>
      </c>
      <c r="F19" s="3" t="s">
        <v>59</v>
      </c>
      <c r="G19" s="4" t="s">
        <v>60</v>
      </c>
      <c r="H19" s="5" t="s">
        <v>70</v>
      </c>
      <c r="I19" s="3" t="s">
        <v>62</v>
      </c>
      <c r="J19" s="2" t="s">
        <v>101</v>
      </c>
      <c r="K19" s="6">
        <v>1</v>
      </c>
      <c r="L19" s="5" t="s">
        <v>64</v>
      </c>
      <c r="M19" s="7" t="s">
        <v>102</v>
      </c>
      <c r="N19" s="8" t="s">
        <v>77</v>
      </c>
      <c r="O19" s="3" t="s">
        <v>67</v>
      </c>
      <c r="P19" s="9" t="s">
        <v>78</v>
      </c>
    </row>
    <row r="20" spans="2:16" x14ac:dyDescent="0.25">
      <c r="C20" s="3">
        <v>181</v>
      </c>
      <c r="D20" s="1" t="s">
        <v>103</v>
      </c>
      <c r="F20" s="3" t="s">
        <v>59</v>
      </c>
      <c r="G20" s="4" t="s">
        <v>60</v>
      </c>
      <c r="H20" s="5" t="s">
        <v>70</v>
      </c>
      <c r="I20" s="3" t="s">
        <v>62</v>
      </c>
      <c r="J20" s="2" t="s">
        <v>75</v>
      </c>
      <c r="K20" s="6">
        <v>1</v>
      </c>
      <c r="L20" s="5" t="s">
        <v>64</v>
      </c>
      <c r="M20" s="7" t="s">
        <v>104</v>
      </c>
      <c r="N20" s="8" t="s">
        <v>73</v>
      </c>
      <c r="O20" s="3" t="s">
        <v>67</v>
      </c>
    </row>
    <row r="21" spans="2:16" x14ac:dyDescent="0.25">
      <c r="C21" s="3">
        <v>193</v>
      </c>
      <c r="D21" s="1" t="s">
        <v>105</v>
      </c>
      <c r="F21" s="3" t="s">
        <v>59</v>
      </c>
      <c r="G21" s="4" t="s">
        <v>60</v>
      </c>
      <c r="H21" s="5" t="s">
        <v>70</v>
      </c>
      <c r="I21" s="3" t="s">
        <v>62</v>
      </c>
      <c r="J21" s="2" t="s">
        <v>106</v>
      </c>
      <c r="K21" s="6">
        <v>1</v>
      </c>
      <c r="L21" s="5" t="s">
        <v>64</v>
      </c>
      <c r="M21" s="7" t="s">
        <v>107</v>
      </c>
      <c r="N21" s="8" t="s">
        <v>77</v>
      </c>
      <c r="O21" s="3" t="s">
        <v>67</v>
      </c>
    </row>
    <row r="22" spans="2:16" x14ac:dyDescent="0.25">
      <c r="C22" s="3">
        <v>224</v>
      </c>
      <c r="D22" s="1" t="s">
        <v>108</v>
      </c>
      <c r="F22" s="3" t="s">
        <v>59</v>
      </c>
      <c r="G22" s="4" t="s">
        <v>60</v>
      </c>
      <c r="H22" s="5" t="s">
        <v>70</v>
      </c>
      <c r="I22" s="3" t="s">
        <v>62</v>
      </c>
      <c r="J22" s="2" t="s">
        <v>101</v>
      </c>
      <c r="K22" s="6">
        <v>1</v>
      </c>
      <c r="L22" s="5" t="s">
        <v>64</v>
      </c>
      <c r="M22" s="7" t="s">
        <v>99</v>
      </c>
      <c r="N22" s="8" t="s">
        <v>77</v>
      </c>
      <c r="O22" s="3" t="s">
        <v>67</v>
      </c>
    </row>
    <row r="23" spans="2:16" x14ac:dyDescent="0.25">
      <c r="C23" s="3">
        <v>54</v>
      </c>
      <c r="D23" s="1" t="s">
        <v>109</v>
      </c>
      <c r="F23" s="3" t="s">
        <v>59</v>
      </c>
      <c r="G23" s="4" t="s">
        <v>60</v>
      </c>
      <c r="H23" s="5" t="s">
        <v>70</v>
      </c>
      <c r="I23" s="3" t="s">
        <v>62</v>
      </c>
      <c r="J23" s="2" t="s">
        <v>94</v>
      </c>
      <c r="K23" s="6">
        <v>1</v>
      </c>
      <c r="L23" s="5" t="s">
        <v>64</v>
      </c>
      <c r="M23" s="7" t="s">
        <v>97</v>
      </c>
      <c r="N23" s="8" t="s">
        <v>77</v>
      </c>
      <c r="O23" s="3" t="s">
        <v>67</v>
      </c>
      <c r="P23" s="9" t="s">
        <v>78</v>
      </c>
    </row>
    <row r="24" spans="2:16" x14ac:dyDescent="0.25">
      <c r="C24" s="3">
        <v>5</v>
      </c>
      <c r="D24" s="1" t="s">
        <v>110</v>
      </c>
      <c r="F24" s="3" t="s">
        <v>59</v>
      </c>
      <c r="G24" s="4" t="s">
        <v>60</v>
      </c>
      <c r="H24" s="5" t="s">
        <v>70</v>
      </c>
      <c r="I24" s="3" t="s">
        <v>62</v>
      </c>
      <c r="J24" s="2" t="s">
        <v>71</v>
      </c>
      <c r="K24" s="6">
        <v>1</v>
      </c>
      <c r="L24" s="5" t="s">
        <v>64</v>
      </c>
      <c r="M24" s="7" t="s">
        <v>111</v>
      </c>
      <c r="N24" s="8" t="s">
        <v>77</v>
      </c>
      <c r="O24" s="3" t="s">
        <v>67</v>
      </c>
      <c r="P24" s="9" t="s">
        <v>78</v>
      </c>
    </row>
    <row r="25" spans="2:16" x14ac:dyDescent="0.25">
      <c r="C25" s="3">
        <v>6</v>
      </c>
      <c r="D25" s="1" t="s">
        <v>112</v>
      </c>
      <c r="F25" s="3" t="s">
        <v>59</v>
      </c>
      <c r="G25" s="4" t="s">
        <v>60</v>
      </c>
      <c r="H25" s="5" t="s">
        <v>70</v>
      </c>
      <c r="I25" s="3" t="s">
        <v>62</v>
      </c>
      <c r="J25" s="2" t="s">
        <v>106</v>
      </c>
      <c r="K25" s="6">
        <v>1</v>
      </c>
      <c r="L25" s="5" t="s">
        <v>64</v>
      </c>
      <c r="M25" s="7" t="s">
        <v>113</v>
      </c>
      <c r="N25" s="8" t="s">
        <v>77</v>
      </c>
      <c r="O25" s="3" t="s">
        <v>67</v>
      </c>
      <c r="P25" s="9" t="s">
        <v>78</v>
      </c>
    </row>
    <row r="26" spans="2:16" x14ac:dyDescent="0.25">
      <c r="C26" s="3">
        <v>7</v>
      </c>
      <c r="D26" s="14" t="s">
        <v>114</v>
      </c>
      <c r="F26" s="3" t="s">
        <v>59</v>
      </c>
      <c r="G26" s="4" t="s">
        <v>60</v>
      </c>
      <c r="H26" s="5" t="s">
        <v>70</v>
      </c>
      <c r="I26" s="3" t="s">
        <v>62</v>
      </c>
      <c r="J26" s="4" t="s">
        <v>99</v>
      </c>
      <c r="K26" s="6">
        <v>1</v>
      </c>
      <c r="L26" s="5" t="s">
        <v>64</v>
      </c>
      <c r="M26" s="7" t="s">
        <v>115</v>
      </c>
      <c r="N26" s="8" t="s">
        <v>73</v>
      </c>
      <c r="O26" s="3" t="s">
        <v>67</v>
      </c>
      <c r="P26" s="15" t="s">
        <v>452</v>
      </c>
    </row>
    <row r="27" spans="2:16" s="11" customFormat="1" x14ac:dyDescent="0.25">
      <c r="B27" s="10"/>
      <c r="C27" s="952" t="s">
        <v>35</v>
      </c>
      <c r="D27" s="952"/>
      <c r="E27" s="952"/>
      <c r="F27" s="10"/>
      <c r="G27" s="12"/>
      <c r="H27" s="13"/>
      <c r="I27" s="10"/>
      <c r="J27" s="12"/>
      <c r="K27" s="12"/>
      <c r="L27" s="13"/>
      <c r="M27" s="10"/>
      <c r="N27" s="10"/>
      <c r="O27" s="10"/>
    </row>
    <row r="28" spans="2:16" x14ac:dyDescent="0.25">
      <c r="C28" s="3">
        <v>223</v>
      </c>
      <c r="D28" s="1" t="s">
        <v>116</v>
      </c>
      <c r="F28" s="3" t="s">
        <v>59</v>
      </c>
      <c r="G28" s="4" t="s">
        <v>60</v>
      </c>
      <c r="H28" s="5" t="s">
        <v>70</v>
      </c>
      <c r="I28" s="3" t="s">
        <v>62</v>
      </c>
      <c r="J28" s="2" t="s">
        <v>95</v>
      </c>
      <c r="K28" s="6">
        <v>1</v>
      </c>
      <c r="L28" s="5" t="s">
        <v>64</v>
      </c>
      <c r="M28" s="7" t="s">
        <v>72</v>
      </c>
      <c r="N28" s="8" t="s">
        <v>77</v>
      </c>
      <c r="O28" s="3" t="s">
        <v>67</v>
      </c>
    </row>
    <row r="29" spans="2:16" x14ac:dyDescent="0.25">
      <c r="C29" s="3">
        <v>250</v>
      </c>
      <c r="D29" s="1" t="s">
        <v>117</v>
      </c>
      <c r="F29" s="3" t="s">
        <v>59</v>
      </c>
      <c r="G29" s="4" t="s">
        <v>60</v>
      </c>
      <c r="H29" s="5" t="s">
        <v>70</v>
      </c>
      <c r="I29" s="3" t="s">
        <v>62</v>
      </c>
      <c r="J29" s="2" t="s">
        <v>94</v>
      </c>
      <c r="K29" s="6">
        <v>1</v>
      </c>
      <c r="L29" s="5" t="s">
        <v>64</v>
      </c>
      <c r="M29" s="7" t="s">
        <v>101</v>
      </c>
      <c r="N29" s="8" t="s">
        <v>92</v>
      </c>
      <c r="O29" s="3" t="s">
        <v>67</v>
      </c>
    </row>
    <row r="30" spans="2:16" x14ac:dyDescent="0.25">
      <c r="C30" s="3">
        <v>248</v>
      </c>
      <c r="D30" s="1" t="s">
        <v>118</v>
      </c>
      <c r="F30" s="3" t="s">
        <v>59</v>
      </c>
      <c r="G30" s="4" t="s">
        <v>60</v>
      </c>
      <c r="H30" s="5" t="s">
        <v>70</v>
      </c>
      <c r="I30" s="3" t="s">
        <v>62</v>
      </c>
      <c r="J30" s="2" t="s">
        <v>80</v>
      </c>
      <c r="K30" s="6">
        <v>1</v>
      </c>
      <c r="L30" s="5" t="s">
        <v>64</v>
      </c>
      <c r="M30" s="7" t="s">
        <v>71</v>
      </c>
      <c r="N30" s="8" t="s">
        <v>92</v>
      </c>
      <c r="O30" s="3" t="s">
        <v>67</v>
      </c>
    </row>
    <row r="31" spans="2:16" x14ac:dyDescent="0.25">
      <c r="C31" s="3">
        <v>167</v>
      </c>
      <c r="D31" s="1" t="s">
        <v>119</v>
      </c>
      <c r="F31" s="3" t="s">
        <v>59</v>
      </c>
      <c r="G31" s="4" t="s">
        <v>60</v>
      </c>
      <c r="H31" s="5" t="s">
        <v>70</v>
      </c>
      <c r="I31" s="3" t="s">
        <v>62</v>
      </c>
      <c r="J31" s="2" t="s">
        <v>120</v>
      </c>
      <c r="K31" s="6">
        <v>1</v>
      </c>
      <c r="L31" s="5" t="s">
        <v>64</v>
      </c>
      <c r="M31" s="7" t="s">
        <v>121</v>
      </c>
      <c r="N31" s="8" t="s">
        <v>73</v>
      </c>
      <c r="O31" s="3" t="s">
        <v>67</v>
      </c>
    </row>
    <row r="32" spans="2:16" x14ac:dyDescent="0.25">
      <c r="C32" s="3">
        <v>191</v>
      </c>
      <c r="D32" s="1" t="s">
        <v>122</v>
      </c>
      <c r="F32" s="3" t="s">
        <v>123</v>
      </c>
      <c r="G32" s="4" t="s">
        <v>60</v>
      </c>
      <c r="H32" s="5" t="s">
        <v>70</v>
      </c>
      <c r="I32" s="3" t="s">
        <v>62</v>
      </c>
      <c r="J32" s="2" t="s">
        <v>80</v>
      </c>
      <c r="K32" s="6">
        <v>1</v>
      </c>
      <c r="L32" s="5" t="s">
        <v>64</v>
      </c>
      <c r="M32" s="7" t="s">
        <v>97</v>
      </c>
      <c r="N32" s="8" t="s">
        <v>82</v>
      </c>
      <c r="O32" s="3" t="s">
        <v>67</v>
      </c>
    </row>
    <row r="33" spans="2:15" x14ac:dyDescent="0.25">
      <c r="C33" s="3">
        <v>262</v>
      </c>
      <c r="D33" s="1" t="s">
        <v>124</v>
      </c>
      <c r="F33" s="3" t="s">
        <v>59</v>
      </c>
      <c r="G33" s="4" t="s">
        <v>60</v>
      </c>
      <c r="H33" s="5" t="s">
        <v>70</v>
      </c>
      <c r="I33" s="3" t="s">
        <v>62</v>
      </c>
      <c r="J33" s="4" t="s">
        <v>120</v>
      </c>
      <c r="K33" s="6">
        <v>1</v>
      </c>
      <c r="L33" s="5" t="s">
        <v>64</v>
      </c>
      <c r="M33" s="7" t="s">
        <v>95</v>
      </c>
      <c r="N33" s="8" t="s">
        <v>92</v>
      </c>
      <c r="O33" s="3" t="s">
        <v>67</v>
      </c>
    </row>
    <row r="34" spans="2:15" x14ac:dyDescent="0.25">
      <c r="C34" s="3">
        <v>216</v>
      </c>
      <c r="D34" s="1" t="s">
        <v>125</v>
      </c>
      <c r="F34" s="3" t="s">
        <v>59</v>
      </c>
      <c r="G34" s="4" t="s">
        <v>60</v>
      </c>
      <c r="H34" s="5" t="s">
        <v>70</v>
      </c>
      <c r="I34" s="3" t="s">
        <v>62</v>
      </c>
      <c r="J34" s="2" t="s">
        <v>88</v>
      </c>
      <c r="K34" s="6">
        <v>1</v>
      </c>
      <c r="L34" s="5" t="s">
        <v>64</v>
      </c>
      <c r="M34" s="7" t="s">
        <v>99</v>
      </c>
      <c r="N34" s="8" t="s">
        <v>77</v>
      </c>
      <c r="O34" s="3" t="s">
        <v>67</v>
      </c>
    </row>
    <row r="35" spans="2:15" x14ac:dyDescent="0.25">
      <c r="C35" s="3">
        <v>249</v>
      </c>
      <c r="D35" s="1" t="s">
        <v>126</v>
      </c>
      <c r="F35" s="3" t="s">
        <v>59</v>
      </c>
      <c r="G35" s="4" t="s">
        <v>60</v>
      </c>
      <c r="H35" s="5" t="s">
        <v>70</v>
      </c>
      <c r="I35" s="3" t="s">
        <v>62</v>
      </c>
      <c r="J35" s="2" t="s">
        <v>75</v>
      </c>
      <c r="K35" s="6">
        <v>1</v>
      </c>
      <c r="L35" s="5" t="s">
        <v>64</v>
      </c>
      <c r="M35" s="7" t="s">
        <v>80</v>
      </c>
      <c r="N35" s="8" t="s">
        <v>92</v>
      </c>
      <c r="O35" s="3" t="s">
        <v>67</v>
      </c>
    </row>
    <row r="36" spans="2:15" x14ac:dyDescent="0.25">
      <c r="C36" s="3">
        <v>183</v>
      </c>
      <c r="D36" s="1" t="s">
        <v>127</v>
      </c>
      <c r="F36" s="3" t="s">
        <v>59</v>
      </c>
      <c r="G36" s="4" t="s">
        <v>60</v>
      </c>
      <c r="H36" s="5" t="s">
        <v>70</v>
      </c>
      <c r="I36" s="3" t="s">
        <v>62</v>
      </c>
      <c r="J36" s="2" t="s">
        <v>101</v>
      </c>
      <c r="K36" s="6">
        <v>1</v>
      </c>
      <c r="L36" s="5" t="s">
        <v>64</v>
      </c>
      <c r="M36" s="7" t="s">
        <v>75</v>
      </c>
      <c r="N36" s="8" t="s">
        <v>77</v>
      </c>
      <c r="O36" s="3" t="s">
        <v>67</v>
      </c>
    </row>
    <row r="37" spans="2:15" x14ac:dyDescent="0.25">
      <c r="C37" s="3">
        <v>213</v>
      </c>
      <c r="D37" s="1" t="s">
        <v>128</v>
      </c>
      <c r="F37" s="3" t="s">
        <v>59</v>
      </c>
      <c r="G37" s="4" t="s">
        <v>60</v>
      </c>
      <c r="H37" s="5" t="s">
        <v>70</v>
      </c>
      <c r="I37" s="3" t="s">
        <v>62</v>
      </c>
      <c r="J37" s="2" t="s">
        <v>101</v>
      </c>
      <c r="K37" s="6">
        <v>1</v>
      </c>
      <c r="L37" s="5" t="s">
        <v>64</v>
      </c>
      <c r="M37" s="7" t="s">
        <v>129</v>
      </c>
      <c r="N37" s="8" t="s">
        <v>77</v>
      </c>
      <c r="O37" s="3" t="s">
        <v>67</v>
      </c>
    </row>
    <row r="38" spans="2:15" s="11" customFormat="1" x14ac:dyDescent="0.25">
      <c r="B38" s="10"/>
      <c r="C38" s="952" t="s">
        <v>130</v>
      </c>
      <c r="D38" s="952"/>
      <c r="E38" s="952"/>
      <c r="F38" s="10"/>
      <c r="G38" s="12"/>
      <c r="H38" s="13"/>
      <c r="I38" s="10"/>
      <c r="J38" s="12"/>
      <c r="K38" s="12"/>
      <c r="L38" s="13"/>
      <c r="M38" s="10"/>
      <c r="N38" s="10"/>
      <c r="O38" s="10"/>
    </row>
    <row r="39" spans="2:15" x14ac:dyDescent="0.25">
      <c r="C39" s="3">
        <v>120</v>
      </c>
      <c r="D39" s="3" t="s">
        <v>131</v>
      </c>
      <c r="F39" s="3" t="s">
        <v>59</v>
      </c>
      <c r="G39" s="4" t="s">
        <v>60</v>
      </c>
      <c r="H39" s="5" t="s">
        <v>70</v>
      </c>
      <c r="I39" s="3" t="s">
        <v>62</v>
      </c>
      <c r="J39" s="4" t="s">
        <v>101</v>
      </c>
      <c r="K39" s="6">
        <v>1</v>
      </c>
      <c r="L39" s="5" t="s">
        <v>64</v>
      </c>
      <c r="M39" s="7" t="s">
        <v>104</v>
      </c>
      <c r="N39" s="8" t="s">
        <v>132</v>
      </c>
      <c r="O39" s="3" t="s">
        <v>67</v>
      </c>
    </row>
    <row r="40" spans="2:15" x14ac:dyDescent="0.25">
      <c r="C40" s="3">
        <v>166</v>
      </c>
      <c r="D40" s="3" t="s">
        <v>133</v>
      </c>
      <c r="F40" s="3" t="s">
        <v>59</v>
      </c>
      <c r="G40" s="4" t="s">
        <v>60</v>
      </c>
      <c r="H40" s="5" t="s">
        <v>70</v>
      </c>
      <c r="I40" s="3" t="s">
        <v>62</v>
      </c>
      <c r="J40" s="4" t="s">
        <v>88</v>
      </c>
      <c r="K40" s="6">
        <v>1</v>
      </c>
      <c r="L40" s="5" t="s">
        <v>64</v>
      </c>
      <c r="M40" s="7" t="s">
        <v>134</v>
      </c>
      <c r="N40" s="8" t="s">
        <v>132</v>
      </c>
      <c r="O40" s="3" t="s">
        <v>67</v>
      </c>
    </row>
    <row r="41" spans="2:15" x14ac:dyDescent="0.25">
      <c r="C41" s="3">
        <v>119</v>
      </c>
      <c r="D41" s="3" t="s">
        <v>135</v>
      </c>
      <c r="F41" s="3" t="s">
        <v>59</v>
      </c>
      <c r="G41" s="4" t="s">
        <v>60</v>
      </c>
      <c r="H41" s="5" t="s">
        <v>70</v>
      </c>
      <c r="I41" s="3" t="s">
        <v>62</v>
      </c>
      <c r="J41" s="4" t="s">
        <v>72</v>
      </c>
      <c r="K41" s="6">
        <v>1</v>
      </c>
      <c r="L41" s="5" t="s">
        <v>64</v>
      </c>
      <c r="M41" s="7" t="s">
        <v>102</v>
      </c>
      <c r="N41" s="8" t="s">
        <v>132</v>
      </c>
      <c r="O41" s="3" t="s">
        <v>67</v>
      </c>
    </row>
    <row r="42" spans="2:15" s="11" customFormat="1" x14ac:dyDescent="0.25">
      <c r="B42" s="10"/>
      <c r="C42" s="952" t="s">
        <v>136</v>
      </c>
      <c r="D42" s="952"/>
      <c r="E42" s="952"/>
      <c r="F42" s="10"/>
      <c r="G42" s="12"/>
      <c r="H42" s="13"/>
      <c r="I42" s="10"/>
      <c r="J42" s="12"/>
      <c r="K42" s="12"/>
      <c r="L42" s="13"/>
      <c r="M42" s="10"/>
      <c r="N42" s="10"/>
      <c r="O42" s="10"/>
    </row>
    <row r="43" spans="2:15" x14ac:dyDescent="0.25">
      <c r="C43" s="3">
        <v>31</v>
      </c>
      <c r="D43" s="1" t="s">
        <v>137</v>
      </c>
      <c r="F43" s="3" t="s">
        <v>59</v>
      </c>
      <c r="G43" s="4" t="s">
        <v>60</v>
      </c>
      <c r="H43" s="5" t="s">
        <v>70</v>
      </c>
      <c r="I43" s="3" t="s">
        <v>62</v>
      </c>
      <c r="J43" s="2" t="s">
        <v>95</v>
      </c>
      <c r="K43" s="6">
        <v>1</v>
      </c>
      <c r="L43" s="5" t="s">
        <v>64</v>
      </c>
      <c r="M43" s="7" t="s">
        <v>81</v>
      </c>
      <c r="N43" s="8" t="s">
        <v>77</v>
      </c>
      <c r="O43" s="3" t="s">
        <v>67</v>
      </c>
    </row>
    <row r="44" spans="2:15" x14ac:dyDescent="0.25">
      <c r="C44" s="3">
        <v>26</v>
      </c>
      <c r="D44" s="1" t="s">
        <v>138</v>
      </c>
      <c r="F44" s="3" t="s">
        <v>59</v>
      </c>
      <c r="G44" s="4" t="s">
        <v>60</v>
      </c>
      <c r="H44" s="5" t="s">
        <v>70</v>
      </c>
      <c r="I44" s="3" t="s">
        <v>62</v>
      </c>
      <c r="J44" s="2" t="s">
        <v>91</v>
      </c>
      <c r="K44" s="6">
        <v>1</v>
      </c>
      <c r="L44" s="5" t="s">
        <v>64</v>
      </c>
      <c r="M44" s="7" t="s">
        <v>139</v>
      </c>
      <c r="N44" s="8" t="s">
        <v>77</v>
      </c>
      <c r="O44" s="3" t="s">
        <v>67</v>
      </c>
    </row>
    <row r="45" spans="2:15" x14ac:dyDescent="0.25">
      <c r="C45" s="3">
        <v>258</v>
      </c>
      <c r="D45" s="1" t="s">
        <v>140</v>
      </c>
      <c r="F45" s="3" t="s">
        <v>59</v>
      </c>
      <c r="G45" s="4" t="s">
        <v>60</v>
      </c>
      <c r="H45" s="5" t="s">
        <v>70</v>
      </c>
      <c r="I45" s="3" t="s">
        <v>62</v>
      </c>
      <c r="J45" s="2" t="s">
        <v>101</v>
      </c>
      <c r="K45" s="6">
        <v>1</v>
      </c>
      <c r="L45" s="5" t="s">
        <v>64</v>
      </c>
      <c r="M45" s="7" t="s">
        <v>121</v>
      </c>
      <c r="N45" s="8" t="s">
        <v>92</v>
      </c>
      <c r="O45" s="3" t="s">
        <v>67</v>
      </c>
    </row>
    <row r="46" spans="2:15" x14ac:dyDescent="0.25">
      <c r="C46" s="3">
        <v>27</v>
      </c>
      <c r="D46" s="14" t="s">
        <v>141</v>
      </c>
      <c r="F46" s="3" t="s">
        <v>59</v>
      </c>
      <c r="G46" s="4" t="s">
        <v>60</v>
      </c>
      <c r="H46" s="5" t="s">
        <v>70</v>
      </c>
      <c r="I46" s="3" t="s">
        <v>62</v>
      </c>
      <c r="J46" s="4" t="s">
        <v>101</v>
      </c>
      <c r="K46" s="6">
        <v>1</v>
      </c>
      <c r="L46" s="5" t="s">
        <v>64</v>
      </c>
      <c r="M46" s="7" t="s">
        <v>106</v>
      </c>
      <c r="N46" s="8" t="s">
        <v>132</v>
      </c>
      <c r="O46" s="3" t="s">
        <v>67</v>
      </c>
    </row>
    <row r="47" spans="2:15" x14ac:dyDescent="0.25">
      <c r="C47" s="3">
        <v>28</v>
      </c>
      <c r="D47" s="1" t="s">
        <v>142</v>
      </c>
      <c r="F47" s="3" t="s">
        <v>59</v>
      </c>
      <c r="G47" s="4" t="s">
        <v>60</v>
      </c>
      <c r="H47" s="5" t="s">
        <v>70</v>
      </c>
      <c r="I47" s="3" t="s">
        <v>62</v>
      </c>
      <c r="J47" s="2" t="s">
        <v>75</v>
      </c>
      <c r="K47" s="6">
        <v>1</v>
      </c>
      <c r="L47" s="5" t="s">
        <v>64</v>
      </c>
      <c r="M47" s="7" t="s">
        <v>129</v>
      </c>
      <c r="N47" s="8" t="s">
        <v>77</v>
      </c>
      <c r="O47" s="3" t="s">
        <v>67</v>
      </c>
    </row>
    <row r="48" spans="2:15" x14ac:dyDescent="0.25">
      <c r="C48" s="3">
        <v>29</v>
      </c>
      <c r="D48" s="14" t="s">
        <v>143</v>
      </c>
      <c r="F48" s="3" t="s">
        <v>59</v>
      </c>
      <c r="G48" s="4" t="s">
        <v>60</v>
      </c>
      <c r="H48" s="5" t="s">
        <v>70</v>
      </c>
      <c r="I48" s="3" t="s">
        <v>62</v>
      </c>
      <c r="J48" s="4" t="s">
        <v>101</v>
      </c>
      <c r="K48" s="6">
        <v>1</v>
      </c>
      <c r="L48" s="5" t="s">
        <v>64</v>
      </c>
      <c r="M48" s="7" t="s">
        <v>75</v>
      </c>
      <c r="N48" s="8" t="s">
        <v>132</v>
      </c>
      <c r="O48" s="3" t="s">
        <v>67</v>
      </c>
    </row>
    <row r="49" spans="2:15" x14ac:dyDescent="0.25">
      <c r="C49" s="3">
        <v>30</v>
      </c>
      <c r="D49" s="14" t="s">
        <v>144</v>
      </c>
      <c r="F49" s="3" t="s">
        <v>59</v>
      </c>
      <c r="G49" s="4" t="s">
        <v>60</v>
      </c>
      <c r="H49" s="5" t="s">
        <v>70</v>
      </c>
      <c r="I49" s="3" t="s">
        <v>62</v>
      </c>
      <c r="J49" s="4" t="s">
        <v>91</v>
      </c>
      <c r="K49" s="6">
        <v>1</v>
      </c>
      <c r="L49" s="5" t="s">
        <v>64</v>
      </c>
      <c r="M49" s="7" t="s">
        <v>113</v>
      </c>
      <c r="N49" s="8" t="s">
        <v>132</v>
      </c>
      <c r="O49" s="3" t="s">
        <v>67</v>
      </c>
    </row>
    <row r="50" spans="2:15" x14ac:dyDescent="0.25">
      <c r="C50" s="3">
        <v>32</v>
      </c>
      <c r="D50" s="1" t="s">
        <v>145</v>
      </c>
      <c r="F50" s="3" t="s">
        <v>59</v>
      </c>
      <c r="G50" s="4" t="s">
        <v>60</v>
      </c>
      <c r="H50" s="5" t="s">
        <v>70</v>
      </c>
      <c r="I50" s="3" t="s">
        <v>62</v>
      </c>
      <c r="J50" s="2" t="s">
        <v>101</v>
      </c>
      <c r="K50" s="6">
        <v>1</v>
      </c>
      <c r="L50" s="5" t="s">
        <v>64</v>
      </c>
      <c r="M50" s="7" t="s">
        <v>95</v>
      </c>
      <c r="N50" s="8" t="s">
        <v>77</v>
      </c>
      <c r="O50" s="3" t="s">
        <v>67</v>
      </c>
    </row>
    <row r="51" spans="2:15" x14ac:dyDescent="0.25">
      <c r="C51" s="3">
        <v>33</v>
      </c>
      <c r="D51" s="14" t="s">
        <v>146</v>
      </c>
      <c r="F51" s="3" t="s">
        <v>59</v>
      </c>
      <c r="G51" s="4" t="s">
        <v>60</v>
      </c>
      <c r="H51" s="5" t="s">
        <v>70</v>
      </c>
      <c r="I51" s="3" t="s">
        <v>62</v>
      </c>
      <c r="J51" s="4" t="s">
        <v>88</v>
      </c>
      <c r="K51" s="6">
        <v>1</v>
      </c>
      <c r="L51" s="5" t="s">
        <v>64</v>
      </c>
      <c r="M51" s="7" t="s">
        <v>139</v>
      </c>
      <c r="N51" s="8" t="s">
        <v>132</v>
      </c>
      <c r="O51" s="3" t="s">
        <v>67</v>
      </c>
    </row>
    <row r="52" spans="2:15" x14ac:dyDescent="0.25">
      <c r="C52" s="3">
        <v>34</v>
      </c>
      <c r="D52" s="14" t="s">
        <v>147</v>
      </c>
      <c r="F52" s="3" t="s">
        <v>59</v>
      </c>
      <c r="G52" s="4" t="s">
        <v>60</v>
      </c>
      <c r="H52" s="5" t="s">
        <v>70</v>
      </c>
      <c r="I52" s="3" t="s">
        <v>62</v>
      </c>
      <c r="J52" s="4" t="s">
        <v>95</v>
      </c>
      <c r="K52" s="6">
        <v>1</v>
      </c>
      <c r="L52" s="5" t="s">
        <v>64</v>
      </c>
      <c r="M52" s="7" t="s">
        <v>113</v>
      </c>
      <c r="N52" s="8" t="s">
        <v>132</v>
      </c>
      <c r="O52" s="3" t="s">
        <v>67</v>
      </c>
    </row>
    <row r="53" spans="2:15" x14ac:dyDescent="0.25">
      <c r="C53" s="3">
        <v>35</v>
      </c>
      <c r="D53" s="14" t="s">
        <v>148</v>
      </c>
      <c r="F53" s="3" t="s">
        <v>59</v>
      </c>
      <c r="G53" s="4" t="s">
        <v>60</v>
      </c>
      <c r="H53" s="5" t="s">
        <v>70</v>
      </c>
      <c r="I53" s="3" t="s">
        <v>62</v>
      </c>
      <c r="J53" s="4" t="s">
        <v>91</v>
      </c>
      <c r="K53" s="6">
        <v>1</v>
      </c>
      <c r="L53" s="5" t="s">
        <v>64</v>
      </c>
      <c r="M53" s="7" t="s">
        <v>134</v>
      </c>
      <c r="N53" s="8" t="s">
        <v>132</v>
      </c>
      <c r="O53" s="3" t="s">
        <v>67</v>
      </c>
    </row>
    <row r="54" spans="2:15" x14ac:dyDescent="0.25">
      <c r="C54" s="3">
        <v>36</v>
      </c>
      <c r="D54" s="14" t="s">
        <v>149</v>
      </c>
      <c r="F54" s="3" t="s">
        <v>59</v>
      </c>
      <c r="G54" s="4" t="s">
        <v>60</v>
      </c>
      <c r="H54" s="5" t="s">
        <v>70</v>
      </c>
      <c r="I54" s="3" t="s">
        <v>62</v>
      </c>
      <c r="J54" s="4" t="s">
        <v>91</v>
      </c>
      <c r="K54" s="6">
        <v>1</v>
      </c>
      <c r="L54" s="5" t="s">
        <v>64</v>
      </c>
      <c r="M54" s="7" t="s">
        <v>134</v>
      </c>
      <c r="N54" s="8" t="s">
        <v>132</v>
      </c>
      <c r="O54" s="3" t="s">
        <v>67</v>
      </c>
    </row>
    <row r="55" spans="2:15" x14ac:dyDescent="0.25">
      <c r="C55" s="3">
        <v>37</v>
      </c>
      <c r="D55" s="14" t="s">
        <v>150</v>
      </c>
      <c r="F55" s="3" t="s">
        <v>59</v>
      </c>
      <c r="G55" s="4" t="s">
        <v>60</v>
      </c>
      <c r="H55" s="5" t="s">
        <v>70</v>
      </c>
      <c r="I55" s="3" t="s">
        <v>62</v>
      </c>
      <c r="J55" s="4" t="s">
        <v>95</v>
      </c>
      <c r="K55" s="6">
        <v>1</v>
      </c>
      <c r="L55" s="5" t="s">
        <v>64</v>
      </c>
      <c r="M55" s="7" t="s">
        <v>107</v>
      </c>
      <c r="N55" s="8" t="s">
        <v>132</v>
      </c>
      <c r="O55" s="3" t="s">
        <v>67</v>
      </c>
    </row>
    <row r="56" spans="2:15" s="11" customFormat="1" x14ac:dyDescent="0.25">
      <c r="B56" s="10"/>
      <c r="C56" s="952" t="s">
        <v>151</v>
      </c>
      <c r="D56" s="952"/>
      <c r="E56" s="952"/>
      <c r="F56" s="10"/>
      <c r="G56" s="12"/>
      <c r="H56" s="13"/>
      <c r="I56" s="10"/>
      <c r="J56" s="12"/>
      <c r="K56" s="12"/>
      <c r="L56" s="13"/>
      <c r="M56" s="10"/>
      <c r="N56" s="10"/>
      <c r="O56" s="10"/>
    </row>
    <row r="57" spans="2:15" x14ac:dyDescent="0.25">
      <c r="C57" s="3">
        <v>122</v>
      </c>
      <c r="D57" s="3" t="s">
        <v>152</v>
      </c>
      <c r="F57" s="3" t="s">
        <v>59</v>
      </c>
      <c r="G57" s="4" t="s">
        <v>60</v>
      </c>
      <c r="H57" s="5" t="s">
        <v>70</v>
      </c>
      <c r="I57" s="3" t="s">
        <v>62</v>
      </c>
      <c r="J57" s="4" t="s">
        <v>115</v>
      </c>
      <c r="K57" s="6">
        <v>1</v>
      </c>
      <c r="L57" s="5" t="s">
        <v>64</v>
      </c>
      <c r="M57" s="7" t="s">
        <v>115</v>
      </c>
      <c r="N57" s="8" t="s">
        <v>153</v>
      </c>
      <c r="O57" s="3" t="s">
        <v>154</v>
      </c>
    </row>
    <row r="58" spans="2:15" x14ac:dyDescent="0.25">
      <c r="C58" s="3">
        <v>133</v>
      </c>
      <c r="D58" s="3" t="s">
        <v>155</v>
      </c>
      <c r="F58" s="3" t="s">
        <v>59</v>
      </c>
      <c r="G58" s="4" t="s">
        <v>60</v>
      </c>
      <c r="H58" s="5" t="s">
        <v>70</v>
      </c>
      <c r="I58" s="3" t="s">
        <v>62</v>
      </c>
      <c r="J58" s="4" t="s">
        <v>115</v>
      </c>
      <c r="K58" s="6">
        <v>1</v>
      </c>
      <c r="L58" s="5" t="s">
        <v>64</v>
      </c>
      <c r="M58" s="7" t="s">
        <v>115</v>
      </c>
      <c r="N58" s="8" t="s">
        <v>153</v>
      </c>
      <c r="O58" s="3" t="s">
        <v>154</v>
      </c>
    </row>
    <row r="59" spans="2:15" s="11" customFormat="1" x14ac:dyDescent="0.25">
      <c r="B59" s="10"/>
      <c r="C59" s="952" t="s">
        <v>156</v>
      </c>
      <c r="D59" s="952"/>
      <c r="E59" s="952"/>
      <c r="F59" s="10"/>
      <c r="G59" s="12"/>
      <c r="H59" s="13"/>
      <c r="I59" s="10"/>
      <c r="J59" s="12"/>
      <c r="K59" s="12"/>
      <c r="L59" s="13"/>
      <c r="M59" s="10"/>
      <c r="N59" s="10"/>
      <c r="O59" s="10"/>
    </row>
    <row r="60" spans="2:15" x14ac:dyDescent="0.25">
      <c r="C60" s="3">
        <v>102</v>
      </c>
      <c r="D60" s="3" t="s">
        <v>157</v>
      </c>
      <c r="F60" s="3" t="s">
        <v>123</v>
      </c>
      <c r="G60" s="4" t="s">
        <v>60</v>
      </c>
      <c r="H60" s="5" t="s">
        <v>158</v>
      </c>
      <c r="I60" s="3" t="s">
        <v>62</v>
      </c>
      <c r="J60" s="4" t="s">
        <v>121</v>
      </c>
      <c r="K60" s="6">
        <v>1</v>
      </c>
      <c r="L60" s="5" t="s">
        <v>64</v>
      </c>
      <c r="M60" s="7" t="s">
        <v>121</v>
      </c>
      <c r="N60" s="8" t="s">
        <v>132</v>
      </c>
      <c r="O60" s="3" t="s">
        <v>67</v>
      </c>
    </row>
    <row r="61" spans="2:15" x14ac:dyDescent="0.25">
      <c r="C61" s="3">
        <v>106</v>
      </c>
      <c r="D61" s="3" t="s">
        <v>159</v>
      </c>
      <c r="F61" s="3" t="s">
        <v>59</v>
      </c>
      <c r="G61" s="4" t="s">
        <v>60</v>
      </c>
      <c r="H61" s="5" t="s">
        <v>160</v>
      </c>
      <c r="I61" s="3" t="s">
        <v>62</v>
      </c>
      <c r="J61" s="4" t="s">
        <v>94</v>
      </c>
      <c r="K61" s="6">
        <v>1</v>
      </c>
      <c r="L61" s="5" t="s">
        <v>64</v>
      </c>
      <c r="M61" s="7" t="s">
        <v>90</v>
      </c>
      <c r="N61" s="8" t="s">
        <v>132</v>
      </c>
      <c r="O61" s="3" t="s">
        <v>67</v>
      </c>
    </row>
    <row r="62" spans="2:15" x14ac:dyDescent="0.25">
      <c r="C62" s="3">
        <v>103</v>
      </c>
      <c r="D62" s="3" t="s">
        <v>161</v>
      </c>
      <c r="F62" s="3" t="s">
        <v>59</v>
      </c>
      <c r="G62" s="4" t="s">
        <v>60</v>
      </c>
      <c r="H62" s="5" t="s">
        <v>158</v>
      </c>
      <c r="I62" s="3" t="s">
        <v>62</v>
      </c>
      <c r="J62" s="4" t="s">
        <v>121</v>
      </c>
      <c r="K62" s="6">
        <v>1</v>
      </c>
      <c r="L62" s="5" t="s">
        <v>64</v>
      </c>
      <c r="M62" s="7" t="s">
        <v>121</v>
      </c>
      <c r="N62" s="8" t="s">
        <v>132</v>
      </c>
      <c r="O62" s="3" t="s">
        <v>67</v>
      </c>
    </row>
    <row r="63" spans="2:15" x14ac:dyDescent="0.25">
      <c r="C63" s="3">
        <v>162</v>
      </c>
      <c r="D63" s="3" t="s">
        <v>162</v>
      </c>
      <c r="F63" s="3" t="s">
        <v>59</v>
      </c>
      <c r="G63" s="4" t="s">
        <v>60</v>
      </c>
      <c r="H63" s="5" t="s">
        <v>70</v>
      </c>
      <c r="I63" s="3" t="s">
        <v>62</v>
      </c>
      <c r="J63" s="4" t="s">
        <v>121</v>
      </c>
      <c r="K63" s="6">
        <v>1</v>
      </c>
      <c r="L63" s="5" t="s">
        <v>64</v>
      </c>
      <c r="M63" s="7" t="s">
        <v>121</v>
      </c>
      <c r="N63" s="8" t="s">
        <v>132</v>
      </c>
      <c r="O63" s="3" t="s">
        <v>67</v>
      </c>
    </row>
    <row r="64" spans="2:15" x14ac:dyDescent="0.25">
      <c r="C64" s="3">
        <v>104</v>
      </c>
      <c r="D64" s="3" t="s">
        <v>163</v>
      </c>
      <c r="F64" s="3" t="s">
        <v>59</v>
      </c>
      <c r="G64" s="4" t="s">
        <v>60</v>
      </c>
      <c r="H64" s="5" t="s">
        <v>158</v>
      </c>
      <c r="I64" s="3" t="s">
        <v>62</v>
      </c>
      <c r="J64" s="4" t="s">
        <v>90</v>
      </c>
      <c r="K64" s="6">
        <v>1</v>
      </c>
      <c r="L64" s="5" t="s">
        <v>64</v>
      </c>
      <c r="M64" s="7" t="s">
        <v>139</v>
      </c>
      <c r="N64" s="8" t="s">
        <v>132</v>
      </c>
      <c r="O64" s="3" t="s">
        <v>67</v>
      </c>
    </row>
    <row r="65" spans="2:15" x14ac:dyDescent="0.25">
      <c r="C65" s="3">
        <v>164</v>
      </c>
      <c r="D65" s="3" t="s">
        <v>164</v>
      </c>
      <c r="F65" s="3" t="s">
        <v>59</v>
      </c>
      <c r="G65" s="4" t="s">
        <v>60</v>
      </c>
      <c r="H65" s="5" t="s">
        <v>70</v>
      </c>
      <c r="I65" s="3" t="s">
        <v>62</v>
      </c>
      <c r="J65" s="4" t="s">
        <v>90</v>
      </c>
      <c r="K65" s="6">
        <v>1</v>
      </c>
      <c r="L65" s="5" t="s">
        <v>64</v>
      </c>
      <c r="M65" s="7" t="s">
        <v>94</v>
      </c>
      <c r="N65" s="8" t="s">
        <v>132</v>
      </c>
      <c r="O65" s="3" t="s">
        <v>67</v>
      </c>
    </row>
    <row r="66" spans="2:15" x14ac:dyDescent="0.25">
      <c r="C66" s="3">
        <v>105</v>
      </c>
      <c r="D66" s="3" t="s">
        <v>165</v>
      </c>
      <c r="F66" s="3" t="s">
        <v>59</v>
      </c>
      <c r="G66" s="4" t="s">
        <v>60</v>
      </c>
      <c r="H66" s="5" t="s">
        <v>158</v>
      </c>
      <c r="I66" s="3" t="s">
        <v>62</v>
      </c>
      <c r="J66" s="4" t="s">
        <v>120</v>
      </c>
      <c r="K66" s="6">
        <v>1</v>
      </c>
      <c r="L66" s="5" t="s">
        <v>64</v>
      </c>
      <c r="M66" s="7" t="s">
        <v>101</v>
      </c>
      <c r="N66" s="8" t="s">
        <v>132</v>
      </c>
      <c r="O66" s="3" t="s">
        <v>67</v>
      </c>
    </row>
    <row r="67" spans="2:15" x14ac:dyDescent="0.25">
      <c r="C67" s="3">
        <v>272</v>
      </c>
      <c r="D67" s="3" t="s">
        <v>166</v>
      </c>
      <c r="F67" s="3" t="s">
        <v>59</v>
      </c>
      <c r="G67" s="4" t="s">
        <v>60</v>
      </c>
      <c r="H67" s="5" t="s">
        <v>158</v>
      </c>
      <c r="I67" s="3" t="s">
        <v>62</v>
      </c>
      <c r="J67" s="4" t="s">
        <v>121</v>
      </c>
      <c r="K67" s="6">
        <v>1</v>
      </c>
      <c r="L67" s="5" t="s">
        <v>64</v>
      </c>
      <c r="M67" s="7" t="s">
        <v>99</v>
      </c>
      <c r="N67" s="8" t="s">
        <v>167</v>
      </c>
      <c r="O67" s="3" t="s">
        <v>67</v>
      </c>
    </row>
    <row r="68" spans="2:15" x14ac:dyDescent="0.25">
      <c r="C68" s="3">
        <v>276</v>
      </c>
      <c r="D68" s="3" t="s">
        <v>168</v>
      </c>
      <c r="F68" s="3" t="s">
        <v>59</v>
      </c>
      <c r="G68" s="4" t="s">
        <v>60</v>
      </c>
      <c r="H68" s="5" t="s">
        <v>158</v>
      </c>
      <c r="I68" s="3" t="s">
        <v>62</v>
      </c>
      <c r="J68" s="4" t="s">
        <v>121</v>
      </c>
      <c r="K68" s="6">
        <v>1</v>
      </c>
      <c r="L68" s="5" t="s">
        <v>64</v>
      </c>
      <c r="M68" s="7" t="s">
        <v>80</v>
      </c>
      <c r="N68" s="8" t="s">
        <v>167</v>
      </c>
      <c r="O68" s="3" t="s">
        <v>67</v>
      </c>
    </row>
    <row r="69" spans="2:15" x14ac:dyDescent="0.25">
      <c r="C69" s="3">
        <v>175</v>
      </c>
      <c r="D69" s="3" t="s">
        <v>169</v>
      </c>
      <c r="F69" s="3" t="s">
        <v>59</v>
      </c>
      <c r="G69" s="4" t="s">
        <v>60</v>
      </c>
      <c r="H69" s="5" t="s">
        <v>70</v>
      </c>
      <c r="I69" s="3" t="s">
        <v>62</v>
      </c>
      <c r="J69" s="4" t="s">
        <v>121</v>
      </c>
      <c r="K69" s="6">
        <v>1</v>
      </c>
      <c r="L69" s="5" t="s">
        <v>64</v>
      </c>
      <c r="M69" s="7" t="s">
        <v>121</v>
      </c>
      <c r="N69" s="8" t="s">
        <v>132</v>
      </c>
      <c r="O69" s="3" t="s">
        <v>67</v>
      </c>
    </row>
    <row r="70" spans="2:15" x14ac:dyDescent="0.25">
      <c r="C70" s="3">
        <v>107</v>
      </c>
      <c r="D70" s="3" t="s">
        <v>170</v>
      </c>
      <c r="F70" s="3" t="s">
        <v>59</v>
      </c>
      <c r="G70" s="4" t="s">
        <v>60</v>
      </c>
      <c r="H70" s="5" t="s">
        <v>158</v>
      </c>
      <c r="I70" s="3" t="s">
        <v>62</v>
      </c>
      <c r="J70" s="4" t="s">
        <v>91</v>
      </c>
      <c r="K70" s="6">
        <v>1</v>
      </c>
      <c r="L70" s="5" t="s">
        <v>64</v>
      </c>
      <c r="M70" s="7" t="s">
        <v>121</v>
      </c>
      <c r="N70" s="8" t="s">
        <v>132</v>
      </c>
      <c r="O70" s="3" t="s">
        <v>67</v>
      </c>
    </row>
    <row r="71" spans="2:15" x14ac:dyDescent="0.25">
      <c r="C71" s="3">
        <v>108</v>
      </c>
      <c r="D71" s="3" t="s">
        <v>171</v>
      </c>
      <c r="F71" s="3" t="s">
        <v>59</v>
      </c>
      <c r="G71" s="4" t="s">
        <v>60</v>
      </c>
      <c r="H71" s="5" t="s">
        <v>158</v>
      </c>
      <c r="I71" s="3" t="s">
        <v>62</v>
      </c>
      <c r="J71" s="4" t="s">
        <v>121</v>
      </c>
      <c r="K71" s="6">
        <v>1</v>
      </c>
      <c r="L71" s="5" t="s">
        <v>64</v>
      </c>
      <c r="M71" s="7" t="s">
        <v>120</v>
      </c>
      <c r="N71" s="8" t="s">
        <v>132</v>
      </c>
      <c r="O71" s="3" t="s">
        <v>67</v>
      </c>
    </row>
    <row r="72" spans="2:15" x14ac:dyDescent="0.25">
      <c r="C72" s="3">
        <v>109</v>
      </c>
      <c r="D72" s="3" t="s">
        <v>172</v>
      </c>
      <c r="F72" s="3" t="s">
        <v>59</v>
      </c>
      <c r="G72" s="4" t="s">
        <v>60</v>
      </c>
      <c r="H72" s="5" t="s">
        <v>158</v>
      </c>
      <c r="I72" s="3" t="s">
        <v>62</v>
      </c>
      <c r="J72" s="4" t="s">
        <v>121</v>
      </c>
      <c r="K72" s="6">
        <v>1</v>
      </c>
      <c r="L72" s="5" t="s">
        <v>64</v>
      </c>
      <c r="M72" s="7" t="s">
        <v>120</v>
      </c>
      <c r="N72" s="8" t="s">
        <v>132</v>
      </c>
      <c r="O72" s="3" t="s">
        <v>67</v>
      </c>
    </row>
    <row r="73" spans="2:15" x14ac:dyDescent="0.25">
      <c r="C73" s="3">
        <v>110</v>
      </c>
      <c r="D73" s="3" t="s">
        <v>173</v>
      </c>
      <c r="F73" s="3" t="s">
        <v>59</v>
      </c>
      <c r="G73" s="4" t="s">
        <v>60</v>
      </c>
      <c r="H73" s="5" t="s">
        <v>158</v>
      </c>
      <c r="I73" s="3" t="s">
        <v>62</v>
      </c>
      <c r="J73" s="4" t="s">
        <v>121</v>
      </c>
      <c r="K73" s="6">
        <v>1</v>
      </c>
      <c r="L73" s="5" t="s">
        <v>64</v>
      </c>
      <c r="M73" s="7" t="s">
        <v>120</v>
      </c>
      <c r="N73" s="8" t="s">
        <v>132</v>
      </c>
      <c r="O73" s="3" t="s">
        <v>67</v>
      </c>
    </row>
    <row r="74" spans="2:15" s="11" customFormat="1" x14ac:dyDescent="0.25">
      <c r="B74" s="10"/>
      <c r="C74" s="952" t="s">
        <v>174</v>
      </c>
      <c r="D74" s="952"/>
      <c r="E74" s="952"/>
      <c r="F74" s="10"/>
      <c r="G74" s="12"/>
      <c r="H74" s="13"/>
      <c r="I74" s="10"/>
      <c r="J74" s="12"/>
      <c r="K74" s="12"/>
      <c r="L74" s="13"/>
      <c r="M74" s="10"/>
      <c r="N74" s="10"/>
      <c r="O74" s="10"/>
    </row>
    <row r="75" spans="2:15" x14ac:dyDescent="0.25">
      <c r="C75" s="3">
        <v>245</v>
      </c>
      <c r="D75" s="3" t="s">
        <v>175</v>
      </c>
      <c r="F75" s="3" t="s">
        <v>59</v>
      </c>
      <c r="G75" s="4" t="s">
        <v>60</v>
      </c>
      <c r="H75" s="5" t="s">
        <v>70</v>
      </c>
      <c r="I75" s="3" t="s">
        <v>62</v>
      </c>
      <c r="J75" s="4" t="s">
        <v>99</v>
      </c>
      <c r="K75" s="6">
        <v>1</v>
      </c>
      <c r="L75" s="5" t="s">
        <v>64</v>
      </c>
      <c r="M75" s="7" t="s">
        <v>176</v>
      </c>
      <c r="N75" s="8" t="s">
        <v>177</v>
      </c>
      <c r="O75" s="3" t="s">
        <v>67</v>
      </c>
    </row>
    <row r="76" spans="2:15" x14ac:dyDescent="0.25">
      <c r="C76" s="3">
        <v>74</v>
      </c>
      <c r="D76" s="1" t="s">
        <v>178</v>
      </c>
      <c r="F76" s="3" t="s">
        <v>59</v>
      </c>
      <c r="G76" s="4" t="s">
        <v>60</v>
      </c>
      <c r="H76" s="5" t="s">
        <v>70</v>
      </c>
      <c r="I76" s="3" t="s">
        <v>62</v>
      </c>
      <c r="J76" s="2" t="s">
        <v>94</v>
      </c>
      <c r="K76" s="6">
        <v>1</v>
      </c>
      <c r="L76" s="5" t="s">
        <v>64</v>
      </c>
      <c r="M76" s="7" t="s">
        <v>75</v>
      </c>
      <c r="N76" s="8" t="s">
        <v>77</v>
      </c>
      <c r="O76" s="3" t="s">
        <v>67</v>
      </c>
    </row>
    <row r="77" spans="2:15" x14ac:dyDescent="0.25">
      <c r="C77" s="3">
        <v>75</v>
      </c>
      <c r="D77" s="1" t="s">
        <v>179</v>
      </c>
      <c r="F77" s="3" t="s">
        <v>59</v>
      </c>
      <c r="G77" s="4" t="s">
        <v>60</v>
      </c>
      <c r="H77" s="5" t="s">
        <v>70</v>
      </c>
      <c r="I77" s="3" t="s">
        <v>62</v>
      </c>
      <c r="J77" s="4" t="s">
        <v>94</v>
      </c>
      <c r="K77" s="6">
        <v>1</v>
      </c>
      <c r="L77" s="5" t="s">
        <v>64</v>
      </c>
      <c r="M77" s="7" t="s">
        <v>71</v>
      </c>
      <c r="N77" s="8" t="s">
        <v>77</v>
      </c>
      <c r="O77" s="3" t="s">
        <v>67</v>
      </c>
    </row>
    <row r="78" spans="2:15" x14ac:dyDescent="0.25">
      <c r="C78" s="3">
        <v>243</v>
      </c>
      <c r="D78" s="3" t="s">
        <v>180</v>
      </c>
      <c r="F78" s="3" t="s">
        <v>123</v>
      </c>
      <c r="G78" s="4" t="s">
        <v>60</v>
      </c>
      <c r="H78" s="5" t="s">
        <v>70</v>
      </c>
      <c r="I78" s="3" t="s">
        <v>62</v>
      </c>
      <c r="J78" s="4" t="s">
        <v>99</v>
      </c>
      <c r="K78" s="6">
        <v>1</v>
      </c>
      <c r="L78" s="5" t="s">
        <v>64</v>
      </c>
      <c r="M78" s="7" t="s">
        <v>176</v>
      </c>
      <c r="N78" s="8" t="s">
        <v>177</v>
      </c>
      <c r="O78" s="3" t="s">
        <v>67</v>
      </c>
    </row>
    <row r="79" spans="2:15" x14ac:dyDescent="0.25">
      <c r="C79" s="3">
        <v>76</v>
      </c>
      <c r="D79" s="3" t="s">
        <v>181</v>
      </c>
      <c r="F79" s="3" t="s">
        <v>59</v>
      </c>
      <c r="G79" s="4" t="s">
        <v>60</v>
      </c>
      <c r="H79" s="5" t="s">
        <v>70</v>
      </c>
      <c r="I79" s="3" t="s">
        <v>62</v>
      </c>
      <c r="J79" s="4" t="s">
        <v>94</v>
      </c>
      <c r="K79" s="6">
        <v>1</v>
      </c>
      <c r="L79" s="5" t="s">
        <v>64</v>
      </c>
      <c r="M79" s="7" t="s">
        <v>111</v>
      </c>
      <c r="N79" s="8" t="s">
        <v>182</v>
      </c>
      <c r="O79" s="3" t="s">
        <v>67</v>
      </c>
    </row>
    <row r="80" spans="2:15" x14ac:dyDescent="0.25">
      <c r="C80" s="3">
        <v>77</v>
      </c>
      <c r="D80" s="1" t="s">
        <v>183</v>
      </c>
      <c r="F80" s="3" t="s">
        <v>59</v>
      </c>
      <c r="G80" s="4" t="s">
        <v>60</v>
      </c>
      <c r="H80" s="5" t="s">
        <v>70</v>
      </c>
      <c r="I80" s="3" t="s">
        <v>62</v>
      </c>
      <c r="J80" s="2" t="s">
        <v>94</v>
      </c>
      <c r="K80" s="6">
        <v>1</v>
      </c>
      <c r="L80" s="5" t="s">
        <v>64</v>
      </c>
      <c r="M80" s="7" t="s">
        <v>129</v>
      </c>
      <c r="N80" s="8" t="s">
        <v>77</v>
      </c>
      <c r="O80" s="3" t="s">
        <v>67</v>
      </c>
    </row>
    <row r="81" spans="3:15" x14ac:dyDescent="0.25">
      <c r="C81" s="3">
        <v>80</v>
      </c>
      <c r="D81" s="1" t="s">
        <v>184</v>
      </c>
      <c r="F81" s="3" t="s">
        <v>59</v>
      </c>
      <c r="G81" s="4" t="s">
        <v>60</v>
      </c>
      <c r="H81" s="5" t="s">
        <v>70</v>
      </c>
      <c r="I81" s="3" t="s">
        <v>62</v>
      </c>
      <c r="J81" s="4" t="s">
        <v>185</v>
      </c>
      <c r="K81" s="6">
        <v>1</v>
      </c>
      <c r="L81" s="5" t="s">
        <v>64</v>
      </c>
      <c r="M81" s="7" t="s">
        <v>176</v>
      </c>
      <c r="N81" s="8" t="s">
        <v>186</v>
      </c>
      <c r="O81" s="3" t="s">
        <v>67</v>
      </c>
    </row>
    <row r="82" spans="3:15" x14ac:dyDescent="0.25">
      <c r="C82" s="3">
        <v>79</v>
      </c>
      <c r="D82" s="3" t="s">
        <v>187</v>
      </c>
      <c r="F82" s="3" t="s">
        <v>59</v>
      </c>
      <c r="G82" s="4" t="s">
        <v>60</v>
      </c>
      <c r="H82" s="5" t="s">
        <v>70</v>
      </c>
      <c r="I82" s="3" t="s">
        <v>62</v>
      </c>
      <c r="J82" s="4" t="s">
        <v>94</v>
      </c>
      <c r="K82" s="6">
        <v>1</v>
      </c>
      <c r="L82" s="5" t="s">
        <v>64</v>
      </c>
      <c r="M82" s="7" t="s">
        <v>188</v>
      </c>
      <c r="N82" s="8" t="s">
        <v>132</v>
      </c>
      <c r="O82" s="3" t="s">
        <v>67</v>
      </c>
    </row>
    <row r="83" spans="3:15" x14ac:dyDescent="0.25">
      <c r="C83" s="3">
        <v>81</v>
      </c>
      <c r="D83" s="1" t="s">
        <v>189</v>
      </c>
      <c r="F83" s="3" t="s">
        <v>59</v>
      </c>
      <c r="G83" s="4" t="s">
        <v>60</v>
      </c>
      <c r="H83" s="5" t="s">
        <v>70</v>
      </c>
      <c r="I83" s="3" t="s">
        <v>62</v>
      </c>
      <c r="J83" s="4" t="s">
        <v>185</v>
      </c>
      <c r="K83" s="6">
        <v>1</v>
      </c>
      <c r="L83" s="5" t="s">
        <v>64</v>
      </c>
      <c r="M83" s="7" t="s">
        <v>80</v>
      </c>
      <c r="N83" s="8" t="s">
        <v>132</v>
      </c>
      <c r="O83" s="3" t="s">
        <v>67</v>
      </c>
    </row>
    <row r="84" spans="3:15" x14ac:dyDescent="0.25">
      <c r="C84" s="3">
        <v>209</v>
      </c>
      <c r="D84" s="1" t="s">
        <v>190</v>
      </c>
      <c r="F84" s="3" t="s">
        <v>59</v>
      </c>
      <c r="G84" s="4" t="s">
        <v>60</v>
      </c>
      <c r="H84" s="5" t="s">
        <v>70</v>
      </c>
      <c r="I84" s="3" t="s">
        <v>62</v>
      </c>
      <c r="J84" s="2" t="s">
        <v>94</v>
      </c>
      <c r="K84" s="6">
        <v>1</v>
      </c>
      <c r="L84" s="5" t="s">
        <v>64</v>
      </c>
      <c r="M84" s="7" t="s">
        <v>139</v>
      </c>
      <c r="N84" s="8" t="s">
        <v>77</v>
      </c>
      <c r="O84" s="3" t="s">
        <v>67</v>
      </c>
    </row>
    <row r="85" spans="3:15" x14ac:dyDescent="0.25">
      <c r="C85" s="3">
        <v>78</v>
      </c>
      <c r="D85" s="1" t="s">
        <v>191</v>
      </c>
      <c r="F85" s="3" t="s">
        <v>59</v>
      </c>
      <c r="G85" s="4" t="s">
        <v>60</v>
      </c>
      <c r="H85" s="5" t="s">
        <v>70</v>
      </c>
      <c r="I85" s="3" t="s">
        <v>62</v>
      </c>
      <c r="J85" s="2" t="s">
        <v>94</v>
      </c>
      <c r="K85" s="6">
        <v>1</v>
      </c>
      <c r="L85" s="5" t="s">
        <v>64</v>
      </c>
      <c r="M85" s="7" t="s">
        <v>72</v>
      </c>
      <c r="N85" s="8" t="s">
        <v>77</v>
      </c>
      <c r="O85" s="3" t="s">
        <v>67</v>
      </c>
    </row>
    <row r="86" spans="3:15" x14ac:dyDescent="0.25">
      <c r="C86" s="3">
        <v>88</v>
      </c>
      <c r="D86" s="1" t="s">
        <v>192</v>
      </c>
      <c r="F86" s="3" t="s">
        <v>59</v>
      </c>
      <c r="G86" s="4" t="s">
        <v>60</v>
      </c>
      <c r="H86" s="5" t="s">
        <v>70</v>
      </c>
      <c r="I86" s="3" t="s">
        <v>62</v>
      </c>
      <c r="J86" s="2" t="s">
        <v>94</v>
      </c>
      <c r="K86" s="6">
        <v>1</v>
      </c>
      <c r="L86" s="5" t="s">
        <v>64</v>
      </c>
      <c r="M86" s="7" t="s">
        <v>139</v>
      </c>
      <c r="N86" s="8" t="s">
        <v>77</v>
      </c>
      <c r="O86" s="3" t="s">
        <v>67</v>
      </c>
    </row>
    <row r="87" spans="3:15" x14ac:dyDescent="0.25">
      <c r="C87" s="3">
        <v>241</v>
      </c>
      <c r="D87" s="3" t="s">
        <v>193</v>
      </c>
      <c r="F87" s="3" t="s">
        <v>59</v>
      </c>
      <c r="G87" s="4" t="s">
        <v>60</v>
      </c>
      <c r="H87" s="5" t="s">
        <v>70</v>
      </c>
      <c r="I87" s="3" t="s">
        <v>62</v>
      </c>
      <c r="J87" s="4" t="s">
        <v>71</v>
      </c>
      <c r="K87" s="6">
        <v>1</v>
      </c>
      <c r="L87" s="5" t="s">
        <v>64</v>
      </c>
      <c r="M87" s="7" t="s">
        <v>129</v>
      </c>
      <c r="N87" s="8" t="s">
        <v>194</v>
      </c>
      <c r="O87" s="3" t="s">
        <v>67</v>
      </c>
    </row>
    <row r="88" spans="3:15" x14ac:dyDescent="0.25">
      <c r="C88" s="3">
        <v>242</v>
      </c>
      <c r="D88" s="3" t="s">
        <v>195</v>
      </c>
      <c r="F88" s="3" t="s">
        <v>59</v>
      </c>
      <c r="G88" s="4" t="s">
        <v>60</v>
      </c>
      <c r="H88" s="5" t="s">
        <v>70</v>
      </c>
      <c r="I88" s="3" t="s">
        <v>62</v>
      </c>
      <c r="J88" s="4" t="s">
        <v>88</v>
      </c>
      <c r="K88" s="6">
        <v>1</v>
      </c>
      <c r="L88" s="5" t="s">
        <v>64</v>
      </c>
      <c r="M88" s="7" t="s">
        <v>106</v>
      </c>
      <c r="N88" s="8" t="s">
        <v>194</v>
      </c>
      <c r="O88" s="3" t="s">
        <v>67</v>
      </c>
    </row>
    <row r="89" spans="3:15" x14ac:dyDescent="0.25">
      <c r="C89" s="3">
        <v>240</v>
      </c>
      <c r="D89" s="3" t="s">
        <v>196</v>
      </c>
      <c r="F89" s="3" t="s">
        <v>123</v>
      </c>
      <c r="G89" s="4" t="s">
        <v>60</v>
      </c>
      <c r="H89" s="5" t="s">
        <v>70</v>
      </c>
      <c r="I89" s="3" t="s">
        <v>62</v>
      </c>
      <c r="J89" s="4" t="s">
        <v>197</v>
      </c>
      <c r="K89" s="6">
        <v>1</v>
      </c>
      <c r="L89" s="5" t="s">
        <v>64</v>
      </c>
      <c r="M89" s="7" t="s">
        <v>129</v>
      </c>
      <c r="N89" s="8" t="s">
        <v>194</v>
      </c>
      <c r="O89" s="3" t="s">
        <v>67</v>
      </c>
    </row>
    <row r="90" spans="3:15" x14ac:dyDescent="0.25">
      <c r="C90" s="3">
        <v>82</v>
      </c>
      <c r="D90" s="1" t="s">
        <v>198</v>
      </c>
      <c r="F90" s="3" t="s">
        <v>59</v>
      </c>
      <c r="G90" s="4" t="s">
        <v>60</v>
      </c>
      <c r="H90" s="5" t="s">
        <v>70</v>
      </c>
      <c r="I90" s="3" t="s">
        <v>62</v>
      </c>
      <c r="J90" s="4" t="s">
        <v>185</v>
      </c>
      <c r="K90" s="6">
        <v>1</v>
      </c>
      <c r="L90" s="5" t="s">
        <v>64</v>
      </c>
      <c r="M90" s="7" t="s">
        <v>95</v>
      </c>
      <c r="N90" s="8" t="s">
        <v>132</v>
      </c>
      <c r="O90" s="3" t="s">
        <v>67</v>
      </c>
    </row>
    <row r="91" spans="3:15" x14ac:dyDescent="0.25">
      <c r="C91" s="3">
        <v>208</v>
      </c>
      <c r="D91" s="1" t="s">
        <v>199</v>
      </c>
      <c r="F91" s="3" t="s">
        <v>59</v>
      </c>
      <c r="G91" s="4" t="s">
        <v>60</v>
      </c>
      <c r="H91" s="5" t="s">
        <v>70</v>
      </c>
      <c r="I91" s="3" t="s">
        <v>62</v>
      </c>
      <c r="J91" s="2" t="s">
        <v>94</v>
      </c>
      <c r="K91" s="6">
        <v>1</v>
      </c>
      <c r="L91" s="5" t="s">
        <v>64</v>
      </c>
      <c r="M91" s="7" t="s">
        <v>102</v>
      </c>
      <c r="N91" s="8" t="s">
        <v>77</v>
      </c>
      <c r="O91" s="3" t="s">
        <v>67</v>
      </c>
    </row>
    <row r="92" spans="3:15" x14ac:dyDescent="0.25">
      <c r="C92" s="3">
        <v>207</v>
      </c>
      <c r="D92" s="1" t="s">
        <v>200</v>
      </c>
      <c r="F92" s="3" t="s">
        <v>59</v>
      </c>
      <c r="G92" s="4" t="s">
        <v>60</v>
      </c>
      <c r="H92" s="5" t="s">
        <v>70</v>
      </c>
      <c r="I92" s="3" t="s">
        <v>62</v>
      </c>
      <c r="J92" s="2" t="s">
        <v>94</v>
      </c>
      <c r="K92" s="6">
        <v>1</v>
      </c>
      <c r="L92" s="5" t="s">
        <v>64</v>
      </c>
      <c r="M92" s="7" t="s">
        <v>71</v>
      </c>
      <c r="N92" s="8" t="s">
        <v>77</v>
      </c>
      <c r="O92" s="3" t="s">
        <v>67</v>
      </c>
    </row>
    <row r="93" spans="3:15" x14ac:dyDescent="0.25">
      <c r="C93" s="3">
        <v>244</v>
      </c>
      <c r="D93" s="3" t="s">
        <v>201</v>
      </c>
      <c r="F93" s="3" t="s">
        <v>59</v>
      </c>
      <c r="G93" s="4" t="s">
        <v>60</v>
      </c>
      <c r="H93" s="5" t="s">
        <v>70</v>
      </c>
      <c r="I93" s="3" t="s">
        <v>62</v>
      </c>
      <c r="J93" s="4" t="s">
        <v>99</v>
      </c>
      <c r="K93" s="6">
        <v>1</v>
      </c>
      <c r="L93" s="5" t="s">
        <v>64</v>
      </c>
      <c r="M93" s="7" t="s">
        <v>176</v>
      </c>
      <c r="N93" s="8" t="s">
        <v>177</v>
      </c>
      <c r="O93" s="3" t="s">
        <v>67</v>
      </c>
    </row>
    <row r="94" spans="3:15" x14ac:dyDescent="0.25">
      <c r="C94" s="3">
        <v>86</v>
      </c>
      <c r="D94" s="1" t="s">
        <v>202</v>
      </c>
      <c r="F94" s="3" t="s">
        <v>59</v>
      </c>
      <c r="G94" s="4" t="s">
        <v>60</v>
      </c>
      <c r="H94" s="5" t="s">
        <v>70</v>
      </c>
      <c r="I94" s="3" t="s">
        <v>62</v>
      </c>
      <c r="J94" s="2" t="s">
        <v>94</v>
      </c>
      <c r="K94" s="6">
        <v>1</v>
      </c>
      <c r="L94" s="5" t="s">
        <v>64</v>
      </c>
      <c r="M94" s="7" t="s">
        <v>97</v>
      </c>
      <c r="N94" s="8" t="s">
        <v>77</v>
      </c>
      <c r="O94" s="3" t="s">
        <v>67</v>
      </c>
    </row>
    <row r="95" spans="3:15" x14ac:dyDescent="0.25">
      <c r="C95" s="3">
        <v>210</v>
      </c>
      <c r="D95" s="1" t="s">
        <v>203</v>
      </c>
      <c r="F95" s="3" t="s">
        <v>59</v>
      </c>
      <c r="G95" s="4" t="s">
        <v>60</v>
      </c>
      <c r="H95" s="5" t="s">
        <v>70</v>
      </c>
      <c r="I95" s="3" t="s">
        <v>62</v>
      </c>
      <c r="J95" s="2" t="s">
        <v>80</v>
      </c>
      <c r="K95" s="6">
        <v>1</v>
      </c>
      <c r="L95" s="5" t="s">
        <v>64</v>
      </c>
      <c r="M95" s="7" t="s">
        <v>72</v>
      </c>
      <c r="N95" s="8" t="s">
        <v>77</v>
      </c>
      <c r="O95" s="3" t="s">
        <v>67</v>
      </c>
    </row>
    <row r="96" spans="3:15" x14ac:dyDescent="0.25">
      <c r="C96" s="3">
        <v>232</v>
      </c>
      <c r="D96" s="1" t="s">
        <v>204</v>
      </c>
      <c r="F96" s="3" t="s">
        <v>59</v>
      </c>
      <c r="G96" s="4" t="s">
        <v>60</v>
      </c>
      <c r="H96" s="5" t="s">
        <v>70</v>
      </c>
      <c r="I96" s="3" t="s">
        <v>62</v>
      </c>
      <c r="J96" s="4" t="s">
        <v>90</v>
      </c>
      <c r="K96" s="6">
        <v>1</v>
      </c>
      <c r="L96" s="5" t="s">
        <v>64</v>
      </c>
      <c r="M96" s="7" t="s">
        <v>94</v>
      </c>
      <c r="N96" s="8" t="s">
        <v>132</v>
      </c>
      <c r="O96" s="3" t="s">
        <v>67</v>
      </c>
    </row>
    <row r="97" spans="2:16" x14ac:dyDescent="0.25">
      <c r="C97" s="3">
        <v>233</v>
      </c>
      <c r="D97" s="1" t="s">
        <v>205</v>
      </c>
      <c r="F97" s="3" t="s">
        <v>59</v>
      </c>
      <c r="G97" s="4" t="s">
        <v>60</v>
      </c>
      <c r="H97" s="5" t="s">
        <v>70</v>
      </c>
      <c r="I97" s="3" t="s">
        <v>62</v>
      </c>
      <c r="J97" s="4" t="s">
        <v>90</v>
      </c>
      <c r="K97" s="6">
        <v>1</v>
      </c>
      <c r="L97" s="5" t="s">
        <v>64</v>
      </c>
      <c r="M97" s="7" t="s">
        <v>95</v>
      </c>
      <c r="N97" s="8" t="s">
        <v>132</v>
      </c>
      <c r="O97" s="3" t="s">
        <v>67</v>
      </c>
    </row>
    <row r="98" spans="2:16" x14ac:dyDescent="0.25">
      <c r="C98" s="3">
        <v>83</v>
      </c>
      <c r="D98" s="1" t="s">
        <v>206</v>
      </c>
      <c r="F98" s="3" t="s">
        <v>59</v>
      </c>
      <c r="G98" s="4" t="s">
        <v>60</v>
      </c>
      <c r="H98" s="5" t="s">
        <v>70</v>
      </c>
      <c r="I98" s="3" t="s">
        <v>62</v>
      </c>
      <c r="J98" s="4" t="s">
        <v>185</v>
      </c>
      <c r="K98" s="6">
        <v>1</v>
      </c>
      <c r="L98" s="5" t="s">
        <v>64</v>
      </c>
      <c r="M98" s="7" t="s">
        <v>80</v>
      </c>
      <c r="N98" s="8" t="s">
        <v>132</v>
      </c>
      <c r="O98" s="3" t="s">
        <v>67</v>
      </c>
    </row>
    <row r="99" spans="2:16" x14ac:dyDescent="0.25">
      <c r="C99" s="3">
        <v>87</v>
      </c>
      <c r="D99" s="1" t="s">
        <v>207</v>
      </c>
      <c r="F99" s="3" t="s">
        <v>59</v>
      </c>
      <c r="G99" s="4" t="s">
        <v>60</v>
      </c>
      <c r="H99" s="5" t="s">
        <v>70</v>
      </c>
      <c r="I99" s="3" t="s">
        <v>62</v>
      </c>
      <c r="J99" s="2" t="s">
        <v>94</v>
      </c>
      <c r="K99" s="6">
        <v>1</v>
      </c>
      <c r="L99" s="5" t="s">
        <v>64</v>
      </c>
      <c r="M99" s="7" t="s">
        <v>111</v>
      </c>
      <c r="N99" s="8" t="s">
        <v>77</v>
      </c>
      <c r="O99" s="3" t="s">
        <v>67</v>
      </c>
    </row>
    <row r="100" spans="2:16" x14ac:dyDescent="0.25">
      <c r="C100" s="3">
        <v>84</v>
      </c>
      <c r="D100" s="1" t="s">
        <v>208</v>
      </c>
      <c r="F100" s="3" t="s">
        <v>59</v>
      </c>
      <c r="G100" s="4" t="s">
        <v>60</v>
      </c>
      <c r="H100" s="5" t="s">
        <v>70</v>
      </c>
      <c r="I100" s="3" t="s">
        <v>62</v>
      </c>
      <c r="J100" s="4" t="s">
        <v>185</v>
      </c>
      <c r="K100" s="6">
        <v>1</v>
      </c>
      <c r="L100" s="5" t="s">
        <v>64</v>
      </c>
      <c r="M100" s="7" t="s">
        <v>72</v>
      </c>
      <c r="N100" s="8" t="s">
        <v>132</v>
      </c>
      <c r="O100" s="3" t="s">
        <v>67</v>
      </c>
    </row>
    <row r="101" spans="2:16" x14ac:dyDescent="0.25">
      <c r="C101" s="3">
        <v>234</v>
      </c>
      <c r="D101" s="1" t="s">
        <v>209</v>
      </c>
      <c r="F101" s="3" t="s">
        <v>59</v>
      </c>
      <c r="G101" s="4" t="s">
        <v>60</v>
      </c>
      <c r="H101" s="5" t="s">
        <v>70</v>
      </c>
      <c r="I101" s="3" t="s">
        <v>62</v>
      </c>
      <c r="J101" s="4" t="s">
        <v>90</v>
      </c>
      <c r="K101" s="6">
        <v>1</v>
      </c>
      <c r="L101" s="5" t="s">
        <v>64</v>
      </c>
      <c r="M101" s="7" t="s">
        <v>80</v>
      </c>
      <c r="N101" s="8" t="s">
        <v>132</v>
      </c>
      <c r="O101" s="3" t="s">
        <v>67</v>
      </c>
    </row>
    <row r="102" spans="2:16" x14ac:dyDescent="0.25">
      <c r="C102" s="3">
        <v>89</v>
      </c>
      <c r="D102" s="1" t="s">
        <v>210</v>
      </c>
      <c r="F102" s="3" t="s">
        <v>59</v>
      </c>
      <c r="G102" s="4" t="s">
        <v>60</v>
      </c>
      <c r="H102" s="5" t="s">
        <v>70</v>
      </c>
      <c r="I102" s="3" t="s">
        <v>62</v>
      </c>
      <c r="J102" s="2" t="s">
        <v>94</v>
      </c>
      <c r="K102" s="6">
        <v>1</v>
      </c>
      <c r="L102" s="5" t="s">
        <v>64</v>
      </c>
      <c r="M102" s="7" t="s">
        <v>97</v>
      </c>
      <c r="N102" s="8" t="s">
        <v>77</v>
      </c>
      <c r="O102" s="3" t="s">
        <v>67</v>
      </c>
    </row>
    <row r="103" spans="2:16" x14ac:dyDescent="0.25">
      <c r="C103" s="3">
        <v>85</v>
      </c>
      <c r="D103" s="1" t="s">
        <v>211</v>
      </c>
      <c r="F103" s="3" t="s">
        <v>59</v>
      </c>
      <c r="G103" s="4" t="s">
        <v>60</v>
      </c>
      <c r="H103" s="5" t="s">
        <v>70</v>
      </c>
      <c r="I103" s="3" t="s">
        <v>62</v>
      </c>
      <c r="J103" s="4" t="s">
        <v>185</v>
      </c>
      <c r="K103" s="6">
        <v>1</v>
      </c>
      <c r="L103" s="5" t="s">
        <v>64</v>
      </c>
      <c r="M103" s="7" t="s">
        <v>139</v>
      </c>
      <c r="N103" s="8" t="s">
        <v>132</v>
      </c>
      <c r="O103" s="3" t="s">
        <v>67</v>
      </c>
    </row>
    <row r="104" spans="2:16" s="11" customFormat="1" x14ac:dyDescent="0.25">
      <c r="B104" s="10"/>
      <c r="C104" s="952" t="s">
        <v>212</v>
      </c>
      <c r="D104" s="952"/>
      <c r="E104" s="952"/>
      <c r="F104" s="10"/>
      <c r="G104" s="12"/>
      <c r="H104" s="13"/>
      <c r="I104" s="10"/>
      <c r="J104" s="12"/>
      <c r="K104" s="12"/>
      <c r="L104" s="13"/>
      <c r="M104" s="10"/>
      <c r="N104" s="10"/>
      <c r="O104" s="10"/>
    </row>
    <row r="105" spans="2:16" x14ac:dyDescent="0.25">
      <c r="C105" s="3">
        <v>269</v>
      </c>
      <c r="D105" s="3" t="s">
        <v>213</v>
      </c>
      <c r="F105" s="3" t="s">
        <v>59</v>
      </c>
      <c r="G105" s="4" t="s">
        <v>60</v>
      </c>
      <c r="H105" s="5" t="s">
        <v>70</v>
      </c>
      <c r="I105" s="3" t="s">
        <v>62</v>
      </c>
      <c r="J105" s="4" t="s">
        <v>120</v>
      </c>
      <c r="K105" s="6">
        <v>1</v>
      </c>
      <c r="L105" s="5" t="s">
        <v>64</v>
      </c>
      <c r="M105" s="7" t="s">
        <v>72</v>
      </c>
      <c r="N105" s="8" t="s">
        <v>214</v>
      </c>
      <c r="O105" s="3" t="s">
        <v>67</v>
      </c>
    </row>
    <row r="106" spans="2:16" s="11" customFormat="1" x14ac:dyDescent="0.25">
      <c r="B106" s="10"/>
      <c r="C106" s="952" t="s">
        <v>215</v>
      </c>
      <c r="D106" s="952"/>
      <c r="E106" s="952"/>
      <c r="F106" s="10"/>
      <c r="G106" s="12"/>
      <c r="H106" s="13"/>
      <c r="I106" s="10"/>
      <c r="J106" s="12"/>
      <c r="K106" s="12"/>
      <c r="L106" s="13"/>
      <c r="M106" s="10"/>
      <c r="N106" s="10"/>
      <c r="O106" s="10"/>
    </row>
    <row r="107" spans="2:16" x14ac:dyDescent="0.25">
      <c r="C107" s="3">
        <v>38</v>
      </c>
      <c r="D107" s="1" t="s">
        <v>216</v>
      </c>
      <c r="F107" s="3" t="s">
        <v>59</v>
      </c>
      <c r="G107" s="4" t="s">
        <v>60</v>
      </c>
      <c r="H107" s="5" t="s">
        <v>70</v>
      </c>
      <c r="I107" s="3" t="s">
        <v>62</v>
      </c>
      <c r="J107" s="2" t="s">
        <v>176</v>
      </c>
      <c r="K107" s="6">
        <v>1</v>
      </c>
      <c r="L107" s="5" t="s">
        <v>64</v>
      </c>
      <c r="M107" s="7" t="s">
        <v>139</v>
      </c>
      <c r="N107" s="8" t="s">
        <v>77</v>
      </c>
      <c r="O107" s="3" t="s">
        <v>67</v>
      </c>
      <c r="P107" s="9" t="s">
        <v>78</v>
      </c>
    </row>
    <row r="108" spans="2:16" x14ac:dyDescent="0.25">
      <c r="C108" s="3">
        <v>62</v>
      </c>
      <c r="D108" s="1" t="s">
        <v>217</v>
      </c>
      <c r="F108" s="3" t="s">
        <v>59</v>
      </c>
      <c r="G108" s="4" t="s">
        <v>60</v>
      </c>
      <c r="H108" s="5" t="s">
        <v>70</v>
      </c>
      <c r="I108" s="3" t="s">
        <v>62</v>
      </c>
      <c r="J108" s="2" t="s">
        <v>134</v>
      </c>
      <c r="K108" s="6">
        <v>1</v>
      </c>
      <c r="L108" s="5" t="s">
        <v>64</v>
      </c>
      <c r="M108" s="7" t="s">
        <v>75</v>
      </c>
      <c r="N108" s="8" t="s">
        <v>77</v>
      </c>
      <c r="O108" s="3" t="s">
        <v>67</v>
      </c>
      <c r="P108" s="9" t="s">
        <v>78</v>
      </c>
    </row>
    <row r="109" spans="2:16" x14ac:dyDescent="0.25">
      <c r="C109" s="3">
        <v>48</v>
      </c>
      <c r="D109" s="14" t="s">
        <v>218</v>
      </c>
      <c r="F109" s="3" t="s">
        <v>59</v>
      </c>
      <c r="G109" s="4" t="s">
        <v>60</v>
      </c>
      <c r="H109" s="5" t="s">
        <v>70</v>
      </c>
      <c r="I109" s="3" t="s">
        <v>62</v>
      </c>
      <c r="J109" s="4" t="s">
        <v>176</v>
      </c>
      <c r="K109" s="6">
        <v>1</v>
      </c>
      <c r="L109" s="5" t="s">
        <v>64</v>
      </c>
      <c r="M109" s="7" t="s">
        <v>71</v>
      </c>
      <c r="N109" s="8" t="s">
        <v>132</v>
      </c>
      <c r="O109" s="3" t="s">
        <v>67</v>
      </c>
    </row>
    <row r="110" spans="2:16" x14ac:dyDescent="0.25">
      <c r="C110" s="3">
        <v>40</v>
      </c>
      <c r="D110" s="1" t="s">
        <v>219</v>
      </c>
      <c r="F110" s="3" t="s">
        <v>59</v>
      </c>
      <c r="G110" s="4" t="s">
        <v>60</v>
      </c>
      <c r="H110" s="5" t="s">
        <v>70</v>
      </c>
      <c r="I110" s="3" t="s">
        <v>62</v>
      </c>
      <c r="J110" s="2" t="s">
        <v>72</v>
      </c>
      <c r="K110" s="6">
        <v>1</v>
      </c>
      <c r="L110" s="5" t="s">
        <v>64</v>
      </c>
      <c r="M110" s="7" t="s">
        <v>106</v>
      </c>
      <c r="N110" s="8" t="s">
        <v>77</v>
      </c>
      <c r="O110" s="3" t="s">
        <v>67</v>
      </c>
      <c r="P110" s="9" t="s">
        <v>78</v>
      </c>
    </row>
    <row r="111" spans="2:16" x14ac:dyDescent="0.25">
      <c r="C111" s="3">
        <v>45</v>
      </c>
      <c r="D111" s="1" t="s">
        <v>220</v>
      </c>
      <c r="F111" s="3" t="s">
        <v>59</v>
      </c>
      <c r="G111" s="4" t="s">
        <v>60</v>
      </c>
      <c r="H111" s="5" t="s">
        <v>70</v>
      </c>
      <c r="I111" s="3" t="s">
        <v>62</v>
      </c>
      <c r="J111" s="2" t="s">
        <v>72</v>
      </c>
      <c r="K111" s="6">
        <v>1</v>
      </c>
      <c r="L111" s="5" t="s">
        <v>64</v>
      </c>
      <c r="M111" s="7" t="s">
        <v>102</v>
      </c>
      <c r="N111" s="8" t="s">
        <v>77</v>
      </c>
      <c r="O111" s="3" t="s">
        <v>67</v>
      </c>
      <c r="P111" s="9" t="s">
        <v>78</v>
      </c>
    </row>
    <row r="112" spans="2:16" x14ac:dyDescent="0.25">
      <c r="C112" s="3">
        <v>44</v>
      </c>
      <c r="D112" s="1" t="s">
        <v>221</v>
      </c>
      <c r="F112" s="3" t="s">
        <v>59</v>
      </c>
      <c r="G112" s="4" t="s">
        <v>60</v>
      </c>
      <c r="H112" s="5" t="s">
        <v>70</v>
      </c>
      <c r="I112" s="3" t="s">
        <v>62</v>
      </c>
      <c r="J112" s="2" t="s">
        <v>95</v>
      </c>
      <c r="K112" s="6">
        <v>1</v>
      </c>
      <c r="L112" s="5" t="s">
        <v>64</v>
      </c>
      <c r="M112" s="7" t="s">
        <v>129</v>
      </c>
      <c r="N112" s="8" t="s">
        <v>77</v>
      </c>
      <c r="O112" s="3" t="s">
        <v>67</v>
      </c>
      <c r="P112" s="9" t="s">
        <v>78</v>
      </c>
    </row>
    <row r="113" spans="2:16" s="11" customFormat="1" x14ac:dyDescent="0.25">
      <c r="B113" s="10"/>
      <c r="C113" s="952" t="s">
        <v>222</v>
      </c>
      <c r="D113" s="952"/>
      <c r="E113" s="952"/>
      <c r="F113" s="10"/>
      <c r="G113" s="12"/>
      <c r="H113" s="13"/>
      <c r="I113" s="10"/>
      <c r="J113" s="12"/>
      <c r="K113" s="12"/>
      <c r="L113" s="13"/>
      <c r="M113" s="10"/>
      <c r="N113" s="10"/>
      <c r="O113" s="10"/>
    </row>
    <row r="114" spans="2:16" x14ac:dyDescent="0.25">
      <c r="C114" s="3">
        <v>218</v>
      </c>
      <c r="D114" s="1" t="s">
        <v>223</v>
      </c>
      <c r="F114" s="3" t="s">
        <v>59</v>
      </c>
      <c r="G114" s="4" t="s">
        <v>60</v>
      </c>
      <c r="H114" s="5" t="s">
        <v>70</v>
      </c>
      <c r="I114" s="3" t="s">
        <v>62</v>
      </c>
      <c r="J114" s="2" t="s">
        <v>91</v>
      </c>
      <c r="K114" s="6">
        <v>1</v>
      </c>
      <c r="L114" s="5" t="s">
        <v>64</v>
      </c>
      <c r="M114" s="7" t="s">
        <v>139</v>
      </c>
      <c r="N114" s="8" t="s">
        <v>77</v>
      </c>
      <c r="O114" s="3" t="s">
        <v>67</v>
      </c>
    </row>
    <row r="115" spans="2:16" x14ac:dyDescent="0.25">
      <c r="C115" s="3">
        <v>215</v>
      </c>
      <c r="D115" s="1" t="s">
        <v>224</v>
      </c>
      <c r="F115" s="3" t="s">
        <v>59</v>
      </c>
      <c r="G115" s="4" t="s">
        <v>60</v>
      </c>
      <c r="H115" s="5" t="s">
        <v>70</v>
      </c>
      <c r="I115" s="3" t="s">
        <v>62</v>
      </c>
      <c r="J115" s="2" t="s">
        <v>101</v>
      </c>
      <c r="K115" s="6">
        <v>1</v>
      </c>
      <c r="L115" s="5" t="s">
        <v>64</v>
      </c>
      <c r="M115" s="7" t="s">
        <v>71</v>
      </c>
      <c r="N115" s="8" t="s">
        <v>77</v>
      </c>
      <c r="O115" s="3" t="s">
        <v>67</v>
      </c>
    </row>
    <row r="116" spans="2:16" x14ac:dyDescent="0.25">
      <c r="C116" s="3">
        <v>214</v>
      </c>
      <c r="D116" s="1" t="s">
        <v>225</v>
      </c>
      <c r="F116" s="3" t="s">
        <v>59</v>
      </c>
      <c r="G116" s="4" t="s">
        <v>60</v>
      </c>
      <c r="H116" s="5" t="s">
        <v>70</v>
      </c>
      <c r="I116" s="3" t="s">
        <v>62</v>
      </c>
      <c r="J116" s="2" t="s">
        <v>101</v>
      </c>
      <c r="K116" s="6">
        <v>1</v>
      </c>
      <c r="L116" s="5" t="s">
        <v>64</v>
      </c>
      <c r="M116" s="7" t="s">
        <v>176</v>
      </c>
      <c r="N116" s="8" t="s">
        <v>226</v>
      </c>
      <c r="O116" s="3" t="s">
        <v>67</v>
      </c>
    </row>
    <row r="117" spans="2:16" x14ac:dyDescent="0.25">
      <c r="C117" s="3">
        <v>217</v>
      </c>
      <c r="D117" s="1" t="s">
        <v>227</v>
      </c>
      <c r="F117" s="3" t="s">
        <v>59</v>
      </c>
      <c r="G117" s="4" t="s">
        <v>60</v>
      </c>
      <c r="H117" s="5" t="s">
        <v>70</v>
      </c>
      <c r="I117" s="3" t="s">
        <v>62</v>
      </c>
      <c r="J117" s="2" t="s">
        <v>95</v>
      </c>
      <c r="K117" s="6">
        <v>1</v>
      </c>
      <c r="L117" s="5" t="s">
        <v>64</v>
      </c>
      <c r="M117" s="7" t="s">
        <v>106</v>
      </c>
      <c r="N117" s="8" t="s">
        <v>77</v>
      </c>
      <c r="O117" s="3" t="s">
        <v>67</v>
      </c>
    </row>
    <row r="118" spans="2:16" x14ac:dyDescent="0.25">
      <c r="C118" s="3">
        <v>219</v>
      </c>
      <c r="D118" s="1" t="s">
        <v>228</v>
      </c>
      <c r="F118" s="3" t="s">
        <v>59</v>
      </c>
      <c r="G118" s="4" t="s">
        <v>60</v>
      </c>
      <c r="H118" s="5" t="s">
        <v>70</v>
      </c>
      <c r="I118" s="3" t="s">
        <v>62</v>
      </c>
      <c r="J118" s="2" t="s">
        <v>95</v>
      </c>
      <c r="K118" s="6">
        <v>1</v>
      </c>
      <c r="L118" s="5" t="s">
        <v>64</v>
      </c>
      <c r="M118" s="7" t="s">
        <v>97</v>
      </c>
      <c r="N118" s="8" t="s">
        <v>77</v>
      </c>
      <c r="O118" s="3" t="s">
        <v>67</v>
      </c>
    </row>
    <row r="119" spans="2:16" x14ac:dyDescent="0.25">
      <c r="C119" s="3">
        <v>222</v>
      </c>
      <c r="D119" s="1" t="s">
        <v>229</v>
      </c>
      <c r="F119" s="3" t="s">
        <v>59</v>
      </c>
      <c r="G119" s="4" t="s">
        <v>60</v>
      </c>
      <c r="H119" s="5" t="s">
        <v>70</v>
      </c>
      <c r="I119" s="3" t="s">
        <v>62</v>
      </c>
      <c r="J119" s="2" t="s">
        <v>99</v>
      </c>
      <c r="K119" s="6">
        <v>1</v>
      </c>
      <c r="L119" s="5" t="s">
        <v>64</v>
      </c>
      <c r="M119" s="7" t="s">
        <v>75</v>
      </c>
      <c r="N119" s="8" t="s">
        <v>77</v>
      </c>
      <c r="O119" s="3" t="s">
        <v>67</v>
      </c>
    </row>
    <row r="120" spans="2:16" x14ac:dyDescent="0.25">
      <c r="C120" s="3">
        <v>221</v>
      </c>
      <c r="D120" s="1" t="s">
        <v>230</v>
      </c>
      <c r="F120" s="3" t="s">
        <v>59</v>
      </c>
      <c r="G120" s="4" t="s">
        <v>60</v>
      </c>
      <c r="H120" s="5" t="s">
        <v>70</v>
      </c>
      <c r="I120" s="3" t="s">
        <v>62</v>
      </c>
      <c r="J120" s="2" t="s">
        <v>99</v>
      </c>
      <c r="K120" s="6">
        <v>1</v>
      </c>
      <c r="L120" s="5" t="s">
        <v>64</v>
      </c>
      <c r="M120" s="7" t="s">
        <v>80</v>
      </c>
      <c r="N120" s="8" t="s">
        <v>77</v>
      </c>
      <c r="O120" s="3" t="s">
        <v>67</v>
      </c>
    </row>
    <row r="121" spans="2:16" x14ac:dyDescent="0.25">
      <c r="C121" s="3">
        <v>220</v>
      </c>
      <c r="D121" s="1" t="s">
        <v>231</v>
      </c>
      <c r="F121" s="3" t="s">
        <v>59</v>
      </c>
      <c r="G121" s="4" t="s">
        <v>60</v>
      </c>
      <c r="H121" s="5" t="s">
        <v>70</v>
      </c>
      <c r="I121" s="3" t="s">
        <v>62</v>
      </c>
      <c r="J121" s="2" t="s">
        <v>75</v>
      </c>
      <c r="K121" s="6">
        <v>1</v>
      </c>
      <c r="L121" s="5" t="s">
        <v>64</v>
      </c>
      <c r="M121" s="7" t="s">
        <v>75</v>
      </c>
      <c r="N121" s="8" t="s">
        <v>77</v>
      </c>
      <c r="O121" s="3" t="s">
        <v>67</v>
      </c>
    </row>
    <row r="122" spans="2:16" s="11" customFormat="1" x14ac:dyDescent="0.25">
      <c r="B122" s="10"/>
      <c r="C122" s="952" t="s">
        <v>232</v>
      </c>
      <c r="D122" s="952"/>
      <c r="E122" s="952"/>
      <c r="F122" s="10"/>
      <c r="G122" s="12"/>
      <c r="H122" s="13"/>
      <c r="I122" s="10"/>
      <c r="J122" s="12"/>
      <c r="K122" s="12"/>
      <c r="L122" s="13"/>
      <c r="M122" s="10"/>
      <c r="N122" s="10"/>
      <c r="O122" s="10"/>
    </row>
    <row r="123" spans="2:16" x14ac:dyDescent="0.25">
      <c r="C123" s="3">
        <v>200</v>
      </c>
      <c r="D123" s="1" t="s">
        <v>233</v>
      </c>
      <c r="F123" s="3" t="s">
        <v>59</v>
      </c>
      <c r="G123" s="4" t="s">
        <v>60</v>
      </c>
      <c r="H123" s="5" t="s">
        <v>70</v>
      </c>
      <c r="I123" s="3" t="s">
        <v>62</v>
      </c>
      <c r="J123" s="2" t="s">
        <v>106</v>
      </c>
      <c r="K123" s="6">
        <v>1</v>
      </c>
      <c r="L123" s="5" t="s">
        <v>64</v>
      </c>
      <c r="M123" s="7" t="s">
        <v>102</v>
      </c>
      <c r="N123" s="8" t="s">
        <v>77</v>
      </c>
      <c r="O123" s="3" t="s">
        <v>67</v>
      </c>
    </row>
    <row r="124" spans="2:16" x14ac:dyDescent="0.25">
      <c r="C124" s="3">
        <v>13</v>
      </c>
      <c r="D124" s="1" t="s">
        <v>234</v>
      </c>
      <c r="F124" s="3" t="s">
        <v>59</v>
      </c>
      <c r="G124" s="4" t="s">
        <v>60</v>
      </c>
      <c r="H124" s="5" t="s">
        <v>70</v>
      </c>
      <c r="I124" s="3" t="s">
        <v>62</v>
      </c>
      <c r="J124" s="2" t="s">
        <v>107</v>
      </c>
      <c r="K124" s="6">
        <v>1</v>
      </c>
      <c r="L124" s="5" t="s">
        <v>64</v>
      </c>
      <c r="M124" s="7" t="s">
        <v>106</v>
      </c>
      <c r="N124" s="8" t="s">
        <v>77</v>
      </c>
      <c r="O124" s="3" t="s">
        <v>67</v>
      </c>
      <c r="P124" s="9" t="s">
        <v>78</v>
      </c>
    </row>
    <row r="125" spans="2:16" x14ac:dyDescent="0.25">
      <c r="C125" s="3">
        <v>14</v>
      </c>
      <c r="D125" s="14" t="s">
        <v>235</v>
      </c>
      <c r="F125" s="3" t="s">
        <v>59</v>
      </c>
      <c r="G125" s="4" t="s">
        <v>60</v>
      </c>
      <c r="H125" s="5" t="s">
        <v>70</v>
      </c>
      <c r="I125" s="3" t="s">
        <v>62</v>
      </c>
      <c r="J125" s="4" t="s">
        <v>111</v>
      </c>
      <c r="K125" s="6">
        <v>1</v>
      </c>
      <c r="L125" s="5" t="s">
        <v>64</v>
      </c>
      <c r="M125" s="7" t="s">
        <v>99</v>
      </c>
      <c r="N125" s="8" t="s">
        <v>132</v>
      </c>
      <c r="O125" s="3" t="s">
        <v>67</v>
      </c>
      <c r="P125" s="9" t="s">
        <v>78</v>
      </c>
    </row>
    <row r="126" spans="2:16" x14ac:dyDescent="0.25">
      <c r="C126" s="3">
        <v>226</v>
      </c>
      <c r="D126" s="1" t="s">
        <v>236</v>
      </c>
      <c r="F126" s="3" t="s">
        <v>59</v>
      </c>
      <c r="G126" s="4" t="s">
        <v>60</v>
      </c>
      <c r="H126" s="5" t="s">
        <v>70</v>
      </c>
      <c r="I126" s="3" t="s">
        <v>62</v>
      </c>
      <c r="J126" s="2" t="s">
        <v>99</v>
      </c>
      <c r="K126" s="6">
        <v>1</v>
      </c>
      <c r="L126" s="5" t="s">
        <v>64</v>
      </c>
      <c r="M126" s="7" t="s">
        <v>99</v>
      </c>
      <c r="N126" s="8" t="s">
        <v>77</v>
      </c>
      <c r="O126" s="3" t="s">
        <v>67</v>
      </c>
    </row>
    <row r="127" spans="2:16" x14ac:dyDescent="0.25">
      <c r="C127" s="3">
        <v>230</v>
      </c>
      <c r="D127" s="1" t="s">
        <v>237</v>
      </c>
      <c r="F127" s="3" t="s">
        <v>59</v>
      </c>
      <c r="G127" s="4" t="s">
        <v>60</v>
      </c>
      <c r="H127" s="5" t="s">
        <v>70</v>
      </c>
      <c r="I127" s="3" t="s">
        <v>62</v>
      </c>
      <c r="J127" s="2" t="s">
        <v>72</v>
      </c>
      <c r="K127" s="6">
        <v>1</v>
      </c>
      <c r="L127" s="5" t="s">
        <v>64</v>
      </c>
      <c r="M127" s="7" t="s">
        <v>176</v>
      </c>
      <c r="N127" s="8" t="s">
        <v>85</v>
      </c>
      <c r="O127" s="3" t="s">
        <v>86</v>
      </c>
    </row>
    <row r="128" spans="2:16" x14ac:dyDescent="0.25">
      <c r="C128" s="3">
        <v>18</v>
      </c>
      <c r="D128" s="1" t="s">
        <v>238</v>
      </c>
      <c r="F128" s="3" t="s">
        <v>59</v>
      </c>
      <c r="G128" s="4" t="s">
        <v>60</v>
      </c>
      <c r="H128" s="5" t="s">
        <v>70</v>
      </c>
      <c r="I128" s="3" t="s">
        <v>62</v>
      </c>
      <c r="J128" s="2" t="s">
        <v>239</v>
      </c>
      <c r="K128" s="6">
        <v>1</v>
      </c>
      <c r="L128" s="5" t="s">
        <v>64</v>
      </c>
      <c r="M128" s="7" t="s">
        <v>84</v>
      </c>
      <c r="N128" s="8" t="s">
        <v>77</v>
      </c>
      <c r="O128" s="3" t="s">
        <v>67</v>
      </c>
      <c r="P128" s="9" t="s">
        <v>78</v>
      </c>
    </row>
    <row r="129" spans="2:16" x14ac:dyDescent="0.25">
      <c r="C129" s="3">
        <v>16</v>
      </c>
      <c r="D129" s="1" t="s">
        <v>240</v>
      </c>
      <c r="F129" s="3" t="s">
        <v>59</v>
      </c>
      <c r="G129" s="4" t="s">
        <v>60</v>
      </c>
      <c r="H129" s="5" t="s">
        <v>70</v>
      </c>
      <c r="I129" s="3" t="s">
        <v>62</v>
      </c>
      <c r="J129" s="2" t="s">
        <v>107</v>
      </c>
      <c r="K129" s="6">
        <v>1</v>
      </c>
      <c r="L129" s="5" t="s">
        <v>64</v>
      </c>
      <c r="M129" s="7" t="s">
        <v>99</v>
      </c>
      <c r="N129" s="8" t="s">
        <v>77</v>
      </c>
      <c r="O129" s="3" t="s">
        <v>67</v>
      </c>
      <c r="P129" s="9" t="s">
        <v>78</v>
      </c>
    </row>
    <row r="130" spans="2:16" x14ac:dyDescent="0.25">
      <c r="C130" s="3">
        <v>15</v>
      </c>
      <c r="D130" s="1" t="s">
        <v>241</v>
      </c>
      <c r="F130" s="3" t="s">
        <v>59</v>
      </c>
      <c r="G130" s="4" t="s">
        <v>60</v>
      </c>
      <c r="H130" s="5" t="s">
        <v>70</v>
      </c>
      <c r="I130" s="3" t="s">
        <v>62</v>
      </c>
      <c r="J130" s="2" t="s">
        <v>242</v>
      </c>
      <c r="K130" s="6">
        <v>1</v>
      </c>
      <c r="L130" s="5" t="s">
        <v>64</v>
      </c>
      <c r="M130" s="7" t="s">
        <v>113</v>
      </c>
      <c r="N130" s="8" t="s">
        <v>77</v>
      </c>
      <c r="O130" s="3" t="s">
        <v>67</v>
      </c>
      <c r="P130" s="9" t="s">
        <v>78</v>
      </c>
    </row>
    <row r="131" spans="2:16" x14ac:dyDescent="0.25">
      <c r="C131" s="3">
        <v>196</v>
      </c>
      <c r="D131" s="1" t="s">
        <v>243</v>
      </c>
      <c r="F131" s="3" t="s">
        <v>59</v>
      </c>
      <c r="G131" s="4" t="s">
        <v>60</v>
      </c>
      <c r="H131" s="5" t="s">
        <v>70</v>
      </c>
      <c r="I131" s="3" t="s">
        <v>62</v>
      </c>
      <c r="J131" s="2" t="s">
        <v>99</v>
      </c>
      <c r="K131" s="6">
        <v>1</v>
      </c>
      <c r="L131" s="5" t="s">
        <v>64</v>
      </c>
      <c r="M131" s="7" t="s">
        <v>244</v>
      </c>
      <c r="N131" s="8" t="s">
        <v>77</v>
      </c>
      <c r="O131" s="3" t="s">
        <v>67</v>
      </c>
    </row>
    <row r="132" spans="2:16" x14ac:dyDescent="0.25">
      <c r="C132" s="3">
        <v>268</v>
      </c>
      <c r="D132" s="1" t="s">
        <v>245</v>
      </c>
      <c r="F132" s="3" t="s">
        <v>59</v>
      </c>
      <c r="G132" s="4" t="s">
        <v>60</v>
      </c>
      <c r="H132" s="5" t="s">
        <v>70</v>
      </c>
      <c r="I132" s="3" t="s">
        <v>62</v>
      </c>
      <c r="J132" s="4" t="s">
        <v>72</v>
      </c>
      <c r="K132" s="6">
        <v>0</v>
      </c>
      <c r="L132" s="5" t="s">
        <v>64</v>
      </c>
      <c r="M132" s="7" t="s">
        <v>246</v>
      </c>
      <c r="N132" s="8" t="s">
        <v>247</v>
      </c>
      <c r="O132" s="3" t="s">
        <v>67</v>
      </c>
    </row>
    <row r="133" spans="2:16" x14ac:dyDescent="0.25">
      <c r="C133" s="3">
        <v>17</v>
      </c>
      <c r="D133" s="1" t="s">
        <v>248</v>
      </c>
      <c r="F133" s="3" t="s">
        <v>59</v>
      </c>
      <c r="G133" s="4" t="s">
        <v>60</v>
      </c>
      <c r="H133" s="5" t="s">
        <v>70</v>
      </c>
      <c r="I133" s="3" t="s">
        <v>62</v>
      </c>
      <c r="J133" s="2" t="s">
        <v>249</v>
      </c>
      <c r="K133" s="6">
        <v>1</v>
      </c>
      <c r="L133" s="5" t="s">
        <v>64</v>
      </c>
      <c r="M133" s="7" t="s">
        <v>81</v>
      </c>
      <c r="N133" s="8" t="s">
        <v>85</v>
      </c>
      <c r="O133" s="3" t="s">
        <v>86</v>
      </c>
      <c r="P133" s="9" t="s">
        <v>78</v>
      </c>
    </row>
    <row r="134" spans="2:16" x14ac:dyDescent="0.25">
      <c r="C134" s="3">
        <v>225</v>
      </c>
      <c r="D134" s="1" t="s">
        <v>250</v>
      </c>
      <c r="F134" s="3" t="s">
        <v>59</v>
      </c>
      <c r="G134" s="4" t="s">
        <v>60</v>
      </c>
      <c r="H134" s="5" t="s">
        <v>70</v>
      </c>
      <c r="I134" s="3" t="s">
        <v>62</v>
      </c>
      <c r="J134" s="2" t="s">
        <v>95</v>
      </c>
      <c r="K134" s="6">
        <v>1</v>
      </c>
      <c r="L134" s="5" t="s">
        <v>64</v>
      </c>
      <c r="M134" s="7" t="s">
        <v>75</v>
      </c>
      <c r="N134" s="8" t="s">
        <v>77</v>
      </c>
      <c r="O134" s="3" t="s">
        <v>67</v>
      </c>
    </row>
    <row r="135" spans="2:16" x14ac:dyDescent="0.25">
      <c r="C135" s="3">
        <v>198</v>
      </c>
      <c r="D135" s="1" t="s">
        <v>251</v>
      </c>
      <c r="F135" s="3" t="s">
        <v>59</v>
      </c>
      <c r="G135" s="4" t="s">
        <v>60</v>
      </c>
      <c r="H135" s="5" t="s">
        <v>70</v>
      </c>
      <c r="I135" s="3" t="s">
        <v>62</v>
      </c>
      <c r="J135" s="2" t="s">
        <v>75</v>
      </c>
      <c r="K135" s="6">
        <v>1</v>
      </c>
      <c r="L135" s="5" t="s">
        <v>64</v>
      </c>
      <c r="M135" s="7" t="s">
        <v>244</v>
      </c>
      <c r="N135" s="8" t="s">
        <v>77</v>
      </c>
      <c r="O135" s="3" t="s">
        <v>67</v>
      </c>
    </row>
    <row r="136" spans="2:16" x14ac:dyDescent="0.25">
      <c r="C136" s="3">
        <v>197</v>
      </c>
      <c r="D136" s="1" t="s">
        <v>252</v>
      </c>
      <c r="F136" s="3" t="s">
        <v>59</v>
      </c>
      <c r="G136" s="4" t="s">
        <v>60</v>
      </c>
      <c r="H136" s="5" t="s">
        <v>70</v>
      </c>
      <c r="I136" s="3" t="s">
        <v>62</v>
      </c>
      <c r="J136" s="2" t="s">
        <v>88</v>
      </c>
      <c r="K136" s="6">
        <v>1</v>
      </c>
      <c r="L136" s="5" t="s">
        <v>64</v>
      </c>
      <c r="M136" s="7" t="s">
        <v>97</v>
      </c>
      <c r="N136" s="8" t="s">
        <v>77</v>
      </c>
      <c r="O136" s="3" t="s">
        <v>67</v>
      </c>
    </row>
    <row r="137" spans="2:16" x14ac:dyDescent="0.25">
      <c r="C137" s="3">
        <v>212</v>
      </c>
      <c r="D137" s="1" t="s">
        <v>253</v>
      </c>
      <c r="F137" s="3" t="s">
        <v>59</v>
      </c>
      <c r="G137" s="4" t="s">
        <v>60</v>
      </c>
      <c r="H137" s="5" t="s">
        <v>70</v>
      </c>
      <c r="I137" s="3" t="s">
        <v>62</v>
      </c>
      <c r="J137" s="2" t="s">
        <v>102</v>
      </c>
      <c r="K137" s="6">
        <v>1</v>
      </c>
      <c r="L137" s="5" t="s">
        <v>64</v>
      </c>
      <c r="M137" s="7" t="s">
        <v>197</v>
      </c>
      <c r="N137" s="8" t="s">
        <v>85</v>
      </c>
      <c r="O137" s="3" t="s">
        <v>86</v>
      </c>
    </row>
    <row r="138" spans="2:16" x14ac:dyDescent="0.25">
      <c r="C138" s="3">
        <v>19</v>
      </c>
      <c r="D138" s="1" t="s">
        <v>254</v>
      </c>
      <c r="F138" s="3" t="s">
        <v>59</v>
      </c>
      <c r="G138" s="4" t="s">
        <v>60</v>
      </c>
      <c r="H138" s="5" t="s">
        <v>70</v>
      </c>
      <c r="I138" s="3" t="s">
        <v>62</v>
      </c>
      <c r="J138" s="2" t="s">
        <v>113</v>
      </c>
      <c r="K138" s="6">
        <v>1</v>
      </c>
      <c r="L138" s="5" t="s">
        <v>64</v>
      </c>
      <c r="M138" s="7" t="s">
        <v>249</v>
      </c>
      <c r="N138" s="8" t="s">
        <v>77</v>
      </c>
      <c r="O138" s="3" t="s">
        <v>67</v>
      </c>
      <c r="P138" s="9" t="s">
        <v>78</v>
      </c>
    </row>
    <row r="139" spans="2:16" x14ac:dyDescent="0.25">
      <c r="C139" s="3">
        <v>201</v>
      </c>
      <c r="D139" s="1" t="s">
        <v>255</v>
      </c>
      <c r="F139" s="3" t="s">
        <v>59</v>
      </c>
      <c r="G139" s="4" t="s">
        <v>60</v>
      </c>
      <c r="H139" s="5" t="s">
        <v>70</v>
      </c>
      <c r="I139" s="3" t="s">
        <v>62</v>
      </c>
      <c r="J139" s="2" t="s">
        <v>107</v>
      </c>
      <c r="K139" s="6">
        <v>1</v>
      </c>
      <c r="L139" s="5" t="s">
        <v>64</v>
      </c>
      <c r="M139" s="7" t="s">
        <v>197</v>
      </c>
      <c r="N139" s="8" t="s">
        <v>77</v>
      </c>
      <c r="O139" s="3" t="s">
        <v>67</v>
      </c>
    </row>
    <row r="140" spans="2:16" x14ac:dyDescent="0.25">
      <c r="C140" s="3">
        <v>202</v>
      </c>
      <c r="D140" s="1" t="s">
        <v>256</v>
      </c>
      <c r="F140" s="3" t="s">
        <v>59</v>
      </c>
      <c r="G140" s="4" t="s">
        <v>60</v>
      </c>
      <c r="H140" s="5" t="s">
        <v>70</v>
      </c>
      <c r="I140" s="3" t="s">
        <v>62</v>
      </c>
      <c r="J140" s="2" t="s">
        <v>249</v>
      </c>
      <c r="K140" s="6">
        <v>1</v>
      </c>
      <c r="L140" s="5" t="s">
        <v>64</v>
      </c>
      <c r="M140" s="7" t="s">
        <v>81</v>
      </c>
      <c r="N140" s="8" t="s">
        <v>85</v>
      </c>
      <c r="O140" s="3" t="s">
        <v>86</v>
      </c>
    </row>
    <row r="141" spans="2:16" x14ac:dyDescent="0.25">
      <c r="C141" s="3">
        <v>199</v>
      </c>
      <c r="D141" s="1" t="s">
        <v>257</v>
      </c>
      <c r="F141" s="3" t="s">
        <v>59</v>
      </c>
      <c r="G141" s="4" t="s">
        <v>60</v>
      </c>
      <c r="H141" s="5" t="s">
        <v>70</v>
      </c>
      <c r="I141" s="3" t="s">
        <v>62</v>
      </c>
      <c r="J141" s="2" t="s">
        <v>99</v>
      </c>
      <c r="K141" s="6">
        <v>1</v>
      </c>
      <c r="L141" s="5" t="s">
        <v>64</v>
      </c>
      <c r="M141" s="7" t="s">
        <v>139</v>
      </c>
      <c r="N141" s="8" t="s">
        <v>77</v>
      </c>
      <c r="O141" s="3" t="s">
        <v>67</v>
      </c>
    </row>
    <row r="142" spans="2:16" x14ac:dyDescent="0.25">
      <c r="C142" s="3">
        <v>20</v>
      </c>
      <c r="D142" s="1" t="s">
        <v>258</v>
      </c>
      <c r="F142" s="3" t="s">
        <v>59</v>
      </c>
      <c r="G142" s="4" t="s">
        <v>60</v>
      </c>
      <c r="H142" s="5" t="s">
        <v>70</v>
      </c>
      <c r="I142" s="3" t="s">
        <v>62</v>
      </c>
      <c r="J142" s="2" t="s">
        <v>106</v>
      </c>
      <c r="K142" s="6">
        <v>1</v>
      </c>
      <c r="L142" s="5" t="s">
        <v>64</v>
      </c>
      <c r="M142" s="7" t="s">
        <v>139</v>
      </c>
      <c r="N142" s="8" t="s">
        <v>77</v>
      </c>
      <c r="O142" s="3" t="s">
        <v>67</v>
      </c>
      <c r="P142" s="9" t="s">
        <v>78</v>
      </c>
    </row>
    <row r="143" spans="2:16" s="11" customFormat="1" x14ac:dyDescent="0.25">
      <c r="B143" s="10"/>
      <c r="C143" s="952" t="s">
        <v>259</v>
      </c>
      <c r="D143" s="952"/>
      <c r="E143" s="952"/>
      <c r="F143" s="10"/>
      <c r="G143" s="12"/>
      <c r="H143" s="13"/>
      <c r="I143" s="10"/>
      <c r="J143" s="12"/>
      <c r="K143" s="12"/>
      <c r="L143" s="13"/>
      <c r="M143" s="10"/>
      <c r="N143" s="10"/>
      <c r="O143" s="10"/>
    </row>
    <row r="144" spans="2:16" x14ac:dyDescent="0.25">
      <c r="C144" s="3">
        <v>58</v>
      </c>
      <c r="D144" s="1" t="s">
        <v>260</v>
      </c>
      <c r="F144" s="3" t="s">
        <v>59</v>
      </c>
      <c r="G144" s="4" t="s">
        <v>60</v>
      </c>
      <c r="H144" s="5" t="s">
        <v>70</v>
      </c>
      <c r="I144" s="3" t="s">
        <v>62</v>
      </c>
      <c r="J144" s="2" t="s">
        <v>99</v>
      </c>
      <c r="K144" s="6">
        <v>1</v>
      </c>
      <c r="L144" s="5" t="s">
        <v>64</v>
      </c>
      <c r="M144" s="7" t="s">
        <v>244</v>
      </c>
      <c r="N144" s="8" t="s">
        <v>261</v>
      </c>
      <c r="O144" s="3" t="s">
        <v>67</v>
      </c>
      <c r="P144" s="9" t="s">
        <v>78</v>
      </c>
    </row>
    <row r="145" spans="2:16" x14ac:dyDescent="0.25">
      <c r="C145" s="3">
        <v>188</v>
      </c>
      <c r="D145" s="1" t="s">
        <v>262</v>
      </c>
      <c r="F145" s="3" t="s">
        <v>59</v>
      </c>
      <c r="G145" s="4" t="s">
        <v>60</v>
      </c>
      <c r="H145" s="5" t="s">
        <v>70</v>
      </c>
      <c r="I145" s="3" t="s">
        <v>62</v>
      </c>
      <c r="J145" s="4" t="s">
        <v>111</v>
      </c>
      <c r="K145" s="6">
        <v>1</v>
      </c>
      <c r="L145" s="5" t="s">
        <v>64</v>
      </c>
      <c r="M145" s="7" t="s">
        <v>115</v>
      </c>
      <c r="N145" s="8" t="s">
        <v>263</v>
      </c>
      <c r="O145" s="3" t="s">
        <v>67</v>
      </c>
    </row>
    <row r="146" spans="2:16" x14ac:dyDescent="0.25">
      <c r="C146" s="3">
        <v>53</v>
      </c>
      <c r="D146" s="1" t="s">
        <v>264</v>
      </c>
      <c r="F146" s="3" t="s">
        <v>59</v>
      </c>
      <c r="G146" s="4" t="s">
        <v>60</v>
      </c>
      <c r="H146" s="5" t="s">
        <v>70</v>
      </c>
      <c r="I146" s="3" t="s">
        <v>62</v>
      </c>
      <c r="J146" s="2" t="s">
        <v>99</v>
      </c>
      <c r="K146" s="6">
        <v>1</v>
      </c>
      <c r="L146" s="5" t="s">
        <v>64</v>
      </c>
      <c r="M146" s="7" t="s">
        <v>176</v>
      </c>
      <c r="N146" s="8" t="s">
        <v>77</v>
      </c>
      <c r="O146" s="3" t="s">
        <v>67</v>
      </c>
      <c r="P146" s="9" t="s">
        <v>78</v>
      </c>
    </row>
    <row r="147" spans="2:16" x14ac:dyDescent="0.25">
      <c r="C147" s="3">
        <v>55</v>
      </c>
      <c r="D147" s="1" t="s">
        <v>265</v>
      </c>
      <c r="F147" s="3" t="s">
        <v>59</v>
      </c>
      <c r="G147" s="4" t="s">
        <v>60</v>
      </c>
      <c r="H147" s="5" t="s">
        <v>70</v>
      </c>
      <c r="I147" s="3" t="s">
        <v>62</v>
      </c>
      <c r="J147" s="2" t="s">
        <v>99</v>
      </c>
      <c r="K147" s="6">
        <v>1</v>
      </c>
      <c r="L147" s="5" t="s">
        <v>64</v>
      </c>
      <c r="M147" s="7" t="s">
        <v>102</v>
      </c>
      <c r="N147" s="8" t="s">
        <v>77</v>
      </c>
      <c r="O147" s="3" t="s">
        <v>67</v>
      </c>
      <c r="P147" s="9" t="s">
        <v>78</v>
      </c>
    </row>
    <row r="148" spans="2:16" x14ac:dyDescent="0.25">
      <c r="C148" s="3">
        <v>57</v>
      </c>
      <c r="D148" s="1" t="s">
        <v>266</v>
      </c>
      <c r="F148" s="3" t="s">
        <v>59</v>
      </c>
      <c r="G148" s="4" t="s">
        <v>60</v>
      </c>
      <c r="H148" s="5" t="s">
        <v>70</v>
      </c>
      <c r="I148" s="3" t="s">
        <v>62</v>
      </c>
      <c r="J148" s="2" t="s">
        <v>72</v>
      </c>
      <c r="K148" s="6">
        <v>1</v>
      </c>
      <c r="L148" s="5" t="s">
        <v>64</v>
      </c>
      <c r="M148" s="7" t="s">
        <v>244</v>
      </c>
      <c r="N148" s="8" t="s">
        <v>77</v>
      </c>
      <c r="O148" s="3" t="s">
        <v>67</v>
      </c>
      <c r="P148" s="9" t="s">
        <v>78</v>
      </c>
    </row>
    <row r="149" spans="2:16" x14ac:dyDescent="0.25">
      <c r="C149" s="3">
        <v>51</v>
      </c>
      <c r="D149" s="1" t="s">
        <v>267</v>
      </c>
      <c r="F149" s="3" t="s">
        <v>59</v>
      </c>
      <c r="G149" s="4" t="s">
        <v>60</v>
      </c>
      <c r="H149" s="5" t="s">
        <v>70</v>
      </c>
      <c r="I149" s="3" t="s">
        <v>62</v>
      </c>
      <c r="J149" s="2" t="s">
        <v>99</v>
      </c>
      <c r="K149" s="6">
        <v>1</v>
      </c>
      <c r="L149" s="5" t="s">
        <v>64</v>
      </c>
      <c r="M149" s="7" t="s">
        <v>102</v>
      </c>
      <c r="N149" s="8" t="s">
        <v>77</v>
      </c>
      <c r="O149" s="3" t="s">
        <v>67</v>
      </c>
      <c r="P149" s="9" t="s">
        <v>78</v>
      </c>
    </row>
    <row r="150" spans="2:16" x14ac:dyDescent="0.25">
      <c r="C150" s="3">
        <v>163</v>
      </c>
      <c r="D150" s="3" t="s">
        <v>268</v>
      </c>
      <c r="F150" s="3" t="s">
        <v>59</v>
      </c>
      <c r="G150" s="4" t="s">
        <v>60</v>
      </c>
      <c r="H150" s="5" t="s">
        <v>70</v>
      </c>
      <c r="I150" s="3" t="s">
        <v>62</v>
      </c>
      <c r="J150" s="4" t="s">
        <v>185</v>
      </c>
      <c r="K150" s="6">
        <v>1</v>
      </c>
      <c r="L150" s="5" t="s">
        <v>64</v>
      </c>
      <c r="M150" s="7" t="s">
        <v>94</v>
      </c>
      <c r="N150" s="8" t="s">
        <v>182</v>
      </c>
      <c r="O150" s="3" t="s">
        <v>67</v>
      </c>
    </row>
    <row r="151" spans="2:16" s="11" customFormat="1" x14ac:dyDescent="0.25">
      <c r="B151" s="10"/>
      <c r="C151" s="952" t="s">
        <v>269</v>
      </c>
      <c r="D151" s="952"/>
      <c r="E151" s="952"/>
      <c r="F151" s="10"/>
      <c r="G151" s="12"/>
      <c r="H151" s="13"/>
      <c r="I151" s="10"/>
      <c r="J151" s="12"/>
      <c r="K151" s="12"/>
      <c r="L151" s="13"/>
      <c r="M151" s="10"/>
      <c r="N151" s="10"/>
      <c r="O151" s="10"/>
    </row>
    <row r="152" spans="2:16" x14ac:dyDescent="0.25">
      <c r="C152" s="3">
        <v>21</v>
      </c>
      <c r="D152" s="1" t="s">
        <v>270</v>
      </c>
      <c r="F152" s="3" t="s">
        <v>59</v>
      </c>
      <c r="G152" s="4" t="s">
        <v>60</v>
      </c>
      <c r="H152" s="5" t="s">
        <v>70</v>
      </c>
      <c r="I152" s="3" t="s">
        <v>62</v>
      </c>
      <c r="J152" s="2" t="s">
        <v>176</v>
      </c>
      <c r="K152" s="6">
        <v>1</v>
      </c>
      <c r="L152" s="5" t="s">
        <v>64</v>
      </c>
      <c r="M152" s="7" t="s">
        <v>107</v>
      </c>
      <c r="N152" s="8" t="s">
        <v>77</v>
      </c>
      <c r="O152" s="3" t="s">
        <v>67</v>
      </c>
      <c r="P152" s="9" t="s">
        <v>78</v>
      </c>
    </row>
    <row r="153" spans="2:16" x14ac:dyDescent="0.25">
      <c r="C153" s="3">
        <v>22</v>
      </c>
      <c r="D153" s="1" t="s">
        <v>271</v>
      </c>
      <c r="F153" s="3" t="s">
        <v>59</v>
      </c>
      <c r="G153" s="4" t="s">
        <v>60</v>
      </c>
      <c r="H153" s="5" t="s">
        <v>70</v>
      </c>
      <c r="I153" s="3" t="s">
        <v>62</v>
      </c>
      <c r="J153" s="2" t="s">
        <v>197</v>
      </c>
      <c r="K153" s="6">
        <v>1</v>
      </c>
      <c r="L153" s="5" t="s">
        <v>64</v>
      </c>
      <c r="M153" s="7" t="s">
        <v>72</v>
      </c>
      <c r="N153" s="8" t="s">
        <v>77</v>
      </c>
      <c r="O153" s="3" t="s">
        <v>67</v>
      </c>
      <c r="P153" s="9" t="s">
        <v>78</v>
      </c>
    </row>
    <row r="154" spans="2:16" x14ac:dyDescent="0.25">
      <c r="C154" s="3">
        <v>23</v>
      </c>
      <c r="D154" s="1" t="s">
        <v>272</v>
      </c>
      <c r="F154" s="3" t="s">
        <v>59</v>
      </c>
      <c r="G154" s="4" t="s">
        <v>60</v>
      </c>
      <c r="H154" s="5" t="s">
        <v>70</v>
      </c>
      <c r="I154" s="3" t="s">
        <v>62</v>
      </c>
      <c r="J154" s="2" t="s">
        <v>99</v>
      </c>
      <c r="K154" s="6">
        <v>1</v>
      </c>
      <c r="L154" s="5" t="s">
        <v>64</v>
      </c>
      <c r="M154" s="7" t="s">
        <v>113</v>
      </c>
      <c r="N154" s="8" t="s">
        <v>182</v>
      </c>
      <c r="O154" s="3" t="s">
        <v>67</v>
      </c>
      <c r="P154" s="9" t="s">
        <v>78</v>
      </c>
    </row>
    <row r="155" spans="2:16" x14ac:dyDescent="0.25">
      <c r="C155" s="3">
        <v>101</v>
      </c>
      <c r="D155" s="1" t="s">
        <v>273</v>
      </c>
      <c r="F155" s="3" t="s">
        <v>59</v>
      </c>
      <c r="G155" s="4" t="s">
        <v>60</v>
      </c>
      <c r="H155" s="5" t="s">
        <v>70</v>
      </c>
      <c r="I155" s="3" t="s">
        <v>62</v>
      </c>
      <c r="J155" s="2" t="s">
        <v>197</v>
      </c>
      <c r="K155" s="6">
        <v>1</v>
      </c>
      <c r="L155" s="5" t="s">
        <v>64</v>
      </c>
      <c r="M155" s="7" t="s">
        <v>75</v>
      </c>
      <c r="N155" s="8" t="s">
        <v>77</v>
      </c>
      <c r="O155" s="3" t="s">
        <v>67</v>
      </c>
      <c r="P155" s="9" t="s">
        <v>78</v>
      </c>
    </row>
    <row r="156" spans="2:16" x14ac:dyDescent="0.25">
      <c r="C156" s="3">
        <v>24</v>
      </c>
      <c r="D156" s="1" t="s">
        <v>274</v>
      </c>
      <c r="F156" s="3" t="s">
        <v>59</v>
      </c>
      <c r="G156" s="4" t="s">
        <v>60</v>
      </c>
      <c r="H156" s="5" t="s">
        <v>70</v>
      </c>
      <c r="I156" s="3" t="s">
        <v>62</v>
      </c>
      <c r="J156" s="2" t="s">
        <v>197</v>
      </c>
      <c r="K156" s="6">
        <v>1</v>
      </c>
      <c r="L156" s="5" t="s">
        <v>64</v>
      </c>
      <c r="M156" s="7" t="s">
        <v>72</v>
      </c>
      <c r="N156" s="8" t="s">
        <v>77</v>
      </c>
      <c r="O156" s="3" t="s">
        <v>67</v>
      </c>
      <c r="P156" s="9" t="s">
        <v>78</v>
      </c>
    </row>
    <row r="157" spans="2:16" x14ac:dyDescent="0.25">
      <c r="C157" s="3">
        <v>100</v>
      </c>
      <c r="D157" s="1" t="s">
        <v>275</v>
      </c>
      <c r="F157" s="3" t="s">
        <v>59</v>
      </c>
      <c r="G157" s="4" t="s">
        <v>60</v>
      </c>
      <c r="H157" s="5" t="s">
        <v>70</v>
      </c>
      <c r="I157" s="3" t="s">
        <v>62</v>
      </c>
      <c r="J157" s="2" t="s">
        <v>197</v>
      </c>
      <c r="K157" s="6">
        <v>1</v>
      </c>
      <c r="L157" s="5" t="s">
        <v>64</v>
      </c>
      <c r="M157" s="7" t="s">
        <v>97</v>
      </c>
      <c r="N157" s="8" t="s">
        <v>77</v>
      </c>
      <c r="O157" s="3" t="s">
        <v>67</v>
      </c>
      <c r="P157" s="9" t="s">
        <v>78</v>
      </c>
    </row>
    <row r="158" spans="2:16" x14ac:dyDescent="0.25">
      <c r="C158" s="3">
        <v>165</v>
      </c>
      <c r="D158" s="1" t="s">
        <v>276</v>
      </c>
      <c r="F158" s="3" t="s">
        <v>59</v>
      </c>
      <c r="G158" s="4" t="s">
        <v>60</v>
      </c>
      <c r="H158" s="5" t="s">
        <v>70</v>
      </c>
      <c r="I158" s="3" t="s">
        <v>62</v>
      </c>
      <c r="J158" s="2" t="s">
        <v>197</v>
      </c>
      <c r="K158" s="6">
        <v>1</v>
      </c>
      <c r="L158" s="5" t="s">
        <v>64</v>
      </c>
      <c r="M158" s="7" t="s">
        <v>101</v>
      </c>
      <c r="N158" s="8" t="s">
        <v>77</v>
      </c>
      <c r="O158" s="3" t="s">
        <v>67</v>
      </c>
    </row>
    <row r="159" spans="2:16" x14ac:dyDescent="0.25">
      <c r="C159" s="3">
        <v>25</v>
      </c>
      <c r="D159" s="1" t="s">
        <v>277</v>
      </c>
      <c r="F159" s="3" t="s">
        <v>59</v>
      </c>
      <c r="G159" s="4" t="s">
        <v>60</v>
      </c>
      <c r="H159" s="5" t="s">
        <v>70</v>
      </c>
      <c r="I159" s="3" t="s">
        <v>62</v>
      </c>
      <c r="J159" s="2" t="s">
        <v>75</v>
      </c>
      <c r="K159" s="6">
        <v>1</v>
      </c>
      <c r="L159" s="5" t="s">
        <v>64</v>
      </c>
      <c r="M159" s="7" t="s">
        <v>176</v>
      </c>
      <c r="N159" s="8" t="s">
        <v>77</v>
      </c>
      <c r="O159" s="3" t="s">
        <v>67</v>
      </c>
      <c r="P159" s="9" t="s">
        <v>78</v>
      </c>
    </row>
    <row r="160" spans="2:16" s="11" customFormat="1" x14ac:dyDescent="0.25">
      <c r="B160" s="10"/>
      <c r="C160" s="952" t="s">
        <v>278</v>
      </c>
      <c r="D160" s="952"/>
      <c r="E160" s="952"/>
      <c r="F160" s="10"/>
      <c r="G160" s="12"/>
      <c r="H160" s="13"/>
      <c r="I160" s="10"/>
      <c r="J160" s="12"/>
      <c r="K160" s="12"/>
      <c r="L160" s="13"/>
      <c r="M160" s="10"/>
      <c r="N160" s="10"/>
      <c r="O160" s="10"/>
    </row>
    <row r="161" spans="2:16" x14ac:dyDescent="0.25">
      <c r="C161" s="3">
        <v>64</v>
      </c>
      <c r="D161" s="1" t="s">
        <v>279</v>
      </c>
      <c r="F161" s="3" t="s">
        <v>59</v>
      </c>
      <c r="G161" s="4" t="s">
        <v>60</v>
      </c>
      <c r="H161" s="5" t="s">
        <v>70</v>
      </c>
      <c r="I161" s="3" t="s">
        <v>62</v>
      </c>
      <c r="J161" s="2" t="s">
        <v>197</v>
      </c>
      <c r="K161" s="6">
        <v>1</v>
      </c>
      <c r="L161" s="5" t="s">
        <v>64</v>
      </c>
      <c r="M161" s="7" t="s">
        <v>81</v>
      </c>
      <c r="N161" s="8" t="s">
        <v>77</v>
      </c>
      <c r="O161" s="3" t="s">
        <v>67</v>
      </c>
      <c r="P161" s="9" t="s">
        <v>280</v>
      </c>
    </row>
    <row r="162" spans="2:16" x14ac:dyDescent="0.25">
      <c r="C162" s="3">
        <v>63</v>
      </c>
      <c r="D162" s="1" t="s">
        <v>281</v>
      </c>
      <c r="F162" s="3" t="s">
        <v>59</v>
      </c>
      <c r="G162" s="4" t="s">
        <v>60</v>
      </c>
      <c r="H162" s="5" t="s">
        <v>70</v>
      </c>
      <c r="I162" s="3" t="s">
        <v>62</v>
      </c>
      <c r="J162" s="2" t="s">
        <v>197</v>
      </c>
      <c r="K162" s="6">
        <v>1</v>
      </c>
      <c r="L162" s="5" t="s">
        <v>64</v>
      </c>
      <c r="M162" s="7" t="s">
        <v>111</v>
      </c>
      <c r="N162" s="8" t="s">
        <v>77</v>
      </c>
      <c r="O162" s="3" t="s">
        <v>67</v>
      </c>
      <c r="P162" s="9" t="s">
        <v>280</v>
      </c>
    </row>
    <row r="163" spans="2:16" x14ac:dyDescent="0.25">
      <c r="C163" s="3">
        <v>65</v>
      </c>
      <c r="D163" s="3" t="s">
        <v>282</v>
      </c>
      <c r="F163" s="3" t="s">
        <v>59</v>
      </c>
      <c r="G163" s="4" t="s">
        <v>60</v>
      </c>
      <c r="H163" s="5" t="s">
        <v>70</v>
      </c>
      <c r="I163" s="3" t="s">
        <v>62</v>
      </c>
      <c r="J163" s="4" t="s">
        <v>71</v>
      </c>
      <c r="K163" s="6">
        <v>1</v>
      </c>
      <c r="L163" s="5" t="s">
        <v>64</v>
      </c>
      <c r="M163" s="7" t="s">
        <v>244</v>
      </c>
      <c r="N163" s="8" t="s">
        <v>132</v>
      </c>
      <c r="O163" s="3" t="s">
        <v>67</v>
      </c>
      <c r="P163" s="9" t="s">
        <v>280</v>
      </c>
    </row>
    <row r="164" spans="2:16" x14ac:dyDescent="0.25">
      <c r="C164" s="3">
        <v>66</v>
      </c>
      <c r="D164" s="1" t="s">
        <v>283</v>
      </c>
      <c r="F164" s="3" t="s">
        <v>59</v>
      </c>
      <c r="G164" s="4" t="s">
        <v>60</v>
      </c>
      <c r="H164" s="5" t="s">
        <v>70</v>
      </c>
      <c r="I164" s="3" t="s">
        <v>62</v>
      </c>
      <c r="J164" s="2" t="s">
        <v>197</v>
      </c>
      <c r="K164" s="6">
        <v>1</v>
      </c>
      <c r="L164" s="5" t="s">
        <v>64</v>
      </c>
      <c r="M164" s="7" t="s">
        <v>244</v>
      </c>
      <c r="N164" s="8" t="s">
        <v>77</v>
      </c>
      <c r="O164" s="3" t="s">
        <v>67</v>
      </c>
      <c r="P164" s="9" t="s">
        <v>280</v>
      </c>
    </row>
    <row r="165" spans="2:16" x14ac:dyDescent="0.25">
      <c r="C165" s="3">
        <v>67</v>
      </c>
      <c r="D165" s="1" t="s">
        <v>284</v>
      </c>
      <c r="F165" s="3" t="s">
        <v>59</v>
      </c>
      <c r="G165" s="4" t="s">
        <v>60</v>
      </c>
      <c r="H165" s="5" t="s">
        <v>70</v>
      </c>
      <c r="I165" s="3" t="s">
        <v>62</v>
      </c>
      <c r="J165" s="2" t="s">
        <v>71</v>
      </c>
      <c r="K165" s="6">
        <v>1</v>
      </c>
      <c r="L165" s="5" t="s">
        <v>64</v>
      </c>
      <c r="M165" s="7" t="s">
        <v>99</v>
      </c>
      <c r="N165" s="8" t="s">
        <v>77</v>
      </c>
      <c r="O165" s="3" t="s">
        <v>67</v>
      </c>
      <c r="P165" s="9" t="s">
        <v>280</v>
      </c>
    </row>
    <row r="166" spans="2:16" x14ac:dyDescent="0.25">
      <c r="C166" s="3">
        <v>69</v>
      </c>
      <c r="D166" s="1" t="s">
        <v>285</v>
      </c>
      <c r="F166" s="3" t="s">
        <v>59</v>
      </c>
      <c r="G166" s="4" t="s">
        <v>60</v>
      </c>
      <c r="H166" s="5" t="s">
        <v>70</v>
      </c>
      <c r="I166" s="3" t="s">
        <v>62</v>
      </c>
      <c r="J166" s="2" t="s">
        <v>197</v>
      </c>
      <c r="K166" s="6">
        <v>1</v>
      </c>
      <c r="L166" s="5" t="s">
        <v>64</v>
      </c>
      <c r="M166" s="7" t="s">
        <v>197</v>
      </c>
      <c r="N166" s="8" t="s">
        <v>77</v>
      </c>
      <c r="O166" s="3" t="s">
        <v>67</v>
      </c>
      <c r="P166" s="9" t="s">
        <v>280</v>
      </c>
    </row>
    <row r="167" spans="2:16" x14ac:dyDescent="0.25">
      <c r="C167" s="3">
        <v>68</v>
      </c>
      <c r="D167" s="1" t="s">
        <v>286</v>
      </c>
      <c r="F167" s="3" t="s">
        <v>59</v>
      </c>
      <c r="G167" s="4" t="s">
        <v>60</v>
      </c>
      <c r="H167" s="5" t="s">
        <v>70</v>
      </c>
      <c r="I167" s="3" t="s">
        <v>62</v>
      </c>
      <c r="J167" s="2" t="s">
        <v>197</v>
      </c>
      <c r="K167" s="6">
        <v>1</v>
      </c>
      <c r="L167" s="5" t="s">
        <v>64</v>
      </c>
      <c r="M167" s="7" t="s">
        <v>102</v>
      </c>
      <c r="N167" s="8" t="s">
        <v>132</v>
      </c>
      <c r="O167" s="3" t="s">
        <v>67</v>
      </c>
      <c r="P167" s="9" t="s">
        <v>280</v>
      </c>
    </row>
    <row r="168" spans="2:16" x14ac:dyDescent="0.25">
      <c r="C168" s="3">
        <v>205</v>
      </c>
      <c r="D168" s="1" t="s">
        <v>287</v>
      </c>
      <c r="F168" s="3" t="s">
        <v>59</v>
      </c>
      <c r="G168" s="4" t="s">
        <v>60</v>
      </c>
      <c r="H168" s="5" t="s">
        <v>70</v>
      </c>
      <c r="I168" s="3" t="s">
        <v>62</v>
      </c>
      <c r="J168" s="2" t="s">
        <v>197</v>
      </c>
      <c r="K168" s="6">
        <v>1</v>
      </c>
      <c r="L168" s="5" t="s">
        <v>64</v>
      </c>
      <c r="M168" s="7" t="s">
        <v>72</v>
      </c>
      <c r="N168" s="8" t="s">
        <v>82</v>
      </c>
      <c r="O168" s="3" t="s">
        <v>67</v>
      </c>
      <c r="P168" s="9" t="s">
        <v>280</v>
      </c>
    </row>
    <row r="169" spans="2:16" x14ac:dyDescent="0.25">
      <c r="C169" s="3">
        <v>206</v>
      </c>
      <c r="D169" s="1" t="s">
        <v>288</v>
      </c>
      <c r="F169" s="3" t="s">
        <v>59</v>
      </c>
      <c r="G169" s="4" t="s">
        <v>60</v>
      </c>
      <c r="H169" s="5" t="s">
        <v>70</v>
      </c>
      <c r="I169" s="3" t="s">
        <v>62</v>
      </c>
      <c r="J169" s="2" t="s">
        <v>71</v>
      </c>
      <c r="K169" s="6">
        <v>1</v>
      </c>
      <c r="L169" s="5" t="s">
        <v>64</v>
      </c>
      <c r="M169" s="7" t="s">
        <v>97</v>
      </c>
      <c r="N169" s="8" t="s">
        <v>77</v>
      </c>
      <c r="O169" s="3" t="s">
        <v>67</v>
      </c>
      <c r="P169" s="9" t="s">
        <v>280</v>
      </c>
    </row>
    <row r="170" spans="2:16" s="11" customFormat="1" x14ac:dyDescent="0.25">
      <c r="B170" s="10"/>
      <c r="C170" s="952" t="s">
        <v>289</v>
      </c>
      <c r="D170" s="952"/>
      <c r="E170" s="952"/>
      <c r="F170" s="10"/>
      <c r="G170" s="12"/>
      <c r="H170" s="13"/>
      <c r="I170" s="10"/>
      <c r="J170" s="12"/>
      <c r="K170" s="12"/>
      <c r="L170" s="13"/>
      <c r="M170" s="10"/>
      <c r="N170" s="10"/>
      <c r="O170" s="10"/>
    </row>
    <row r="171" spans="2:16" x14ac:dyDescent="0.25">
      <c r="C171" s="3">
        <v>60</v>
      </c>
      <c r="D171" s="1" t="s">
        <v>290</v>
      </c>
      <c r="F171" s="3" t="s">
        <v>59</v>
      </c>
      <c r="G171" s="4" t="s">
        <v>60</v>
      </c>
      <c r="H171" s="5" t="s">
        <v>70</v>
      </c>
      <c r="I171" s="3" t="s">
        <v>62</v>
      </c>
      <c r="J171" s="2" t="s">
        <v>107</v>
      </c>
      <c r="K171" s="6">
        <v>1</v>
      </c>
      <c r="L171" s="5" t="s">
        <v>64</v>
      </c>
      <c r="M171" s="7" t="s">
        <v>197</v>
      </c>
      <c r="N171" s="8" t="s">
        <v>77</v>
      </c>
      <c r="O171" s="3" t="s">
        <v>67</v>
      </c>
      <c r="P171" s="9" t="s">
        <v>78</v>
      </c>
    </row>
    <row r="172" spans="2:16" x14ac:dyDescent="0.25">
      <c r="C172" s="3">
        <v>59</v>
      </c>
      <c r="D172" s="14" t="s">
        <v>291</v>
      </c>
      <c r="F172" s="3" t="s">
        <v>59</v>
      </c>
      <c r="G172" s="4" t="s">
        <v>60</v>
      </c>
      <c r="H172" s="5" t="s">
        <v>70</v>
      </c>
      <c r="I172" s="3" t="s">
        <v>62</v>
      </c>
      <c r="J172" s="4" t="s">
        <v>134</v>
      </c>
      <c r="K172" s="6">
        <v>1</v>
      </c>
      <c r="L172" s="5" t="s">
        <v>64</v>
      </c>
      <c r="M172" s="7" t="s">
        <v>76</v>
      </c>
      <c r="N172" s="8" t="s">
        <v>132</v>
      </c>
      <c r="O172" s="3" t="s">
        <v>67</v>
      </c>
      <c r="P172" s="9" t="s">
        <v>78</v>
      </c>
    </row>
    <row r="173" spans="2:16" x14ac:dyDescent="0.25">
      <c r="C173" s="3">
        <v>41</v>
      </c>
      <c r="D173" s="1" t="s">
        <v>292</v>
      </c>
      <c r="F173" s="3" t="s">
        <v>59</v>
      </c>
      <c r="G173" s="4" t="s">
        <v>60</v>
      </c>
      <c r="H173" s="5" t="s">
        <v>70</v>
      </c>
      <c r="I173" s="3" t="s">
        <v>62</v>
      </c>
      <c r="J173" s="2" t="s">
        <v>106</v>
      </c>
      <c r="K173" s="6">
        <v>1</v>
      </c>
      <c r="L173" s="5" t="s">
        <v>64</v>
      </c>
      <c r="M173" s="7" t="s">
        <v>99</v>
      </c>
      <c r="N173" s="8" t="s">
        <v>77</v>
      </c>
      <c r="O173" s="3" t="s">
        <v>67</v>
      </c>
      <c r="P173" s="9" t="s">
        <v>78</v>
      </c>
    </row>
    <row r="174" spans="2:16" s="11" customFormat="1" x14ac:dyDescent="0.25">
      <c r="B174" s="10"/>
      <c r="C174" s="952" t="s">
        <v>293</v>
      </c>
      <c r="D174" s="952"/>
      <c r="E174" s="952"/>
      <c r="F174" s="10"/>
      <c r="G174" s="12"/>
      <c r="H174" s="13"/>
      <c r="I174" s="10"/>
      <c r="J174" s="12"/>
      <c r="K174" s="12"/>
      <c r="L174" s="13"/>
      <c r="M174" s="10"/>
      <c r="N174" s="10"/>
      <c r="O174" s="10"/>
    </row>
    <row r="175" spans="2:16" x14ac:dyDescent="0.25">
      <c r="C175" s="3">
        <v>184</v>
      </c>
      <c r="D175" s="3" t="s">
        <v>294</v>
      </c>
      <c r="F175" s="3" t="s">
        <v>59</v>
      </c>
      <c r="G175" s="4" t="s">
        <v>60</v>
      </c>
      <c r="H175" s="5" t="s">
        <v>70</v>
      </c>
      <c r="I175" s="3" t="s">
        <v>62</v>
      </c>
      <c r="J175" s="4" t="s">
        <v>91</v>
      </c>
      <c r="K175" s="6">
        <v>1</v>
      </c>
      <c r="L175" s="5" t="s">
        <v>64</v>
      </c>
      <c r="M175" s="7" t="s">
        <v>134</v>
      </c>
      <c r="N175" s="8" t="s">
        <v>182</v>
      </c>
      <c r="O175" s="3" t="s">
        <v>67</v>
      </c>
    </row>
    <row r="176" spans="2:16" x14ac:dyDescent="0.25">
      <c r="C176" s="3">
        <v>43</v>
      </c>
      <c r="D176" s="1" t="s">
        <v>295</v>
      </c>
      <c r="F176" s="3" t="s">
        <v>59</v>
      </c>
      <c r="G176" s="4" t="s">
        <v>60</v>
      </c>
      <c r="H176" s="5" t="s">
        <v>70</v>
      </c>
      <c r="I176" s="3" t="s">
        <v>62</v>
      </c>
      <c r="J176" s="2" t="s">
        <v>99</v>
      </c>
      <c r="K176" s="6">
        <v>1</v>
      </c>
      <c r="L176" s="5" t="s">
        <v>64</v>
      </c>
      <c r="M176" s="7" t="s">
        <v>75</v>
      </c>
      <c r="N176" s="8" t="s">
        <v>77</v>
      </c>
      <c r="O176" s="3" t="s">
        <v>67</v>
      </c>
      <c r="P176" s="9" t="s">
        <v>78</v>
      </c>
    </row>
    <row r="177" spans="2:16" x14ac:dyDescent="0.25">
      <c r="C177" s="3">
        <v>61</v>
      </c>
      <c r="D177" s="1" t="s">
        <v>296</v>
      </c>
      <c r="F177" s="3" t="s">
        <v>59</v>
      </c>
      <c r="G177" s="4" t="s">
        <v>60</v>
      </c>
      <c r="H177" s="5" t="s">
        <v>70</v>
      </c>
      <c r="I177" s="3" t="s">
        <v>62</v>
      </c>
      <c r="J177" s="2" t="s">
        <v>102</v>
      </c>
      <c r="K177" s="6">
        <v>1</v>
      </c>
      <c r="L177" s="5" t="s">
        <v>64</v>
      </c>
      <c r="M177" s="7" t="s">
        <v>91</v>
      </c>
      <c r="N177" s="8" t="s">
        <v>77</v>
      </c>
      <c r="O177" s="3" t="s">
        <v>67</v>
      </c>
      <c r="P177" s="9" t="s">
        <v>78</v>
      </c>
    </row>
    <row r="178" spans="2:16" x14ac:dyDescent="0.25">
      <c r="C178" s="3">
        <v>46</v>
      </c>
      <c r="D178" s="1" t="s">
        <v>297</v>
      </c>
      <c r="F178" s="3" t="s">
        <v>59</v>
      </c>
      <c r="G178" s="4" t="s">
        <v>60</v>
      </c>
      <c r="H178" s="5" t="s">
        <v>70</v>
      </c>
      <c r="I178" s="3" t="s">
        <v>62</v>
      </c>
      <c r="J178" s="2" t="s">
        <v>99</v>
      </c>
      <c r="K178" s="6">
        <v>1</v>
      </c>
      <c r="L178" s="5" t="s">
        <v>64</v>
      </c>
      <c r="M178" s="7" t="s">
        <v>101</v>
      </c>
      <c r="N178" s="8" t="s">
        <v>77</v>
      </c>
      <c r="O178" s="3" t="s">
        <v>67</v>
      </c>
      <c r="P178" s="9" t="s">
        <v>78</v>
      </c>
    </row>
    <row r="179" spans="2:16" x14ac:dyDescent="0.25">
      <c r="C179" s="3">
        <v>42</v>
      </c>
      <c r="D179" s="1" t="s">
        <v>298</v>
      </c>
      <c r="F179" s="3" t="s">
        <v>59</v>
      </c>
      <c r="G179" s="4" t="s">
        <v>60</v>
      </c>
      <c r="H179" s="5" t="s">
        <v>70</v>
      </c>
      <c r="I179" s="3" t="s">
        <v>62</v>
      </c>
      <c r="J179" s="2" t="s">
        <v>75</v>
      </c>
      <c r="K179" s="6">
        <v>1</v>
      </c>
      <c r="L179" s="5" t="s">
        <v>64</v>
      </c>
      <c r="M179" s="7" t="s">
        <v>99</v>
      </c>
      <c r="N179" s="8" t="s">
        <v>77</v>
      </c>
      <c r="O179" s="3" t="s">
        <v>67</v>
      </c>
      <c r="P179" s="9" t="s">
        <v>78</v>
      </c>
    </row>
    <row r="180" spans="2:16" s="11" customFormat="1" x14ac:dyDescent="0.25">
      <c r="B180" s="10"/>
      <c r="C180" s="952" t="s">
        <v>299</v>
      </c>
      <c r="D180" s="952"/>
      <c r="E180" s="952"/>
      <c r="F180" s="10"/>
      <c r="G180" s="12"/>
      <c r="H180" s="13"/>
      <c r="I180" s="10"/>
      <c r="J180" s="12"/>
      <c r="K180" s="12"/>
      <c r="L180" s="13"/>
      <c r="M180" s="10"/>
      <c r="N180" s="10"/>
      <c r="O180" s="10"/>
    </row>
    <row r="181" spans="2:16" x14ac:dyDescent="0.25">
      <c r="C181" s="3">
        <v>39</v>
      </c>
      <c r="D181" s="1" t="s">
        <v>300</v>
      </c>
      <c r="F181" s="3" t="s">
        <v>59</v>
      </c>
      <c r="G181" s="4" t="s">
        <v>60</v>
      </c>
      <c r="H181" s="5" t="s">
        <v>70</v>
      </c>
      <c r="I181" s="3" t="s">
        <v>62</v>
      </c>
      <c r="J181" s="2" t="s">
        <v>91</v>
      </c>
      <c r="K181" s="6">
        <v>1</v>
      </c>
      <c r="L181" s="5" t="s">
        <v>64</v>
      </c>
      <c r="M181" s="7" t="s">
        <v>106</v>
      </c>
      <c r="N181" s="8" t="s">
        <v>77</v>
      </c>
      <c r="O181" s="3" t="s">
        <v>67</v>
      </c>
      <c r="P181" s="9" t="s">
        <v>78</v>
      </c>
    </row>
    <row r="182" spans="2:16" x14ac:dyDescent="0.25">
      <c r="C182" s="3">
        <v>186</v>
      </c>
      <c r="D182" s="1" t="s">
        <v>301</v>
      </c>
      <c r="F182" s="3" t="s">
        <v>59</v>
      </c>
      <c r="G182" s="4" t="s">
        <v>60</v>
      </c>
      <c r="H182" s="5" t="s">
        <v>70</v>
      </c>
      <c r="I182" s="3" t="s">
        <v>62</v>
      </c>
      <c r="J182" s="2" t="s">
        <v>91</v>
      </c>
      <c r="K182" s="6">
        <v>1</v>
      </c>
      <c r="L182" s="5" t="s">
        <v>64</v>
      </c>
      <c r="M182" s="7" t="s">
        <v>106</v>
      </c>
      <c r="N182" s="8" t="s">
        <v>77</v>
      </c>
      <c r="O182" s="3" t="s">
        <v>67</v>
      </c>
      <c r="P182" s="9" t="s">
        <v>78</v>
      </c>
    </row>
    <row r="183" spans="2:16" x14ac:dyDescent="0.25">
      <c r="C183" s="3">
        <v>254</v>
      </c>
      <c r="D183" s="1" t="s">
        <v>302</v>
      </c>
      <c r="F183" s="3" t="s">
        <v>59</v>
      </c>
      <c r="G183" s="4" t="s">
        <v>60</v>
      </c>
      <c r="H183" s="5" t="s">
        <v>70</v>
      </c>
      <c r="I183" s="3" t="s">
        <v>62</v>
      </c>
      <c r="J183" s="2" t="s">
        <v>91</v>
      </c>
      <c r="K183" s="6">
        <v>1</v>
      </c>
      <c r="L183" s="5" t="s">
        <v>64</v>
      </c>
      <c r="M183" s="7" t="s">
        <v>75</v>
      </c>
      <c r="N183" s="8" t="s">
        <v>92</v>
      </c>
      <c r="O183" s="3" t="s">
        <v>67</v>
      </c>
    </row>
    <row r="184" spans="2:16" x14ac:dyDescent="0.25">
      <c r="C184" s="3">
        <v>255</v>
      </c>
      <c r="D184" s="1" t="s">
        <v>303</v>
      </c>
      <c r="F184" s="3" t="s">
        <v>59</v>
      </c>
      <c r="G184" s="4" t="s">
        <v>60</v>
      </c>
      <c r="H184" s="5" t="s">
        <v>70</v>
      </c>
      <c r="I184" s="3" t="s">
        <v>62</v>
      </c>
      <c r="J184" s="2" t="s">
        <v>91</v>
      </c>
      <c r="K184" s="6">
        <v>1</v>
      </c>
      <c r="L184" s="5" t="s">
        <v>64</v>
      </c>
      <c r="M184" s="7" t="s">
        <v>72</v>
      </c>
      <c r="N184" s="8" t="s">
        <v>92</v>
      </c>
      <c r="O184" s="3" t="s">
        <v>67</v>
      </c>
    </row>
    <row r="185" spans="2:16" x14ac:dyDescent="0.25">
      <c r="C185" s="3">
        <v>251</v>
      </c>
      <c r="D185" s="1" t="s">
        <v>304</v>
      </c>
      <c r="F185" s="3" t="s">
        <v>123</v>
      </c>
      <c r="G185" s="4" t="s">
        <v>60</v>
      </c>
      <c r="H185" s="5" t="s">
        <v>70</v>
      </c>
      <c r="I185" s="3" t="s">
        <v>62</v>
      </c>
      <c r="J185" s="2" t="s">
        <v>91</v>
      </c>
      <c r="K185" s="6">
        <v>1</v>
      </c>
      <c r="L185" s="5" t="s">
        <v>64</v>
      </c>
      <c r="M185" s="7" t="s">
        <v>197</v>
      </c>
      <c r="N185" s="8" t="s">
        <v>92</v>
      </c>
      <c r="O185" s="3" t="s">
        <v>67</v>
      </c>
    </row>
    <row r="186" spans="2:16" x14ac:dyDescent="0.25">
      <c r="C186" s="3">
        <v>252</v>
      </c>
      <c r="D186" s="1" t="s">
        <v>305</v>
      </c>
      <c r="F186" s="3" t="s">
        <v>59</v>
      </c>
      <c r="G186" s="4" t="s">
        <v>60</v>
      </c>
      <c r="H186" s="5" t="s">
        <v>70</v>
      </c>
      <c r="I186" s="3" t="s">
        <v>62</v>
      </c>
      <c r="J186" s="2" t="s">
        <v>91</v>
      </c>
      <c r="K186" s="6">
        <v>1</v>
      </c>
      <c r="L186" s="5" t="s">
        <v>64</v>
      </c>
      <c r="M186" s="7" t="s">
        <v>176</v>
      </c>
      <c r="N186" s="8" t="s">
        <v>92</v>
      </c>
      <c r="O186" s="3" t="s">
        <v>67</v>
      </c>
    </row>
    <row r="187" spans="2:16" x14ac:dyDescent="0.25">
      <c r="C187" s="3">
        <v>253</v>
      </c>
      <c r="D187" s="1" t="s">
        <v>306</v>
      </c>
      <c r="F187" s="3" t="s">
        <v>59</v>
      </c>
      <c r="G187" s="4" t="s">
        <v>60</v>
      </c>
      <c r="H187" s="5" t="s">
        <v>70</v>
      </c>
      <c r="I187" s="3" t="s">
        <v>62</v>
      </c>
      <c r="J187" s="2" t="s">
        <v>95</v>
      </c>
      <c r="K187" s="6">
        <v>1</v>
      </c>
      <c r="L187" s="5" t="s">
        <v>64</v>
      </c>
      <c r="M187" s="7" t="s">
        <v>107</v>
      </c>
      <c r="N187" s="8" t="s">
        <v>92</v>
      </c>
      <c r="O187" s="3" t="s">
        <v>67</v>
      </c>
    </row>
    <row r="188" spans="2:16" x14ac:dyDescent="0.25">
      <c r="C188" s="3">
        <v>47</v>
      </c>
      <c r="D188" s="1" t="s">
        <v>307</v>
      </c>
      <c r="F188" s="3" t="s">
        <v>59</v>
      </c>
      <c r="G188" s="4" t="s">
        <v>60</v>
      </c>
      <c r="H188" s="5" t="s">
        <v>70</v>
      </c>
      <c r="I188" s="3" t="s">
        <v>62</v>
      </c>
      <c r="J188" s="2" t="s">
        <v>99</v>
      </c>
      <c r="K188" s="6">
        <v>1</v>
      </c>
      <c r="L188" s="5" t="s">
        <v>64</v>
      </c>
      <c r="M188" s="7" t="s">
        <v>244</v>
      </c>
      <c r="N188" s="8" t="s">
        <v>77</v>
      </c>
      <c r="O188" s="3" t="s">
        <v>67</v>
      </c>
      <c r="P188" s="9" t="s">
        <v>78</v>
      </c>
    </row>
    <row r="189" spans="2:16" x14ac:dyDescent="0.25">
      <c r="C189" s="3">
        <v>257</v>
      </c>
      <c r="D189" s="1" t="s">
        <v>308</v>
      </c>
      <c r="F189" s="3" t="s">
        <v>59</v>
      </c>
      <c r="G189" s="4" t="s">
        <v>60</v>
      </c>
      <c r="H189" s="5" t="s">
        <v>70</v>
      </c>
      <c r="I189" s="3" t="s">
        <v>62</v>
      </c>
      <c r="J189" s="2" t="s">
        <v>91</v>
      </c>
      <c r="K189" s="6">
        <v>1</v>
      </c>
      <c r="L189" s="5" t="s">
        <v>64</v>
      </c>
      <c r="M189" s="7" t="s">
        <v>197</v>
      </c>
      <c r="N189" s="8" t="s">
        <v>92</v>
      </c>
      <c r="O189" s="3" t="s">
        <v>67</v>
      </c>
    </row>
    <row r="190" spans="2:16" x14ac:dyDescent="0.25">
      <c r="C190" s="3">
        <v>256</v>
      </c>
      <c r="D190" s="1" t="s">
        <v>309</v>
      </c>
      <c r="F190" s="3" t="s">
        <v>59</v>
      </c>
      <c r="G190" s="4" t="s">
        <v>60</v>
      </c>
      <c r="H190" s="5" t="s">
        <v>70</v>
      </c>
      <c r="I190" s="3" t="s">
        <v>62</v>
      </c>
      <c r="J190" s="2" t="s">
        <v>91</v>
      </c>
      <c r="K190" s="6">
        <v>1</v>
      </c>
      <c r="L190" s="5" t="s">
        <v>64</v>
      </c>
      <c r="M190" s="7" t="s">
        <v>176</v>
      </c>
      <c r="N190" s="8" t="s">
        <v>92</v>
      </c>
      <c r="O190" s="3" t="s">
        <v>67</v>
      </c>
    </row>
    <row r="191" spans="2:16" s="11" customFormat="1" x14ac:dyDescent="0.25">
      <c r="B191" s="10"/>
      <c r="C191" s="952" t="s">
        <v>310</v>
      </c>
      <c r="D191" s="952"/>
      <c r="E191" s="952"/>
      <c r="F191" s="10"/>
      <c r="G191" s="12"/>
      <c r="H191" s="13"/>
      <c r="I191" s="10"/>
      <c r="J191" s="12"/>
      <c r="K191" s="12"/>
      <c r="L191" s="13"/>
      <c r="M191" s="10"/>
      <c r="N191" s="10"/>
      <c r="O191" s="10"/>
    </row>
    <row r="192" spans="2:16" x14ac:dyDescent="0.25">
      <c r="C192" s="3">
        <v>228</v>
      </c>
      <c r="D192" s="1" t="s">
        <v>311</v>
      </c>
      <c r="F192" s="3" t="s">
        <v>59</v>
      </c>
      <c r="G192" s="4" t="s">
        <v>60</v>
      </c>
      <c r="H192" s="5" t="s">
        <v>70</v>
      </c>
      <c r="I192" s="3" t="s">
        <v>62</v>
      </c>
      <c r="J192" s="2" t="s">
        <v>94</v>
      </c>
      <c r="K192" s="6">
        <v>1</v>
      </c>
      <c r="L192" s="5" t="s">
        <v>64</v>
      </c>
      <c r="M192" s="7" t="s">
        <v>71</v>
      </c>
      <c r="N192" s="8" t="s">
        <v>182</v>
      </c>
      <c r="O192" s="3" t="s">
        <v>67</v>
      </c>
    </row>
    <row r="193" spans="2:16" x14ac:dyDescent="0.25">
      <c r="C193" s="3">
        <v>227</v>
      </c>
      <c r="D193" s="1" t="s">
        <v>312</v>
      </c>
      <c r="F193" s="3" t="s">
        <v>59</v>
      </c>
      <c r="G193" s="4" t="s">
        <v>60</v>
      </c>
      <c r="H193" s="5" t="s">
        <v>70</v>
      </c>
      <c r="I193" s="3" t="s">
        <v>62</v>
      </c>
      <c r="J193" s="2" t="s">
        <v>94</v>
      </c>
      <c r="K193" s="6">
        <v>1</v>
      </c>
      <c r="L193" s="5" t="s">
        <v>64</v>
      </c>
      <c r="M193" s="7" t="s">
        <v>75</v>
      </c>
      <c r="N193" s="8" t="s">
        <v>77</v>
      </c>
      <c r="O193" s="3" t="s">
        <v>86</v>
      </c>
    </row>
    <row r="194" spans="2:16" x14ac:dyDescent="0.25">
      <c r="C194" s="3">
        <v>239</v>
      </c>
      <c r="D194" s="14" t="s">
        <v>313</v>
      </c>
      <c r="F194" s="3" t="s">
        <v>59</v>
      </c>
      <c r="G194" s="4" t="s">
        <v>60</v>
      </c>
      <c r="H194" s="5" t="s">
        <v>70</v>
      </c>
      <c r="I194" s="3" t="s">
        <v>62</v>
      </c>
      <c r="J194" s="4" t="s">
        <v>101</v>
      </c>
      <c r="K194" s="6">
        <v>1</v>
      </c>
      <c r="L194" s="5" t="s">
        <v>64</v>
      </c>
      <c r="M194" s="7" t="s">
        <v>176</v>
      </c>
      <c r="N194" s="8" t="s">
        <v>314</v>
      </c>
      <c r="O194" s="3" t="s">
        <v>67</v>
      </c>
    </row>
    <row r="195" spans="2:16" x14ac:dyDescent="0.25">
      <c r="C195" s="3">
        <v>231</v>
      </c>
      <c r="D195" s="1" t="s">
        <v>315</v>
      </c>
      <c r="F195" s="3" t="s">
        <v>59</v>
      </c>
      <c r="G195" s="4" t="s">
        <v>60</v>
      </c>
      <c r="H195" s="5" t="s">
        <v>70</v>
      </c>
      <c r="I195" s="3" t="s">
        <v>62</v>
      </c>
      <c r="J195" s="2" t="s">
        <v>94</v>
      </c>
      <c r="K195" s="6">
        <v>1</v>
      </c>
      <c r="L195" s="5" t="s">
        <v>64</v>
      </c>
      <c r="M195" s="7" t="s">
        <v>129</v>
      </c>
      <c r="N195" s="8" t="s">
        <v>226</v>
      </c>
      <c r="O195" s="3" t="s">
        <v>67</v>
      </c>
    </row>
    <row r="196" spans="2:16" s="11" customFormat="1" x14ac:dyDescent="0.25">
      <c r="B196" s="10"/>
      <c r="C196" s="952" t="s">
        <v>316</v>
      </c>
      <c r="D196" s="952"/>
      <c r="E196" s="952"/>
      <c r="F196" s="10"/>
      <c r="G196" s="12"/>
      <c r="H196" s="13"/>
      <c r="I196" s="10"/>
      <c r="J196" s="12"/>
      <c r="K196" s="12"/>
      <c r="L196" s="13"/>
      <c r="M196" s="10"/>
      <c r="N196" s="10"/>
      <c r="O196" s="10"/>
    </row>
    <row r="197" spans="2:16" x14ac:dyDescent="0.25">
      <c r="C197" s="3">
        <v>71</v>
      </c>
      <c r="D197" s="14" t="s">
        <v>451</v>
      </c>
      <c r="F197" s="3" t="s">
        <v>59</v>
      </c>
      <c r="G197" s="4" t="s">
        <v>60</v>
      </c>
      <c r="H197" s="5" t="s">
        <v>70</v>
      </c>
      <c r="I197" s="3" t="s">
        <v>62</v>
      </c>
      <c r="J197" s="2" t="s">
        <v>80</v>
      </c>
      <c r="K197" s="6">
        <v>1</v>
      </c>
      <c r="L197" s="5" t="s">
        <v>64</v>
      </c>
      <c r="M197" s="7" t="s">
        <v>111</v>
      </c>
      <c r="N197" s="8" t="s">
        <v>132</v>
      </c>
      <c r="O197" s="3" t="s">
        <v>67</v>
      </c>
    </row>
    <row r="198" spans="2:16" x14ac:dyDescent="0.25">
      <c r="C198" s="3">
        <v>180</v>
      </c>
      <c r="D198" s="1" t="s">
        <v>317</v>
      </c>
      <c r="F198" s="3" t="s">
        <v>59</v>
      </c>
      <c r="G198" s="4" t="s">
        <v>60</v>
      </c>
      <c r="H198" s="5" t="s">
        <v>70</v>
      </c>
      <c r="I198" s="3" t="s">
        <v>62</v>
      </c>
      <c r="J198" s="2" t="s">
        <v>80</v>
      </c>
      <c r="K198" s="6">
        <v>1</v>
      </c>
      <c r="L198" s="5" t="s">
        <v>64</v>
      </c>
      <c r="M198" s="7" t="s">
        <v>75</v>
      </c>
      <c r="N198" s="8" t="s">
        <v>182</v>
      </c>
      <c r="O198" s="3" t="s">
        <v>67</v>
      </c>
      <c r="P198" s="9" t="s">
        <v>78</v>
      </c>
    </row>
    <row r="199" spans="2:16" x14ac:dyDescent="0.25">
      <c r="C199" s="3">
        <v>70</v>
      </c>
      <c r="D199" s="1" t="s">
        <v>318</v>
      </c>
      <c r="F199" s="3" t="s">
        <v>59</v>
      </c>
      <c r="G199" s="4" t="s">
        <v>60</v>
      </c>
      <c r="H199" s="5" t="s">
        <v>70</v>
      </c>
      <c r="I199" s="3" t="s">
        <v>62</v>
      </c>
      <c r="J199" s="2" t="s">
        <v>80</v>
      </c>
      <c r="K199" s="6">
        <v>1</v>
      </c>
      <c r="L199" s="5" t="s">
        <v>64</v>
      </c>
      <c r="M199" s="7" t="s">
        <v>75</v>
      </c>
      <c r="N199" s="8" t="s">
        <v>77</v>
      </c>
      <c r="O199" s="3" t="s">
        <v>67</v>
      </c>
    </row>
    <row r="200" spans="2:16" x14ac:dyDescent="0.25">
      <c r="C200" s="3">
        <v>204</v>
      </c>
      <c r="D200" s="1" t="s">
        <v>319</v>
      </c>
      <c r="F200" s="3" t="s">
        <v>59</v>
      </c>
      <c r="G200" s="4" t="s">
        <v>60</v>
      </c>
      <c r="H200" s="5" t="s">
        <v>70</v>
      </c>
      <c r="I200" s="3" t="s">
        <v>62</v>
      </c>
      <c r="J200" s="2" t="s">
        <v>80</v>
      </c>
      <c r="K200" s="6">
        <v>1</v>
      </c>
      <c r="L200" s="5" t="s">
        <v>64</v>
      </c>
      <c r="M200" s="7" t="s">
        <v>81</v>
      </c>
      <c r="N200" s="8" t="s">
        <v>82</v>
      </c>
      <c r="O200" s="3" t="s">
        <v>67</v>
      </c>
    </row>
    <row r="201" spans="2:16" x14ac:dyDescent="0.25">
      <c r="C201" s="3">
        <v>203</v>
      </c>
      <c r="D201" s="1" t="s">
        <v>320</v>
      </c>
      <c r="F201" s="3" t="s">
        <v>59</v>
      </c>
      <c r="G201" s="4" t="s">
        <v>60</v>
      </c>
      <c r="H201" s="5" t="s">
        <v>70</v>
      </c>
      <c r="I201" s="3" t="s">
        <v>62</v>
      </c>
      <c r="J201" s="2" t="s">
        <v>80</v>
      </c>
      <c r="K201" s="6">
        <v>1</v>
      </c>
      <c r="L201" s="5" t="s">
        <v>64</v>
      </c>
      <c r="M201" s="7" t="s">
        <v>197</v>
      </c>
      <c r="N201" s="8" t="s">
        <v>82</v>
      </c>
      <c r="O201" s="3" t="s">
        <v>67</v>
      </c>
    </row>
    <row r="202" spans="2:16" x14ac:dyDescent="0.25">
      <c r="C202" s="3">
        <v>72</v>
      </c>
      <c r="D202" s="14" t="s">
        <v>321</v>
      </c>
      <c r="F202" s="3" t="s">
        <v>59</v>
      </c>
      <c r="G202" s="4" t="s">
        <v>60</v>
      </c>
      <c r="H202" s="5" t="s">
        <v>70</v>
      </c>
      <c r="I202" s="3" t="s">
        <v>62</v>
      </c>
      <c r="J202" s="4" t="s">
        <v>176</v>
      </c>
      <c r="K202" s="6">
        <v>1</v>
      </c>
      <c r="L202" s="5" t="s">
        <v>64</v>
      </c>
      <c r="M202" s="7" t="s">
        <v>76</v>
      </c>
      <c r="N202" s="8" t="s">
        <v>132</v>
      </c>
      <c r="O202" s="3" t="s">
        <v>67</v>
      </c>
      <c r="P202" s="9" t="s">
        <v>78</v>
      </c>
    </row>
    <row r="203" spans="2:16" x14ac:dyDescent="0.25">
      <c r="C203" s="3">
        <v>73</v>
      </c>
      <c r="D203" s="14" t="s">
        <v>322</v>
      </c>
      <c r="F203" s="3" t="s">
        <v>59</v>
      </c>
      <c r="G203" s="4" t="s">
        <v>60</v>
      </c>
      <c r="H203" s="5" t="s">
        <v>70</v>
      </c>
      <c r="I203" s="3" t="s">
        <v>62</v>
      </c>
      <c r="J203" s="4" t="s">
        <v>80</v>
      </c>
      <c r="K203" s="6">
        <v>1</v>
      </c>
      <c r="L203" s="5" t="s">
        <v>64</v>
      </c>
      <c r="M203" s="7" t="s">
        <v>107</v>
      </c>
      <c r="N203" s="8" t="s">
        <v>182</v>
      </c>
      <c r="O203" s="3" t="s">
        <v>67</v>
      </c>
      <c r="P203" s="9" t="s">
        <v>78</v>
      </c>
    </row>
    <row r="204" spans="2:16" x14ac:dyDescent="0.25">
      <c r="C204" s="3">
        <v>178</v>
      </c>
      <c r="D204" s="1" t="s">
        <v>323</v>
      </c>
      <c r="F204" s="3" t="s">
        <v>59</v>
      </c>
      <c r="G204" s="4" t="s">
        <v>60</v>
      </c>
      <c r="H204" s="5" t="s">
        <v>70</v>
      </c>
      <c r="I204" s="3" t="s">
        <v>62</v>
      </c>
      <c r="J204" s="2" t="s">
        <v>80</v>
      </c>
      <c r="K204" s="6">
        <v>1</v>
      </c>
      <c r="L204" s="5" t="s">
        <v>64</v>
      </c>
      <c r="M204" s="7" t="s">
        <v>129</v>
      </c>
      <c r="N204" s="8" t="s">
        <v>132</v>
      </c>
      <c r="O204" s="3" t="s">
        <v>67</v>
      </c>
    </row>
    <row r="205" spans="2:16" s="11" customFormat="1" x14ac:dyDescent="0.25">
      <c r="B205" s="10"/>
      <c r="C205" s="952" t="s">
        <v>324</v>
      </c>
      <c r="D205" s="952"/>
      <c r="E205" s="952"/>
      <c r="F205" s="10"/>
      <c r="G205" s="12"/>
      <c r="H205" s="13"/>
      <c r="I205" s="10"/>
      <c r="J205" s="12"/>
      <c r="K205" s="12"/>
      <c r="L205" s="13"/>
      <c r="M205" s="10"/>
      <c r="N205" s="10"/>
      <c r="O205" s="10"/>
    </row>
    <row r="206" spans="2:16" x14ac:dyDescent="0.25">
      <c r="C206" s="3">
        <v>91</v>
      </c>
      <c r="D206" s="1" t="s">
        <v>325</v>
      </c>
      <c r="F206" s="3" t="s">
        <v>59</v>
      </c>
      <c r="G206" s="4" t="s">
        <v>60</v>
      </c>
      <c r="H206" s="5" t="s">
        <v>70</v>
      </c>
      <c r="I206" s="3" t="s">
        <v>62</v>
      </c>
      <c r="J206" s="4" t="s">
        <v>88</v>
      </c>
      <c r="K206" s="6">
        <v>1</v>
      </c>
      <c r="L206" s="5" t="s">
        <v>64</v>
      </c>
      <c r="M206" s="7" t="s">
        <v>71</v>
      </c>
      <c r="N206" s="8" t="s">
        <v>132</v>
      </c>
      <c r="O206" s="3" t="s">
        <v>67</v>
      </c>
    </row>
    <row r="207" spans="2:16" x14ac:dyDescent="0.25">
      <c r="C207" s="3">
        <v>92</v>
      </c>
      <c r="D207" s="1" t="s">
        <v>326</v>
      </c>
      <c r="F207" s="3" t="s">
        <v>59</v>
      </c>
      <c r="G207" s="4" t="s">
        <v>60</v>
      </c>
      <c r="H207" s="5" t="s">
        <v>70</v>
      </c>
      <c r="I207" s="3" t="s">
        <v>62</v>
      </c>
      <c r="J207" s="4" t="s">
        <v>88</v>
      </c>
      <c r="K207" s="6">
        <v>1</v>
      </c>
      <c r="L207" s="5" t="s">
        <v>64</v>
      </c>
      <c r="M207" s="7" t="s">
        <v>106</v>
      </c>
      <c r="N207" s="8" t="s">
        <v>132</v>
      </c>
      <c r="O207" s="3" t="s">
        <v>67</v>
      </c>
    </row>
    <row r="208" spans="2:16" x14ac:dyDescent="0.25">
      <c r="C208" s="3">
        <v>93</v>
      </c>
      <c r="D208" s="14" t="s">
        <v>327</v>
      </c>
      <c r="F208" s="3" t="s">
        <v>59</v>
      </c>
      <c r="G208" s="4" t="s">
        <v>60</v>
      </c>
      <c r="H208" s="5" t="s">
        <v>70</v>
      </c>
      <c r="I208" s="3" t="s">
        <v>62</v>
      </c>
      <c r="J208" s="4" t="s">
        <v>88</v>
      </c>
      <c r="K208" s="6">
        <v>1</v>
      </c>
      <c r="L208" s="5" t="s">
        <v>64</v>
      </c>
      <c r="M208" s="7" t="s">
        <v>188</v>
      </c>
      <c r="N208" s="8" t="s">
        <v>132</v>
      </c>
      <c r="O208" s="3" t="s">
        <v>67</v>
      </c>
    </row>
    <row r="209" spans="2:16" x14ac:dyDescent="0.25">
      <c r="C209" s="3">
        <v>94</v>
      </c>
      <c r="D209" s="1" t="s">
        <v>328</v>
      </c>
      <c r="F209" s="3" t="s">
        <v>59</v>
      </c>
      <c r="G209" s="4" t="s">
        <v>60</v>
      </c>
      <c r="H209" s="5" t="s">
        <v>70</v>
      </c>
      <c r="I209" s="3" t="s">
        <v>62</v>
      </c>
      <c r="J209" s="4" t="s">
        <v>80</v>
      </c>
      <c r="K209" s="6">
        <v>1</v>
      </c>
      <c r="L209" s="5" t="s">
        <v>64</v>
      </c>
      <c r="M209" s="7" t="s">
        <v>139</v>
      </c>
      <c r="N209" s="8" t="s">
        <v>132</v>
      </c>
      <c r="O209" s="3" t="s">
        <v>67</v>
      </c>
    </row>
    <row r="210" spans="2:16" x14ac:dyDescent="0.25">
      <c r="C210" s="3">
        <v>95</v>
      </c>
      <c r="D210" s="14" t="s">
        <v>329</v>
      </c>
      <c r="F210" s="3" t="s">
        <v>59</v>
      </c>
      <c r="G210" s="4" t="s">
        <v>60</v>
      </c>
      <c r="H210" s="5" t="s">
        <v>70</v>
      </c>
      <c r="I210" s="3" t="s">
        <v>62</v>
      </c>
      <c r="J210" s="4" t="s">
        <v>80</v>
      </c>
      <c r="K210" s="6">
        <v>1</v>
      </c>
      <c r="L210" s="5" t="s">
        <v>64</v>
      </c>
      <c r="M210" s="7" t="s">
        <v>134</v>
      </c>
      <c r="N210" s="8" t="s">
        <v>132</v>
      </c>
      <c r="O210" s="3" t="s">
        <v>67</v>
      </c>
    </row>
    <row r="211" spans="2:16" x14ac:dyDescent="0.25">
      <c r="C211" s="3">
        <v>96</v>
      </c>
      <c r="D211" s="1" t="s">
        <v>330</v>
      </c>
      <c r="F211" s="3" t="s">
        <v>59</v>
      </c>
      <c r="G211" s="4" t="s">
        <v>60</v>
      </c>
      <c r="H211" s="5" t="s">
        <v>70</v>
      </c>
      <c r="I211" s="3" t="s">
        <v>62</v>
      </c>
      <c r="J211" s="2" t="s">
        <v>71</v>
      </c>
      <c r="K211" s="6">
        <v>1</v>
      </c>
      <c r="L211" s="5" t="s">
        <v>64</v>
      </c>
      <c r="M211" s="7" t="s">
        <v>72</v>
      </c>
      <c r="N211" s="8" t="s">
        <v>77</v>
      </c>
      <c r="O211" s="3" t="s">
        <v>67</v>
      </c>
    </row>
    <row r="212" spans="2:16" x14ac:dyDescent="0.25">
      <c r="C212" s="3">
        <v>90</v>
      </c>
      <c r="D212" s="3" t="s">
        <v>331</v>
      </c>
      <c r="F212" s="3" t="s">
        <v>59</v>
      </c>
      <c r="G212" s="4" t="s">
        <v>60</v>
      </c>
      <c r="H212" s="5" t="s">
        <v>70</v>
      </c>
      <c r="I212" s="3" t="s">
        <v>62</v>
      </c>
      <c r="J212" s="4" t="s">
        <v>197</v>
      </c>
      <c r="K212" s="6">
        <v>1</v>
      </c>
      <c r="L212" s="5" t="s">
        <v>64</v>
      </c>
      <c r="M212" s="7" t="s">
        <v>88</v>
      </c>
      <c r="N212" s="8" t="s">
        <v>132</v>
      </c>
      <c r="O212" s="3" t="s">
        <v>67</v>
      </c>
    </row>
    <row r="213" spans="2:16" x14ac:dyDescent="0.25">
      <c r="C213" s="3">
        <v>97</v>
      </c>
      <c r="D213" s="14" t="s">
        <v>332</v>
      </c>
      <c r="F213" s="3" t="s">
        <v>59</v>
      </c>
      <c r="G213" s="4" t="s">
        <v>60</v>
      </c>
      <c r="H213" s="5" t="s">
        <v>70</v>
      </c>
      <c r="I213" s="3" t="s">
        <v>62</v>
      </c>
      <c r="J213" s="4" t="s">
        <v>106</v>
      </c>
      <c r="K213" s="6">
        <v>1</v>
      </c>
      <c r="L213" s="5" t="s">
        <v>64</v>
      </c>
      <c r="M213" s="7" t="s">
        <v>72</v>
      </c>
      <c r="N213" s="8" t="s">
        <v>132</v>
      </c>
      <c r="O213" s="3" t="s">
        <v>67</v>
      </c>
    </row>
    <row r="214" spans="2:16" x14ac:dyDescent="0.25">
      <c r="C214" s="3">
        <v>98</v>
      </c>
      <c r="D214" s="16" t="s">
        <v>333</v>
      </c>
      <c r="F214" s="3" t="s">
        <v>59</v>
      </c>
      <c r="G214" s="4" t="s">
        <v>60</v>
      </c>
      <c r="H214" s="5" t="s">
        <v>70</v>
      </c>
      <c r="I214" s="3" t="s">
        <v>62</v>
      </c>
      <c r="J214" s="4" t="s">
        <v>101</v>
      </c>
      <c r="K214" s="6">
        <v>1</v>
      </c>
      <c r="L214" s="5" t="s">
        <v>64</v>
      </c>
      <c r="M214" s="7" t="s">
        <v>244</v>
      </c>
      <c r="N214" s="8" t="s">
        <v>132</v>
      </c>
      <c r="O214" s="3" t="s">
        <v>67</v>
      </c>
    </row>
    <row r="215" spans="2:16" x14ac:dyDescent="0.25">
      <c r="C215" s="3">
        <v>99</v>
      </c>
      <c r="D215" s="14" t="s">
        <v>334</v>
      </c>
      <c r="F215" s="3" t="s">
        <v>59</v>
      </c>
      <c r="G215" s="4" t="s">
        <v>60</v>
      </c>
      <c r="H215" s="5" t="s">
        <v>70</v>
      </c>
      <c r="I215" s="3" t="s">
        <v>62</v>
      </c>
      <c r="J215" s="4" t="s">
        <v>88</v>
      </c>
      <c r="K215" s="6">
        <v>1</v>
      </c>
      <c r="L215" s="5" t="s">
        <v>64</v>
      </c>
      <c r="M215" s="7" t="s">
        <v>106</v>
      </c>
      <c r="N215" s="8" t="s">
        <v>132</v>
      </c>
      <c r="O215" s="3" t="s">
        <v>67</v>
      </c>
    </row>
    <row r="216" spans="2:16" s="11" customFormat="1" x14ac:dyDescent="0.25">
      <c r="B216" s="10"/>
      <c r="C216" s="952" t="s">
        <v>335</v>
      </c>
      <c r="D216" s="952"/>
      <c r="E216" s="952"/>
      <c r="F216" s="10"/>
      <c r="G216" s="12"/>
      <c r="H216" s="13"/>
      <c r="I216" s="10"/>
      <c r="J216" s="12"/>
      <c r="K216" s="12"/>
      <c r="L216" s="13"/>
      <c r="M216" s="10"/>
      <c r="N216" s="10"/>
      <c r="O216" s="10"/>
    </row>
    <row r="217" spans="2:16" x14ac:dyDescent="0.25">
      <c r="C217" s="3">
        <v>274</v>
      </c>
      <c r="D217" s="3" t="s">
        <v>336</v>
      </c>
      <c r="F217" s="3" t="s">
        <v>59</v>
      </c>
      <c r="G217" s="4" t="s">
        <v>60</v>
      </c>
      <c r="H217" s="5" t="s">
        <v>160</v>
      </c>
      <c r="I217" s="3" t="s">
        <v>62</v>
      </c>
      <c r="J217" s="4" t="s">
        <v>120</v>
      </c>
      <c r="K217" s="6">
        <v>1</v>
      </c>
      <c r="L217" s="5" t="s">
        <v>64</v>
      </c>
      <c r="M217" s="7" t="s">
        <v>185</v>
      </c>
      <c r="N217" s="8" t="s">
        <v>167</v>
      </c>
      <c r="O217" s="3" t="s">
        <v>67</v>
      </c>
    </row>
    <row r="218" spans="2:16" x14ac:dyDescent="0.25">
      <c r="C218" s="3">
        <v>277</v>
      </c>
      <c r="D218" s="3" t="s">
        <v>337</v>
      </c>
      <c r="F218" s="3" t="s">
        <v>59</v>
      </c>
      <c r="G218" s="4" t="s">
        <v>60</v>
      </c>
      <c r="H218" s="5" t="s">
        <v>160</v>
      </c>
      <c r="I218" s="3" t="s">
        <v>62</v>
      </c>
      <c r="J218" s="4" t="s">
        <v>120</v>
      </c>
      <c r="K218" s="6">
        <v>1</v>
      </c>
      <c r="L218" s="5" t="s">
        <v>64</v>
      </c>
      <c r="M218" s="7" t="s">
        <v>139</v>
      </c>
      <c r="N218" s="8" t="s">
        <v>167</v>
      </c>
      <c r="O218" s="3" t="s">
        <v>67</v>
      </c>
    </row>
    <row r="219" spans="2:16" x14ac:dyDescent="0.25">
      <c r="C219" s="3">
        <v>275</v>
      </c>
      <c r="D219" s="3" t="s">
        <v>338</v>
      </c>
      <c r="F219" s="3" t="s">
        <v>59</v>
      </c>
      <c r="G219" s="4" t="s">
        <v>60</v>
      </c>
      <c r="H219" s="5" t="s">
        <v>160</v>
      </c>
      <c r="I219" s="3" t="s">
        <v>62</v>
      </c>
      <c r="J219" s="4" t="s">
        <v>120</v>
      </c>
      <c r="K219" s="6">
        <v>1</v>
      </c>
      <c r="L219" s="5" t="s">
        <v>64</v>
      </c>
      <c r="M219" s="7" t="s">
        <v>139</v>
      </c>
      <c r="N219" s="8" t="s">
        <v>167</v>
      </c>
      <c r="O219" s="3" t="s">
        <v>67</v>
      </c>
    </row>
    <row r="220" spans="2:16" x14ac:dyDescent="0.25">
      <c r="C220" s="3">
        <v>273</v>
      </c>
      <c r="D220" s="3" t="s">
        <v>339</v>
      </c>
      <c r="F220" s="3" t="s">
        <v>59</v>
      </c>
      <c r="G220" s="4" t="s">
        <v>60</v>
      </c>
      <c r="H220" s="5" t="s">
        <v>158</v>
      </c>
      <c r="I220" s="3" t="s">
        <v>62</v>
      </c>
      <c r="J220" s="4" t="s">
        <v>121</v>
      </c>
      <c r="K220" s="6">
        <v>1</v>
      </c>
      <c r="L220" s="5" t="s">
        <v>64</v>
      </c>
      <c r="M220" s="7" t="s">
        <v>120</v>
      </c>
      <c r="N220" s="8" t="s">
        <v>167</v>
      </c>
      <c r="O220" s="3" t="s">
        <v>67</v>
      </c>
    </row>
    <row r="221" spans="2:16" x14ac:dyDescent="0.25">
      <c r="C221" s="3">
        <v>185</v>
      </c>
      <c r="D221" s="3" t="s">
        <v>340</v>
      </c>
      <c r="F221" s="3" t="s">
        <v>59</v>
      </c>
      <c r="G221" s="4" t="s">
        <v>60</v>
      </c>
      <c r="H221" s="5" t="s">
        <v>160</v>
      </c>
      <c r="I221" s="3" t="s">
        <v>62</v>
      </c>
      <c r="J221" s="4" t="s">
        <v>120</v>
      </c>
      <c r="K221" s="6">
        <v>1</v>
      </c>
      <c r="L221" s="5" t="s">
        <v>64</v>
      </c>
      <c r="M221" s="7" t="s">
        <v>101</v>
      </c>
      <c r="N221" s="8" t="s">
        <v>182</v>
      </c>
      <c r="O221" s="3" t="s">
        <v>67</v>
      </c>
    </row>
    <row r="222" spans="2:16" s="11" customFormat="1" x14ac:dyDescent="0.25">
      <c r="B222" s="10"/>
      <c r="C222" s="952" t="s">
        <v>341</v>
      </c>
      <c r="D222" s="952"/>
      <c r="E222" s="952"/>
      <c r="F222" s="10"/>
      <c r="G222" s="12"/>
      <c r="H222" s="13"/>
      <c r="I222" s="10"/>
      <c r="J222" s="12"/>
      <c r="K222" s="12"/>
      <c r="L222" s="13"/>
      <c r="M222" s="10"/>
      <c r="N222" s="10"/>
      <c r="O222" s="10"/>
    </row>
    <row r="223" spans="2:16" x14ac:dyDescent="0.25">
      <c r="C223" s="3">
        <v>8</v>
      </c>
      <c r="D223" s="1" t="s">
        <v>342</v>
      </c>
      <c r="F223" s="3" t="s">
        <v>59</v>
      </c>
      <c r="G223" s="4" t="s">
        <v>60</v>
      </c>
      <c r="H223" s="5" t="s">
        <v>70</v>
      </c>
      <c r="I223" s="3" t="s">
        <v>62</v>
      </c>
      <c r="J223" s="2" t="s">
        <v>94</v>
      </c>
      <c r="K223" s="6">
        <v>1</v>
      </c>
      <c r="L223" s="5" t="s">
        <v>64</v>
      </c>
      <c r="M223" s="7" t="s">
        <v>75</v>
      </c>
      <c r="N223" s="8" t="s">
        <v>77</v>
      </c>
      <c r="O223" s="3" t="s">
        <v>67</v>
      </c>
      <c r="P223" s="9" t="s">
        <v>78</v>
      </c>
    </row>
    <row r="224" spans="2:16" x14ac:dyDescent="0.25">
      <c r="C224" s="3">
        <v>229</v>
      </c>
      <c r="D224" s="1" t="s">
        <v>343</v>
      </c>
      <c r="F224" s="3" t="s">
        <v>59</v>
      </c>
      <c r="G224" s="4" t="s">
        <v>60</v>
      </c>
      <c r="H224" s="5" t="s">
        <v>70</v>
      </c>
      <c r="I224" s="3" t="s">
        <v>62</v>
      </c>
      <c r="J224" s="2" t="s">
        <v>94</v>
      </c>
      <c r="K224" s="6">
        <v>1</v>
      </c>
      <c r="L224" s="5" t="s">
        <v>64</v>
      </c>
      <c r="M224" s="7" t="s">
        <v>94</v>
      </c>
      <c r="N224" s="8" t="s">
        <v>77</v>
      </c>
      <c r="O224" s="3" t="s">
        <v>86</v>
      </c>
    </row>
    <row r="225" spans="2:16" x14ac:dyDescent="0.25">
      <c r="C225" s="3">
        <v>260</v>
      </c>
      <c r="D225" s="1" t="s">
        <v>344</v>
      </c>
      <c r="F225" s="3" t="s">
        <v>59</v>
      </c>
      <c r="G225" s="4" t="s">
        <v>60</v>
      </c>
      <c r="H225" s="5" t="s">
        <v>70</v>
      </c>
      <c r="I225" s="3" t="s">
        <v>62</v>
      </c>
      <c r="J225" s="4" t="s">
        <v>91</v>
      </c>
      <c r="K225" s="6">
        <v>1</v>
      </c>
      <c r="L225" s="5" t="s">
        <v>64</v>
      </c>
      <c r="M225" s="7" t="s">
        <v>88</v>
      </c>
      <c r="N225" s="8" t="s">
        <v>92</v>
      </c>
      <c r="O225" s="3" t="s">
        <v>67</v>
      </c>
    </row>
    <row r="226" spans="2:16" x14ac:dyDescent="0.25">
      <c r="C226" s="3">
        <v>261</v>
      </c>
      <c r="D226" s="1" t="s">
        <v>345</v>
      </c>
      <c r="F226" s="3" t="s">
        <v>59</v>
      </c>
      <c r="G226" s="4" t="s">
        <v>60</v>
      </c>
      <c r="H226" s="5" t="s">
        <v>70</v>
      </c>
      <c r="I226" s="3" t="s">
        <v>62</v>
      </c>
      <c r="J226" s="4" t="s">
        <v>91</v>
      </c>
      <c r="K226" s="6">
        <v>0</v>
      </c>
      <c r="L226" s="5" t="s">
        <v>64</v>
      </c>
      <c r="M226" s="7" t="s">
        <v>99</v>
      </c>
      <c r="N226" s="8" t="s">
        <v>92</v>
      </c>
      <c r="O226" s="3" t="s">
        <v>67</v>
      </c>
    </row>
    <row r="227" spans="2:16" x14ac:dyDescent="0.25">
      <c r="C227" s="3">
        <v>259</v>
      </c>
      <c r="D227" s="1" t="s">
        <v>346</v>
      </c>
      <c r="F227" s="3" t="s">
        <v>59</v>
      </c>
      <c r="G227" s="4" t="s">
        <v>60</v>
      </c>
      <c r="H227" s="5" t="s">
        <v>70</v>
      </c>
      <c r="I227" s="3" t="s">
        <v>62</v>
      </c>
      <c r="J227" s="4" t="s">
        <v>101</v>
      </c>
      <c r="K227" s="6">
        <v>1</v>
      </c>
      <c r="L227" s="5" t="s">
        <v>64</v>
      </c>
      <c r="M227" s="7" t="s">
        <v>94</v>
      </c>
      <c r="N227" s="8" t="s">
        <v>92</v>
      </c>
      <c r="O227" s="3" t="s">
        <v>67</v>
      </c>
    </row>
    <row r="228" spans="2:16" x14ac:dyDescent="0.25">
      <c r="C228" s="3">
        <v>9</v>
      </c>
      <c r="D228" s="1" t="s">
        <v>347</v>
      </c>
      <c r="F228" s="3" t="s">
        <v>59</v>
      </c>
      <c r="G228" s="4" t="s">
        <v>60</v>
      </c>
      <c r="H228" s="5" t="s">
        <v>70</v>
      </c>
      <c r="I228" s="3" t="s">
        <v>62</v>
      </c>
      <c r="J228" s="2" t="s">
        <v>94</v>
      </c>
      <c r="K228" s="6">
        <v>1</v>
      </c>
      <c r="L228" s="5" t="s">
        <v>64</v>
      </c>
      <c r="M228" s="7" t="s">
        <v>97</v>
      </c>
      <c r="N228" s="8" t="s">
        <v>77</v>
      </c>
      <c r="O228" s="3" t="s">
        <v>67</v>
      </c>
      <c r="P228" s="9" t="s">
        <v>78</v>
      </c>
    </row>
    <row r="229" spans="2:16" x14ac:dyDescent="0.25">
      <c r="C229" s="3">
        <v>10</v>
      </c>
      <c r="D229" s="1" t="s">
        <v>348</v>
      </c>
      <c r="F229" s="3" t="s">
        <v>59</v>
      </c>
      <c r="G229" s="4" t="s">
        <v>60</v>
      </c>
      <c r="H229" s="5" t="s">
        <v>70</v>
      </c>
      <c r="I229" s="3" t="s">
        <v>62</v>
      </c>
      <c r="J229" s="2" t="s">
        <v>94</v>
      </c>
      <c r="K229" s="6">
        <v>1</v>
      </c>
      <c r="L229" s="5" t="s">
        <v>64</v>
      </c>
      <c r="M229" s="7" t="s">
        <v>176</v>
      </c>
      <c r="N229" s="8" t="s">
        <v>77</v>
      </c>
      <c r="O229" s="3" t="s">
        <v>67</v>
      </c>
      <c r="P229" s="9" t="s">
        <v>78</v>
      </c>
    </row>
    <row r="230" spans="2:16" x14ac:dyDescent="0.25">
      <c r="C230" s="3">
        <v>12</v>
      </c>
      <c r="D230" s="14" t="s">
        <v>349</v>
      </c>
      <c r="F230" s="3" t="s">
        <v>59</v>
      </c>
      <c r="G230" s="4" t="s">
        <v>60</v>
      </c>
      <c r="H230" s="5" t="s">
        <v>70</v>
      </c>
      <c r="I230" s="3" t="s">
        <v>62</v>
      </c>
      <c r="J230" s="4" t="s">
        <v>95</v>
      </c>
      <c r="K230" s="6">
        <v>1</v>
      </c>
      <c r="L230" s="5" t="s">
        <v>64</v>
      </c>
      <c r="M230" s="7" t="s">
        <v>107</v>
      </c>
      <c r="N230" s="8" t="s">
        <v>182</v>
      </c>
      <c r="O230" s="3" t="s">
        <v>67</v>
      </c>
      <c r="P230" s="9" t="s">
        <v>78</v>
      </c>
    </row>
    <row r="231" spans="2:16" x14ac:dyDescent="0.25">
      <c r="C231" s="3">
        <v>49</v>
      </c>
      <c r="D231" s="1" t="s">
        <v>350</v>
      </c>
      <c r="F231" s="3" t="s">
        <v>59</v>
      </c>
      <c r="G231" s="4" t="s">
        <v>60</v>
      </c>
      <c r="H231" s="5" t="s">
        <v>70</v>
      </c>
      <c r="I231" s="3" t="s">
        <v>62</v>
      </c>
      <c r="J231" s="2" t="s">
        <v>91</v>
      </c>
      <c r="K231" s="6">
        <v>1</v>
      </c>
      <c r="L231" s="5" t="s">
        <v>64</v>
      </c>
      <c r="M231" s="7" t="s">
        <v>176</v>
      </c>
      <c r="N231" s="8" t="s">
        <v>77</v>
      </c>
      <c r="O231" s="3" t="s">
        <v>67</v>
      </c>
      <c r="P231" s="9" t="s">
        <v>78</v>
      </c>
    </row>
    <row r="232" spans="2:16" x14ac:dyDescent="0.25">
      <c r="C232" s="3">
        <v>50</v>
      </c>
      <c r="D232" s="1" t="s">
        <v>351</v>
      </c>
      <c r="F232" s="3" t="s">
        <v>59</v>
      </c>
      <c r="G232" s="4" t="s">
        <v>60</v>
      </c>
      <c r="H232" s="5" t="s">
        <v>70</v>
      </c>
      <c r="I232" s="3" t="s">
        <v>62</v>
      </c>
      <c r="J232" s="2" t="s">
        <v>95</v>
      </c>
      <c r="K232" s="6">
        <v>1</v>
      </c>
      <c r="L232" s="5" t="s">
        <v>64</v>
      </c>
      <c r="M232" s="7" t="s">
        <v>129</v>
      </c>
      <c r="N232" s="8" t="s">
        <v>77</v>
      </c>
      <c r="O232" s="3" t="s">
        <v>67</v>
      </c>
      <c r="P232" s="9" t="s">
        <v>78</v>
      </c>
    </row>
    <row r="233" spans="2:16" x14ac:dyDescent="0.25">
      <c r="C233" s="3">
        <v>11</v>
      </c>
      <c r="D233" s="1" t="s">
        <v>352</v>
      </c>
      <c r="F233" s="3" t="s">
        <v>59</v>
      </c>
      <c r="G233" s="4" t="s">
        <v>60</v>
      </c>
      <c r="H233" s="5" t="s">
        <v>70</v>
      </c>
      <c r="I233" s="3" t="s">
        <v>62</v>
      </c>
      <c r="J233" s="2" t="s">
        <v>94</v>
      </c>
      <c r="K233" s="6">
        <v>1</v>
      </c>
      <c r="L233" s="5" t="s">
        <v>64</v>
      </c>
      <c r="M233" s="7" t="s">
        <v>81</v>
      </c>
      <c r="N233" s="8" t="s">
        <v>77</v>
      </c>
      <c r="O233" s="3" t="s">
        <v>67</v>
      </c>
      <c r="P233" s="9" t="s">
        <v>78</v>
      </c>
    </row>
    <row r="234" spans="2:16" x14ac:dyDescent="0.25">
      <c r="C234" s="3">
        <v>263</v>
      </c>
      <c r="D234" s="1" t="s">
        <v>353</v>
      </c>
      <c r="F234" s="3" t="s">
        <v>59</v>
      </c>
      <c r="G234" s="4" t="s">
        <v>60</v>
      </c>
      <c r="H234" s="5" t="s">
        <v>70</v>
      </c>
      <c r="I234" s="3" t="s">
        <v>62</v>
      </c>
      <c r="J234" s="2" t="s">
        <v>94</v>
      </c>
      <c r="K234" s="6">
        <v>1</v>
      </c>
      <c r="L234" s="5" t="s">
        <v>64</v>
      </c>
      <c r="M234" s="7" t="s">
        <v>101</v>
      </c>
      <c r="N234" s="8" t="s">
        <v>92</v>
      </c>
      <c r="O234" s="3" t="s">
        <v>67</v>
      </c>
    </row>
    <row r="235" spans="2:16" x14ac:dyDescent="0.25">
      <c r="C235" s="3">
        <v>195</v>
      </c>
      <c r="D235" s="1" t="s">
        <v>354</v>
      </c>
      <c r="F235" s="3" t="s">
        <v>59</v>
      </c>
      <c r="G235" s="4" t="s">
        <v>60</v>
      </c>
      <c r="H235" s="5" t="s">
        <v>70</v>
      </c>
      <c r="I235" s="3" t="s">
        <v>62</v>
      </c>
      <c r="J235" s="2" t="s">
        <v>95</v>
      </c>
      <c r="K235" s="6">
        <v>1</v>
      </c>
      <c r="L235" s="5" t="s">
        <v>64</v>
      </c>
      <c r="M235" s="7" t="s">
        <v>176</v>
      </c>
      <c r="N235" s="8" t="s">
        <v>77</v>
      </c>
      <c r="O235" s="3" t="s">
        <v>67</v>
      </c>
    </row>
    <row r="236" spans="2:16" x14ac:dyDescent="0.25">
      <c r="C236" s="3">
        <v>56</v>
      </c>
      <c r="D236" s="1" t="s">
        <v>355</v>
      </c>
      <c r="F236" s="3" t="s">
        <v>59</v>
      </c>
      <c r="G236" s="4" t="s">
        <v>60</v>
      </c>
      <c r="H236" s="5" t="s">
        <v>70</v>
      </c>
      <c r="I236" s="3" t="s">
        <v>62</v>
      </c>
      <c r="J236" s="2" t="s">
        <v>94</v>
      </c>
      <c r="K236" s="6">
        <v>1</v>
      </c>
      <c r="L236" s="5" t="s">
        <v>64</v>
      </c>
      <c r="M236" s="7" t="s">
        <v>101</v>
      </c>
      <c r="N236" s="8" t="s">
        <v>77</v>
      </c>
      <c r="O236" s="3" t="s">
        <v>67</v>
      </c>
      <c r="P236" s="9" t="s">
        <v>78</v>
      </c>
    </row>
    <row r="237" spans="2:16" s="11" customFormat="1" x14ac:dyDescent="0.25">
      <c r="B237" s="10"/>
      <c r="C237" s="952" t="s">
        <v>356</v>
      </c>
      <c r="D237" s="952"/>
      <c r="E237" s="952"/>
      <c r="F237" s="10"/>
      <c r="G237" s="12"/>
      <c r="H237" s="13"/>
      <c r="I237" s="10"/>
      <c r="J237" s="12"/>
      <c r="K237" s="12"/>
      <c r="L237" s="13"/>
      <c r="M237" s="10"/>
      <c r="N237" s="10"/>
      <c r="O237" s="10"/>
    </row>
    <row r="238" spans="2:16" x14ac:dyDescent="0.25">
      <c r="C238" s="3">
        <v>177</v>
      </c>
      <c r="D238" s="3" t="s">
        <v>357</v>
      </c>
      <c r="F238" s="3" t="s">
        <v>59</v>
      </c>
      <c r="G238" s="4" t="s">
        <v>60</v>
      </c>
      <c r="H238" s="5" t="s">
        <v>158</v>
      </c>
      <c r="I238" s="3" t="s">
        <v>62</v>
      </c>
      <c r="J238" s="4" t="s">
        <v>90</v>
      </c>
      <c r="K238" s="6">
        <v>1</v>
      </c>
      <c r="L238" s="5" t="s">
        <v>64</v>
      </c>
      <c r="M238" s="7" t="s">
        <v>94</v>
      </c>
      <c r="N238" s="8" t="s">
        <v>182</v>
      </c>
      <c r="O238" s="3" t="s">
        <v>67</v>
      </c>
    </row>
    <row r="239" spans="2:16" x14ac:dyDescent="0.25">
      <c r="C239" s="3">
        <v>111</v>
      </c>
      <c r="D239" s="3" t="s">
        <v>358</v>
      </c>
      <c r="F239" s="3" t="s">
        <v>59</v>
      </c>
      <c r="G239" s="4" t="s">
        <v>60</v>
      </c>
      <c r="H239" s="5" t="s">
        <v>160</v>
      </c>
      <c r="I239" s="3" t="s">
        <v>62</v>
      </c>
      <c r="J239" s="4" t="s">
        <v>120</v>
      </c>
      <c r="K239" s="6">
        <v>1</v>
      </c>
      <c r="L239" s="5" t="s">
        <v>64</v>
      </c>
      <c r="M239" s="7" t="s">
        <v>121</v>
      </c>
      <c r="N239" s="8" t="s">
        <v>182</v>
      </c>
      <c r="O239" s="3" t="s">
        <v>67</v>
      </c>
    </row>
    <row r="240" spans="2:16" x14ac:dyDescent="0.25">
      <c r="C240" s="3">
        <v>112</v>
      </c>
      <c r="D240" s="3" t="s">
        <v>359</v>
      </c>
      <c r="F240" s="3" t="s">
        <v>59</v>
      </c>
      <c r="G240" s="4" t="s">
        <v>60</v>
      </c>
      <c r="H240" s="5" t="s">
        <v>160</v>
      </c>
      <c r="I240" s="3" t="s">
        <v>62</v>
      </c>
      <c r="J240" s="4" t="s">
        <v>120</v>
      </c>
      <c r="K240" s="6">
        <v>1</v>
      </c>
      <c r="L240" s="5" t="s">
        <v>64</v>
      </c>
      <c r="M240" s="7" t="s">
        <v>94</v>
      </c>
      <c r="N240" s="8" t="s">
        <v>182</v>
      </c>
      <c r="O240" s="3" t="s">
        <v>67</v>
      </c>
    </row>
    <row r="241" spans="2:15" x14ac:dyDescent="0.25">
      <c r="C241" s="3">
        <v>113</v>
      </c>
      <c r="D241" s="3" t="s">
        <v>360</v>
      </c>
      <c r="F241" s="3" t="s">
        <v>59</v>
      </c>
      <c r="G241" s="4" t="s">
        <v>60</v>
      </c>
      <c r="H241" s="5" t="s">
        <v>158</v>
      </c>
      <c r="I241" s="3" t="s">
        <v>62</v>
      </c>
      <c r="J241" s="4" t="s">
        <v>120</v>
      </c>
      <c r="K241" s="6">
        <v>1</v>
      </c>
      <c r="L241" s="5" t="s">
        <v>64</v>
      </c>
      <c r="M241" s="7" t="s">
        <v>120</v>
      </c>
      <c r="N241" s="8" t="s">
        <v>182</v>
      </c>
      <c r="O241" s="3" t="s">
        <v>67</v>
      </c>
    </row>
    <row r="242" spans="2:15" x14ac:dyDescent="0.25">
      <c r="C242" s="3">
        <v>114</v>
      </c>
      <c r="D242" s="3" t="s">
        <v>361</v>
      </c>
      <c r="F242" s="3" t="s">
        <v>59</v>
      </c>
      <c r="G242" s="4" t="s">
        <v>60</v>
      </c>
      <c r="H242" s="5" t="s">
        <v>160</v>
      </c>
      <c r="I242" s="3" t="s">
        <v>62</v>
      </c>
      <c r="J242" s="4" t="s">
        <v>120</v>
      </c>
      <c r="K242" s="6">
        <v>1</v>
      </c>
      <c r="L242" s="5" t="s">
        <v>64</v>
      </c>
      <c r="M242" s="7" t="s">
        <v>94</v>
      </c>
      <c r="N242" s="8" t="s">
        <v>182</v>
      </c>
      <c r="O242" s="3" t="s">
        <v>67</v>
      </c>
    </row>
    <row r="243" spans="2:15" x14ac:dyDescent="0.25">
      <c r="C243" s="3">
        <v>176</v>
      </c>
      <c r="D243" s="3" t="s">
        <v>362</v>
      </c>
      <c r="F243" s="3" t="s">
        <v>59</v>
      </c>
      <c r="G243" s="4" t="s">
        <v>60</v>
      </c>
      <c r="H243" s="5" t="s">
        <v>160</v>
      </c>
      <c r="I243" s="3" t="s">
        <v>62</v>
      </c>
      <c r="J243" s="4" t="s">
        <v>120</v>
      </c>
      <c r="K243" s="6">
        <v>1</v>
      </c>
      <c r="L243" s="5" t="s">
        <v>64</v>
      </c>
      <c r="M243" s="7" t="s">
        <v>60</v>
      </c>
      <c r="N243" s="8" t="s">
        <v>182</v>
      </c>
      <c r="O243" s="3" t="s">
        <v>67</v>
      </c>
    </row>
    <row r="244" spans="2:15" x14ac:dyDescent="0.25">
      <c r="C244" s="3">
        <v>115</v>
      </c>
      <c r="D244" s="3" t="s">
        <v>363</v>
      </c>
      <c r="F244" s="3" t="s">
        <v>59</v>
      </c>
      <c r="G244" s="4" t="s">
        <v>60</v>
      </c>
      <c r="H244" s="5" t="s">
        <v>160</v>
      </c>
      <c r="I244" s="3" t="s">
        <v>62</v>
      </c>
      <c r="J244" s="4" t="s">
        <v>120</v>
      </c>
      <c r="K244" s="6">
        <v>1</v>
      </c>
      <c r="L244" s="5" t="s">
        <v>64</v>
      </c>
      <c r="M244" s="7" t="s">
        <v>94</v>
      </c>
      <c r="N244" s="8" t="s">
        <v>182</v>
      </c>
      <c r="O244" s="3" t="s">
        <v>67</v>
      </c>
    </row>
    <row r="245" spans="2:15" x14ac:dyDescent="0.25">
      <c r="C245" s="3">
        <v>116</v>
      </c>
      <c r="D245" s="3" t="s">
        <v>364</v>
      </c>
      <c r="F245" s="3" t="s">
        <v>59</v>
      </c>
      <c r="G245" s="4" t="s">
        <v>60</v>
      </c>
      <c r="H245" s="5" t="s">
        <v>160</v>
      </c>
      <c r="I245" s="3" t="s">
        <v>62</v>
      </c>
      <c r="J245" s="4" t="s">
        <v>120</v>
      </c>
      <c r="K245" s="6">
        <v>1</v>
      </c>
      <c r="L245" s="5" t="s">
        <v>64</v>
      </c>
      <c r="M245" s="7" t="s">
        <v>94</v>
      </c>
      <c r="N245" s="8" t="s">
        <v>182</v>
      </c>
      <c r="O245" s="3" t="s">
        <v>67</v>
      </c>
    </row>
    <row r="246" spans="2:15" x14ac:dyDescent="0.25">
      <c r="C246" s="3">
        <v>117</v>
      </c>
      <c r="D246" s="3" t="s">
        <v>365</v>
      </c>
      <c r="F246" s="3" t="s">
        <v>59</v>
      </c>
      <c r="G246" s="4" t="s">
        <v>60</v>
      </c>
      <c r="H246" s="5" t="s">
        <v>160</v>
      </c>
      <c r="I246" s="3" t="s">
        <v>62</v>
      </c>
      <c r="J246" s="4" t="s">
        <v>120</v>
      </c>
      <c r="K246" s="6">
        <v>1</v>
      </c>
      <c r="L246" s="5" t="s">
        <v>64</v>
      </c>
      <c r="M246" s="7" t="s">
        <v>121</v>
      </c>
      <c r="N246" s="8" t="s">
        <v>182</v>
      </c>
      <c r="O246" s="3" t="s">
        <v>67</v>
      </c>
    </row>
    <row r="247" spans="2:15" x14ac:dyDescent="0.25">
      <c r="C247" s="3">
        <v>118</v>
      </c>
      <c r="D247" s="3" t="s">
        <v>366</v>
      </c>
      <c r="F247" s="3" t="s">
        <v>59</v>
      </c>
      <c r="G247" s="4" t="s">
        <v>60</v>
      </c>
      <c r="H247" s="5" t="s">
        <v>160</v>
      </c>
      <c r="I247" s="3" t="s">
        <v>62</v>
      </c>
      <c r="J247" s="4" t="s">
        <v>120</v>
      </c>
      <c r="K247" s="6">
        <v>1</v>
      </c>
      <c r="L247" s="5" t="s">
        <v>64</v>
      </c>
      <c r="M247" s="7" t="s">
        <v>94</v>
      </c>
      <c r="N247" s="8" t="s">
        <v>182</v>
      </c>
      <c r="O247" s="3" t="s">
        <v>67</v>
      </c>
    </row>
    <row r="248" spans="2:15" s="11" customFormat="1" x14ac:dyDescent="0.25">
      <c r="B248" s="10"/>
      <c r="C248" s="952" t="s">
        <v>367</v>
      </c>
      <c r="D248" s="952"/>
      <c r="E248" s="952"/>
      <c r="F248" s="10"/>
      <c r="G248" s="12"/>
      <c r="H248" s="13"/>
      <c r="I248" s="10"/>
      <c r="J248" s="12"/>
      <c r="K248" s="12"/>
      <c r="L248" s="13"/>
      <c r="M248" s="10"/>
      <c r="N248" s="10"/>
      <c r="O248" s="10"/>
    </row>
    <row r="249" spans="2:15" x14ac:dyDescent="0.25">
      <c r="C249" s="3">
        <v>174</v>
      </c>
      <c r="D249" s="3" t="s">
        <v>368</v>
      </c>
      <c r="F249" s="3" t="s">
        <v>59</v>
      </c>
      <c r="G249" s="4" t="s">
        <v>60</v>
      </c>
      <c r="H249" s="5" t="s">
        <v>70</v>
      </c>
      <c r="I249" s="3" t="s">
        <v>62</v>
      </c>
      <c r="J249" s="4" t="s">
        <v>115</v>
      </c>
      <c r="K249" s="6">
        <v>1</v>
      </c>
      <c r="L249" s="5" t="s">
        <v>64</v>
      </c>
      <c r="M249" s="7" t="s">
        <v>249</v>
      </c>
      <c r="N249" s="8" t="s">
        <v>369</v>
      </c>
      <c r="O249" s="3" t="s">
        <v>67</v>
      </c>
    </row>
    <row r="250" spans="2:15" x14ac:dyDescent="0.25">
      <c r="C250" s="3">
        <v>145</v>
      </c>
      <c r="D250" s="16" t="s">
        <v>370</v>
      </c>
      <c r="F250" s="3" t="s">
        <v>123</v>
      </c>
      <c r="G250" s="4" t="s">
        <v>60</v>
      </c>
      <c r="H250" s="5" t="s">
        <v>70</v>
      </c>
      <c r="I250" s="3" t="s">
        <v>62</v>
      </c>
      <c r="J250" s="17" t="s">
        <v>115</v>
      </c>
      <c r="K250" s="6">
        <v>1</v>
      </c>
      <c r="L250" s="5" t="s">
        <v>64</v>
      </c>
      <c r="M250" s="7" t="s">
        <v>249</v>
      </c>
      <c r="N250" s="8" t="s">
        <v>132</v>
      </c>
      <c r="O250" s="3" t="s">
        <v>67</v>
      </c>
    </row>
    <row r="251" spans="2:15" x14ac:dyDescent="0.25">
      <c r="C251" s="3">
        <v>146</v>
      </c>
      <c r="D251" s="16" t="s">
        <v>371</v>
      </c>
      <c r="F251" s="3" t="s">
        <v>59</v>
      </c>
      <c r="G251" s="4" t="s">
        <v>60</v>
      </c>
      <c r="H251" s="5" t="s">
        <v>70</v>
      </c>
      <c r="I251" s="3" t="s">
        <v>62</v>
      </c>
      <c r="J251" s="17" t="s">
        <v>115</v>
      </c>
      <c r="K251" s="6">
        <v>1</v>
      </c>
      <c r="L251" s="5" t="s">
        <v>64</v>
      </c>
      <c r="M251" s="7" t="s">
        <v>249</v>
      </c>
      <c r="N251" s="8" t="s">
        <v>132</v>
      </c>
      <c r="O251" s="3" t="s">
        <v>67</v>
      </c>
    </row>
    <row r="252" spans="2:15" x14ac:dyDescent="0.25">
      <c r="C252" s="3">
        <v>147</v>
      </c>
      <c r="D252" s="16" t="s">
        <v>372</v>
      </c>
      <c r="F252" s="3" t="s">
        <v>59</v>
      </c>
      <c r="G252" s="4" t="s">
        <v>60</v>
      </c>
      <c r="H252" s="5" t="s">
        <v>70</v>
      </c>
      <c r="I252" s="3" t="s">
        <v>62</v>
      </c>
      <c r="J252" s="17" t="s">
        <v>373</v>
      </c>
      <c r="K252" s="6">
        <v>1</v>
      </c>
      <c r="L252" s="5" t="s">
        <v>64</v>
      </c>
      <c r="M252" s="7" t="s">
        <v>72</v>
      </c>
      <c r="N252" s="8" t="s">
        <v>132</v>
      </c>
      <c r="O252" s="3" t="s">
        <v>67</v>
      </c>
    </row>
    <row r="253" spans="2:15" x14ac:dyDescent="0.25">
      <c r="C253" s="3">
        <v>148</v>
      </c>
      <c r="D253" s="16" t="s">
        <v>374</v>
      </c>
      <c r="F253" s="3" t="s">
        <v>59</v>
      </c>
      <c r="G253" s="4" t="s">
        <v>60</v>
      </c>
      <c r="H253" s="5" t="s">
        <v>70</v>
      </c>
      <c r="I253" s="3" t="s">
        <v>62</v>
      </c>
      <c r="J253" s="17" t="s">
        <v>373</v>
      </c>
      <c r="K253" s="6">
        <v>1</v>
      </c>
      <c r="L253" s="5" t="s">
        <v>64</v>
      </c>
      <c r="M253" s="7" t="s">
        <v>72</v>
      </c>
      <c r="N253" s="8" t="s">
        <v>132</v>
      </c>
      <c r="O253" s="3" t="s">
        <v>67</v>
      </c>
    </row>
    <row r="254" spans="2:15" x14ac:dyDescent="0.25">
      <c r="C254" s="3">
        <v>237</v>
      </c>
      <c r="D254" s="3" t="s">
        <v>375</v>
      </c>
      <c r="F254" s="3" t="s">
        <v>59</v>
      </c>
      <c r="G254" s="4" t="s">
        <v>60</v>
      </c>
      <c r="H254" s="5" t="s">
        <v>376</v>
      </c>
      <c r="I254" s="3" t="s">
        <v>62</v>
      </c>
      <c r="J254" s="4" t="s">
        <v>115</v>
      </c>
      <c r="K254" s="6">
        <v>1</v>
      </c>
      <c r="L254" s="5" t="s">
        <v>64</v>
      </c>
      <c r="M254" s="7" t="s">
        <v>197</v>
      </c>
      <c r="N254" s="8" t="s">
        <v>314</v>
      </c>
      <c r="O254" s="3" t="s">
        <v>67</v>
      </c>
    </row>
    <row r="255" spans="2:15" x14ac:dyDescent="0.25">
      <c r="C255" s="3">
        <v>238</v>
      </c>
      <c r="D255" s="3" t="s">
        <v>377</v>
      </c>
      <c r="F255" s="3" t="s">
        <v>59</v>
      </c>
      <c r="G255" s="4" t="s">
        <v>60</v>
      </c>
      <c r="H255" s="5" t="s">
        <v>376</v>
      </c>
      <c r="I255" s="3" t="s">
        <v>62</v>
      </c>
      <c r="J255" s="4" t="s">
        <v>115</v>
      </c>
      <c r="K255" s="6">
        <v>1</v>
      </c>
      <c r="L255" s="5" t="s">
        <v>64</v>
      </c>
      <c r="M255" s="7" t="s">
        <v>71</v>
      </c>
      <c r="N255" s="8" t="s">
        <v>314</v>
      </c>
      <c r="O255" s="3" t="s">
        <v>67</v>
      </c>
    </row>
    <row r="256" spans="2:15" x14ac:dyDescent="0.25">
      <c r="C256" s="3">
        <v>141</v>
      </c>
      <c r="D256" s="16" t="s">
        <v>378</v>
      </c>
      <c r="F256" s="3" t="s">
        <v>59</v>
      </c>
      <c r="G256" s="4" t="s">
        <v>60</v>
      </c>
      <c r="H256" s="5" t="s">
        <v>70</v>
      </c>
      <c r="I256" s="3" t="s">
        <v>62</v>
      </c>
      <c r="J256" s="17" t="s">
        <v>115</v>
      </c>
      <c r="K256" s="6">
        <v>1</v>
      </c>
      <c r="L256" s="5" t="s">
        <v>64</v>
      </c>
      <c r="M256" s="7" t="s">
        <v>249</v>
      </c>
      <c r="N256" s="8" t="s">
        <v>132</v>
      </c>
      <c r="O256" s="3" t="s">
        <v>67</v>
      </c>
    </row>
    <row r="257" spans="3:15" x14ac:dyDescent="0.25">
      <c r="C257" s="3">
        <v>142</v>
      </c>
      <c r="D257" s="16" t="s">
        <v>379</v>
      </c>
      <c r="F257" s="3" t="s">
        <v>59</v>
      </c>
      <c r="G257" s="4" t="s">
        <v>60</v>
      </c>
      <c r="H257" s="5" t="s">
        <v>70</v>
      </c>
      <c r="I257" s="3" t="s">
        <v>62</v>
      </c>
      <c r="J257" s="17" t="s">
        <v>115</v>
      </c>
      <c r="K257" s="6">
        <v>1</v>
      </c>
      <c r="L257" s="5" t="s">
        <v>64</v>
      </c>
      <c r="M257" s="7" t="s">
        <v>134</v>
      </c>
      <c r="N257" s="8" t="s">
        <v>132</v>
      </c>
      <c r="O257" s="3" t="s">
        <v>67</v>
      </c>
    </row>
    <row r="258" spans="3:15" x14ac:dyDescent="0.25">
      <c r="C258" s="3">
        <v>143</v>
      </c>
      <c r="D258" s="16" t="s">
        <v>380</v>
      </c>
      <c r="F258" s="3" t="s">
        <v>59</v>
      </c>
      <c r="G258" s="4" t="s">
        <v>60</v>
      </c>
      <c r="H258" s="5" t="s">
        <v>70</v>
      </c>
      <c r="I258" s="3" t="s">
        <v>62</v>
      </c>
      <c r="J258" s="17" t="s">
        <v>373</v>
      </c>
      <c r="K258" s="6">
        <v>1</v>
      </c>
      <c r="L258" s="5" t="s">
        <v>64</v>
      </c>
      <c r="M258" s="7" t="s">
        <v>244</v>
      </c>
      <c r="N258" s="8" t="s">
        <v>132</v>
      </c>
      <c r="O258" s="3" t="s">
        <v>67</v>
      </c>
    </row>
    <row r="259" spans="3:15" x14ac:dyDescent="0.25">
      <c r="C259" s="3">
        <v>144</v>
      </c>
      <c r="D259" s="16" t="s">
        <v>381</v>
      </c>
      <c r="F259" s="3" t="s">
        <v>59</v>
      </c>
      <c r="G259" s="4" t="s">
        <v>60</v>
      </c>
      <c r="H259" s="5" t="s">
        <v>70</v>
      </c>
      <c r="I259" s="3" t="s">
        <v>62</v>
      </c>
      <c r="J259" s="17" t="s">
        <v>373</v>
      </c>
      <c r="K259" s="6">
        <v>1</v>
      </c>
      <c r="L259" s="5" t="s">
        <v>64</v>
      </c>
      <c r="M259" s="7" t="s">
        <v>244</v>
      </c>
      <c r="N259" s="8" t="s">
        <v>132</v>
      </c>
      <c r="O259" s="3" t="s">
        <v>67</v>
      </c>
    </row>
    <row r="260" spans="3:15" x14ac:dyDescent="0.25">
      <c r="C260" s="3">
        <v>171</v>
      </c>
      <c r="D260" s="14" t="s">
        <v>382</v>
      </c>
      <c r="F260" s="3" t="s">
        <v>59</v>
      </c>
      <c r="G260" s="4" t="s">
        <v>60</v>
      </c>
      <c r="H260" s="5" t="s">
        <v>70</v>
      </c>
      <c r="I260" s="3" t="s">
        <v>62</v>
      </c>
      <c r="J260" s="4" t="s">
        <v>115</v>
      </c>
      <c r="K260" s="6">
        <v>1</v>
      </c>
      <c r="L260" s="5" t="s">
        <v>64</v>
      </c>
      <c r="M260" s="7" t="s">
        <v>104</v>
      </c>
      <c r="N260" s="8" t="s">
        <v>263</v>
      </c>
      <c r="O260" s="3" t="s">
        <v>67</v>
      </c>
    </row>
    <row r="261" spans="3:15" x14ac:dyDescent="0.25">
      <c r="C261" s="3">
        <v>168</v>
      </c>
      <c r="D261" s="14" t="s">
        <v>383</v>
      </c>
      <c r="F261" s="3" t="s">
        <v>59</v>
      </c>
      <c r="G261" s="4" t="s">
        <v>60</v>
      </c>
      <c r="H261" s="5" t="s">
        <v>70</v>
      </c>
      <c r="I261" s="3" t="s">
        <v>62</v>
      </c>
      <c r="J261" s="4" t="s">
        <v>115</v>
      </c>
      <c r="K261" s="6">
        <v>1</v>
      </c>
      <c r="L261" s="5" t="s">
        <v>64</v>
      </c>
      <c r="M261" s="7" t="s">
        <v>104</v>
      </c>
      <c r="N261" s="8" t="s">
        <v>263</v>
      </c>
      <c r="O261" s="3" t="s">
        <v>67</v>
      </c>
    </row>
    <row r="262" spans="3:15" x14ac:dyDescent="0.25">
      <c r="C262" s="3">
        <v>170</v>
      </c>
      <c r="D262" s="14" t="s">
        <v>384</v>
      </c>
      <c r="F262" s="3" t="s">
        <v>59</v>
      </c>
      <c r="G262" s="4" t="s">
        <v>60</v>
      </c>
      <c r="H262" s="5" t="s">
        <v>70</v>
      </c>
      <c r="I262" s="3" t="s">
        <v>62</v>
      </c>
      <c r="J262" s="4" t="s">
        <v>115</v>
      </c>
      <c r="K262" s="6">
        <v>1</v>
      </c>
      <c r="L262" s="5" t="s">
        <v>64</v>
      </c>
      <c r="M262" s="7" t="s">
        <v>104</v>
      </c>
      <c r="N262" s="8" t="s">
        <v>132</v>
      </c>
      <c r="O262" s="3" t="s">
        <v>67</v>
      </c>
    </row>
    <row r="263" spans="3:15" x14ac:dyDescent="0.25">
      <c r="C263" s="3">
        <v>247</v>
      </c>
      <c r="D263" s="3" t="s">
        <v>385</v>
      </c>
      <c r="F263" s="3" t="s">
        <v>59</v>
      </c>
      <c r="G263" s="4" t="s">
        <v>60</v>
      </c>
      <c r="H263" s="5" t="s">
        <v>70</v>
      </c>
      <c r="I263" s="3" t="s">
        <v>62</v>
      </c>
      <c r="J263" s="4" t="s">
        <v>107</v>
      </c>
      <c r="K263" s="18">
        <v>0</v>
      </c>
      <c r="L263" s="5" t="s">
        <v>64</v>
      </c>
      <c r="M263" s="7" t="s">
        <v>249</v>
      </c>
      <c r="N263" s="8" t="s">
        <v>386</v>
      </c>
      <c r="O263" s="3" t="s">
        <v>67</v>
      </c>
    </row>
    <row r="264" spans="3:15" x14ac:dyDescent="0.25">
      <c r="C264" s="3">
        <v>235</v>
      </c>
      <c r="D264" s="3" t="s">
        <v>387</v>
      </c>
      <c r="F264" s="3" t="s">
        <v>59</v>
      </c>
      <c r="G264" s="4" t="s">
        <v>60</v>
      </c>
      <c r="H264" s="5" t="s">
        <v>376</v>
      </c>
      <c r="I264" s="3" t="s">
        <v>62</v>
      </c>
      <c r="J264" s="4" t="s">
        <v>388</v>
      </c>
      <c r="K264" s="6">
        <v>1</v>
      </c>
      <c r="L264" s="5" t="s">
        <v>64</v>
      </c>
      <c r="M264" s="7" t="s">
        <v>107</v>
      </c>
      <c r="N264" s="8" t="s">
        <v>389</v>
      </c>
      <c r="O264" s="3" t="s">
        <v>67</v>
      </c>
    </row>
    <row r="265" spans="3:15" x14ac:dyDescent="0.25">
      <c r="C265" s="3">
        <v>128</v>
      </c>
      <c r="D265" s="16" t="s">
        <v>390</v>
      </c>
      <c r="F265" s="3" t="s">
        <v>59</v>
      </c>
      <c r="G265" s="4" t="s">
        <v>60</v>
      </c>
      <c r="H265" s="5" t="s">
        <v>70</v>
      </c>
      <c r="I265" s="3" t="s">
        <v>62</v>
      </c>
      <c r="J265" s="17" t="s">
        <v>115</v>
      </c>
      <c r="K265" s="6">
        <v>1</v>
      </c>
      <c r="L265" s="5" t="s">
        <v>64</v>
      </c>
      <c r="M265" s="7" t="s">
        <v>115</v>
      </c>
      <c r="N265" s="8" t="s">
        <v>153</v>
      </c>
      <c r="O265" s="3" t="s">
        <v>154</v>
      </c>
    </row>
    <row r="266" spans="3:15" x14ac:dyDescent="0.25">
      <c r="C266" s="3">
        <v>129</v>
      </c>
      <c r="D266" s="16" t="s">
        <v>391</v>
      </c>
      <c r="F266" s="3" t="s">
        <v>59</v>
      </c>
      <c r="G266" s="4" t="s">
        <v>60</v>
      </c>
      <c r="H266" s="5" t="s">
        <v>70</v>
      </c>
      <c r="I266" s="3" t="s">
        <v>62</v>
      </c>
      <c r="J266" s="17" t="s">
        <v>115</v>
      </c>
      <c r="K266" s="6">
        <v>1</v>
      </c>
      <c r="L266" s="5" t="s">
        <v>64</v>
      </c>
      <c r="M266" s="7" t="s">
        <v>115</v>
      </c>
      <c r="N266" s="8" t="s">
        <v>153</v>
      </c>
      <c r="O266" s="3" t="s">
        <v>154</v>
      </c>
    </row>
    <row r="267" spans="3:15" x14ac:dyDescent="0.25">
      <c r="C267" s="3">
        <v>130</v>
      </c>
      <c r="D267" s="16" t="s">
        <v>392</v>
      </c>
      <c r="F267" s="3" t="s">
        <v>59</v>
      </c>
      <c r="G267" s="4" t="s">
        <v>60</v>
      </c>
      <c r="H267" s="5" t="s">
        <v>70</v>
      </c>
      <c r="I267" s="3" t="s">
        <v>62</v>
      </c>
      <c r="J267" s="17" t="s">
        <v>115</v>
      </c>
      <c r="K267" s="6">
        <v>1</v>
      </c>
      <c r="L267" s="5" t="s">
        <v>64</v>
      </c>
      <c r="M267" s="7" t="s">
        <v>115</v>
      </c>
      <c r="N267" s="8" t="s">
        <v>153</v>
      </c>
      <c r="O267" s="3" t="s">
        <v>154</v>
      </c>
    </row>
    <row r="268" spans="3:15" x14ac:dyDescent="0.25">
      <c r="C268" s="3">
        <v>131</v>
      </c>
      <c r="D268" s="16" t="s">
        <v>393</v>
      </c>
      <c r="F268" s="3" t="s">
        <v>59</v>
      </c>
      <c r="G268" s="4" t="s">
        <v>60</v>
      </c>
      <c r="H268" s="5" t="s">
        <v>70</v>
      </c>
      <c r="I268" s="3" t="s">
        <v>62</v>
      </c>
      <c r="J268" s="17" t="s">
        <v>394</v>
      </c>
      <c r="K268" s="6">
        <v>1</v>
      </c>
      <c r="L268" s="5" t="s">
        <v>64</v>
      </c>
      <c r="M268" s="7" t="s">
        <v>176</v>
      </c>
      <c r="N268" s="8" t="s">
        <v>132</v>
      </c>
      <c r="O268" s="3" t="s">
        <v>67</v>
      </c>
    </row>
    <row r="269" spans="3:15" x14ac:dyDescent="0.25">
      <c r="C269" s="3">
        <v>132</v>
      </c>
      <c r="D269" s="16" t="s">
        <v>395</v>
      </c>
      <c r="F269" s="3" t="s">
        <v>59</v>
      </c>
      <c r="G269" s="4" t="s">
        <v>60</v>
      </c>
      <c r="H269" s="5" t="s">
        <v>70</v>
      </c>
      <c r="I269" s="3" t="s">
        <v>62</v>
      </c>
      <c r="J269" s="17" t="s">
        <v>394</v>
      </c>
      <c r="K269" s="6">
        <v>1</v>
      </c>
      <c r="L269" s="5" t="s">
        <v>64</v>
      </c>
      <c r="M269" s="7" t="s">
        <v>176</v>
      </c>
      <c r="N269" s="8" t="s">
        <v>132</v>
      </c>
      <c r="O269" s="3" t="s">
        <v>67</v>
      </c>
    </row>
    <row r="270" spans="3:15" x14ac:dyDescent="0.25">
      <c r="C270" s="3">
        <v>173</v>
      </c>
      <c r="D270" s="3" t="s">
        <v>396</v>
      </c>
      <c r="F270" s="3" t="s">
        <v>59</v>
      </c>
      <c r="G270" s="4" t="s">
        <v>60</v>
      </c>
      <c r="H270" s="5" t="s">
        <v>70</v>
      </c>
      <c r="I270" s="3" t="s">
        <v>62</v>
      </c>
      <c r="J270" s="17" t="s">
        <v>115</v>
      </c>
      <c r="K270" s="6">
        <v>1</v>
      </c>
      <c r="L270" s="5" t="s">
        <v>64</v>
      </c>
      <c r="M270" s="7" t="s">
        <v>104</v>
      </c>
      <c r="N270" s="8" t="s">
        <v>369</v>
      </c>
      <c r="O270" s="3" t="s">
        <v>67</v>
      </c>
    </row>
    <row r="271" spans="3:15" x14ac:dyDescent="0.25">
      <c r="C271" s="3">
        <v>121</v>
      </c>
      <c r="D271" s="16" t="s">
        <v>397</v>
      </c>
      <c r="F271" s="3" t="s">
        <v>123</v>
      </c>
      <c r="G271" s="4" t="s">
        <v>60</v>
      </c>
      <c r="H271" s="5" t="s">
        <v>70</v>
      </c>
      <c r="I271" s="3" t="s">
        <v>62</v>
      </c>
      <c r="J271" s="17" t="s">
        <v>115</v>
      </c>
      <c r="K271" s="6">
        <v>1</v>
      </c>
      <c r="L271" s="5" t="s">
        <v>64</v>
      </c>
      <c r="M271" s="7" t="s">
        <v>104</v>
      </c>
      <c r="N271" s="8" t="s">
        <v>182</v>
      </c>
      <c r="O271" s="3" t="s">
        <v>67</v>
      </c>
    </row>
    <row r="272" spans="3:15" x14ac:dyDescent="0.25">
      <c r="C272" s="3">
        <v>123</v>
      </c>
      <c r="D272" s="16" t="s">
        <v>398</v>
      </c>
      <c r="F272" s="3" t="s">
        <v>59</v>
      </c>
      <c r="G272" s="4" t="s">
        <v>60</v>
      </c>
      <c r="H272" s="5" t="s">
        <v>70</v>
      </c>
      <c r="I272" s="3" t="s">
        <v>62</v>
      </c>
      <c r="J272" s="17" t="s">
        <v>115</v>
      </c>
      <c r="K272" s="6">
        <v>1</v>
      </c>
      <c r="L272" s="5" t="s">
        <v>64</v>
      </c>
      <c r="M272" s="7" t="s">
        <v>104</v>
      </c>
      <c r="N272" s="8" t="s">
        <v>182</v>
      </c>
      <c r="O272" s="3" t="s">
        <v>67</v>
      </c>
    </row>
    <row r="273" spans="3:15" x14ac:dyDescent="0.25">
      <c r="C273" s="3">
        <v>124</v>
      </c>
      <c r="D273" s="16" t="s">
        <v>399</v>
      </c>
      <c r="F273" s="3" t="s">
        <v>59</v>
      </c>
      <c r="G273" s="4" t="s">
        <v>60</v>
      </c>
      <c r="H273" s="5" t="s">
        <v>70</v>
      </c>
      <c r="I273" s="3" t="s">
        <v>62</v>
      </c>
      <c r="J273" s="17" t="s">
        <v>115</v>
      </c>
      <c r="K273" s="6">
        <v>1</v>
      </c>
      <c r="L273" s="5" t="s">
        <v>64</v>
      </c>
      <c r="M273" s="7" t="s">
        <v>104</v>
      </c>
      <c r="N273" s="8" t="s">
        <v>182</v>
      </c>
      <c r="O273" s="3" t="s">
        <v>67</v>
      </c>
    </row>
    <row r="274" spans="3:15" x14ac:dyDescent="0.25">
      <c r="C274" s="3">
        <v>125</v>
      </c>
      <c r="D274" s="16" t="s">
        <v>400</v>
      </c>
      <c r="F274" s="3" t="s">
        <v>59</v>
      </c>
      <c r="G274" s="4" t="s">
        <v>60</v>
      </c>
      <c r="H274" s="5" t="s">
        <v>70</v>
      </c>
      <c r="I274" s="3" t="s">
        <v>62</v>
      </c>
      <c r="J274" s="17" t="s">
        <v>394</v>
      </c>
      <c r="K274" s="6">
        <v>1</v>
      </c>
      <c r="L274" s="5" t="s">
        <v>64</v>
      </c>
      <c r="M274" s="7" t="s">
        <v>72</v>
      </c>
      <c r="N274" s="8" t="s">
        <v>132</v>
      </c>
      <c r="O274" s="3" t="s">
        <v>67</v>
      </c>
    </row>
    <row r="275" spans="3:15" x14ac:dyDescent="0.25">
      <c r="C275" s="3">
        <v>126</v>
      </c>
      <c r="D275" s="16" t="s">
        <v>401</v>
      </c>
      <c r="F275" s="3" t="s">
        <v>59</v>
      </c>
      <c r="G275" s="4" t="s">
        <v>60</v>
      </c>
      <c r="H275" s="5" t="s">
        <v>70</v>
      </c>
      <c r="I275" s="3" t="s">
        <v>62</v>
      </c>
      <c r="J275" s="17" t="s">
        <v>394</v>
      </c>
      <c r="K275" s="6">
        <v>1</v>
      </c>
      <c r="L275" s="5" t="s">
        <v>64</v>
      </c>
      <c r="M275" s="7" t="s">
        <v>72</v>
      </c>
      <c r="N275" s="8" t="s">
        <v>132</v>
      </c>
      <c r="O275" s="3" t="s">
        <v>67</v>
      </c>
    </row>
    <row r="276" spans="3:15" x14ac:dyDescent="0.25">
      <c r="C276" s="3">
        <v>127</v>
      </c>
      <c r="D276" s="16" t="s">
        <v>402</v>
      </c>
      <c r="F276" s="3" t="s">
        <v>59</v>
      </c>
      <c r="G276" s="4" t="s">
        <v>60</v>
      </c>
      <c r="H276" s="5" t="s">
        <v>70</v>
      </c>
      <c r="I276" s="3" t="s">
        <v>62</v>
      </c>
      <c r="J276" s="17" t="s">
        <v>394</v>
      </c>
      <c r="K276" s="6">
        <v>1</v>
      </c>
      <c r="L276" s="5" t="s">
        <v>64</v>
      </c>
      <c r="M276" s="7" t="s">
        <v>72</v>
      </c>
      <c r="N276" s="8" t="s">
        <v>132</v>
      </c>
      <c r="O276" s="3" t="s">
        <v>67</v>
      </c>
    </row>
    <row r="277" spans="3:15" x14ac:dyDescent="0.25">
      <c r="C277" s="3">
        <v>246</v>
      </c>
      <c r="D277" s="3" t="s">
        <v>403</v>
      </c>
      <c r="F277" s="3" t="s">
        <v>59</v>
      </c>
      <c r="G277" s="4" t="s">
        <v>60</v>
      </c>
      <c r="H277" s="5" t="s">
        <v>70</v>
      </c>
      <c r="I277" s="3" t="s">
        <v>62</v>
      </c>
      <c r="J277" s="4" t="s">
        <v>107</v>
      </c>
      <c r="K277" s="6">
        <v>1</v>
      </c>
      <c r="L277" s="5" t="s">
        <v>64</v>
      </c>
      <c r="M277" s="7" t="s">
        <v>249</v>
      </c>
      <c r="N277" s="8" t="s">
        <v>386</v>
      </c>
      <c r="O277" s="3" t="s">
        <v>67</v>
      </c>
    </row>
    <row r="278" spans="3:15" x14ac:dyDescent="0.25">
      <c r="C278" s="3">
        <v>169</v>
      </c>
      <c r="D278" s="16" t="s">
        <v>404</v>
      </c>
      <c r="F278" s="3" t="s">
        <v>59</v>
      </c>
      <c r="G278" s="4" t="s">
        <v>60</v>
      </c>
      <c r="H278" s="5" t="s">
        <v>70</v>
      </c>
      <c r="I278" s="3" t="s">
        <v>62</v>
      </c>
      <c r="J278" s="17" t="s">
        <v>115</v>
      </c>
      <c r="K278" s="6">
        <v>1</v>
      </c>
      <c r="L278" s="5" t="s">
        <v>64</v>
      </c>
      <c r="M278" s="7" t="s">
        <v>249</v>
      </c>
      <c r="N278" s="8" t="s">
        <v>369</v>
      </c>
      <c r="O278" s="3" t="s">
        <v>67</v>
      </c>
    </row>
    <row r="279" spans="3:15" x14ac:dyDescent="0.25">
      <c r="C279" s="3">
        <v>134</v>
      </c>
      <c r="D279" s="16" t="s">
        <v>405</v>
      </c>
      <c r="F279" s="3" t="s">
        <v>59</v>
      </c>
      <c r="G279" s="4" t="s">
        <v>60</v>
      </c>
      <c r="H279" s="5" t="s">
        <v>70</v>
      </c>
      <c r="I279" s="3" t="s">
        <v>62</v>
      </c>
      <c r="J279" s="17" t="s">
        <v>115</v>
      </c>
      <c r="K279" s="6">
        <v>1</v>
      </c>
      <c r="L279" s="5" t="s">
        <v>64</v>
      </c>
      <c r="M279" s="7" t="s">
        <v>249</v>
      </c>
      <c r="N279" s="8" t="s">
        <v>132</v>
      </c>
      <c r="O279" s="3" t="s">
        <v>67</v>
      </c>
    </row>
    <row r="280" spans="3:15" x14ac:dyDescent="0.25">
      <c r="C280" s="3">
        <v>135</v>
      </c>
      <c r="D280" s="16" t="s">
        <v>406</v>
      </c>
      <c r="F280" s="3" t="s">
        <v>59</v>
      </c>
      <c r="G280" s="4" t="s">
        <v>60</v>
      </c>
      <c r="H280" s="5" t="s">
        <v>70</v>
      </c>
      <c r="I280" s="3" t="s">
        <v>62</v>
      </c>
      <c r="J280" s="17" t="s">
        <v>373</v>
      </c>
      <c r="K280" s="6">
        <v>1</v>
      </c>
      <c r="L280" s="5" t="s">
        <v>64</v>
      </c>
      <c r="M280" s="7" t="s">
        <v>72</v>
      </c>
      <c r="N280" s="8" t="s">
        <v>132</v>
      </c>
      <c r="O280" s="3" t="s">
        <v>67</v>
      </c>
    </row>
    <row r="281" spans="3:15" x14ac:dyDescent="0.25">
      <c r="C281" s="3">
        <v>136</v>
      </c>
      <c r="D281" s="16" t="s">
        <v>407</v>
      </c>
      <c r="F281" s="3" t="s">
        <v>59</v>
      </c>
      <c r="G281" s="4" t="s">
        <v>60</v>
      </c>
      <c r="H281" s="5" t="s">
        <v>70</v>
      </c>
      <c r="I281" s="3" t="s">
        <v>62</v>
      </c>
      <c r="J281" s="17" t="s">
        <v>373</v>
      </c>
      <c r="K281" s="6">
        <v>1</v>
      </c>
      <c r="L281" s="5" t="s">
        <v>64</v>
      </c>
      <c r="M281" s="7" t="s">
        <v>72</v>
      </c>
      <c r="N281" s="8" t="s">
        <v>132</v>
      </c>
      <c r="O281" s="3" t="s">
        <v>67</v>
      </c>
    </row>
    <row r="282" spans="3:15" x14ac:dyDescent="0.25">
      <c r="C282" s="3">
        <v>278</v>
      </c>
      <c r="D282" s="3" t="s">
        <v>408</v>
      </c>
      <c r="F282" s="3" t="s">
        <v>409</v>
      </c>
      <c r="G282" s="4" t="s">
        <v>60</v>
      </c>
      <c r="H282" s="5" t="s">
        <v>70</v>
      </c>
      <c r="I282" s="3" t="s">
        <v>62</v>
      </c>
      <c r="J282" s="4" t="s">
        <v>107</v>
      </c>
      <c r="K282" s="6">
        <v>1</v>
      </c>
      <c r="L282" s="5" t="s">
        <v>64</v>
      </c>
      <c r="M282" s="7" t="s">
        <v>115</v>
      </c>
      <c r="N282" s="8" t="s">
        <v>410</v>
      </c>
      <c r="O282" s="3" t="s">
        <v>67</v>
      </c>
    </row>
    <row r="283" spans="3:15" x14ac:dyDescent="0.25">
      <c r="F283" s="3" t="s">
        <v>411</v>
      </c>
      <c r="G283" s="4" t="s">
        <v>60</v>
      </c>
      <c r="H283" s="5" t="s">
        <v>70</v>
      </c>
      <c r="I283" s="3" t="s">
        <v>62</v>
      </c>
      <c r="J283" s="4" t="s">
        <v>107</v>
      </c>
    </row>
    <row r="284" spans="3:15" x14ac:dyDescent="0.25">
      <c r="F284" s="3" t="s">
        <v>368</v>
      </c>
      <c r="G284" s="4" t="s">
        <v>60</v>
      </c>
      <c r="H284" s="5" t="s">
        <v>70</v>
      </c>
      <c r="I284" s="3" t="s">
        <v>62</v>
      </c>
      <c r="J284" s="4" t="s">
        <v>107</v>
      </c>
    </row>
    <row r="285" spans="3:15" x14ac:dyDescent="0.25">
      <c r="C285" s="3">
        <v>172</v>
      </c>
      <c r="D285" s="16" t="s">
        <v>409</v>
      </c>
      <c r="F285" s="3" t="s">
        <v>59</v>
      </c>
      <c r="G285" s="4" t="s">
        <v>60</v>
      </c>
      <c r="H285" s="5" t="s">
        <v>70</v>
      </c>
      <c r="I285" s="3" t="s">
        <v>62</v>
      </c>
      <c r="J285" s="4" t="s">
        <v>115</v>
      </c>
      <c r="K285" s="6">
        <v>1</v>
      </c>
      <c r="L285" s="5" t="s">
        <v>64</v>
      </c>
      <c r="M285" s="7" t="s">
        <v>134</v>
      </c>
      <c r="N285" s="8" t="s">
        <v>369</v>
      </c>
      <c r="O285" s="3" t="s">
        <v>67</v>
      </c>
    </row>
    <row r="286" spans="3:15" x14ac:dyDescent="0.25">
      <c r="C286" s="3">
        <v>137</v>
      </c>
      <c r="D286" s="16" t="s">
        <v>412</v>
      </c>
      <c r="F286" s="3" t="s">
        <v>59</v>
      </c>
      <c r="G286" s="4" t="s">
        <v>60</v>
      </c>
      <c r="H286" s="5" t="s">
        <v>70</v>
      </c>
      <c r="I286" s="3" t="s">
        <v>62</v>
      </c>
      <c r="J286" s="17" t="s">
        <v>115</v>
      </c>
      <c r="K286" s="6">
        <v>1</v>
      </c>
      <c r="L286" s="5" t="s">
        <v>64</v>
      </c>
      <c r="M286" s="7" t="s">
        <v>134</v>
      </c>
      <c r="N286" s="8" t="s">
        <v>132</v>
      </c>
      <c r="O286" s="3" t="s">
        <v>67</v>
      </c>
    </row>
    <row r="287" spans="3:15" x14ac:dyDescent="0.25">
      <c r="C287" s="3">
        <v>138</v>
      </c>
      <c r="D287" s="16" t="s">
        <v>413</v>
      </c>
      <c r="F287" s="3" t="s">
        <v>123</v>
      </c>
      <c r="G287" s="4" t="s">
        <v>60</v>
      </c>
      <c r="H287" s="5" t="s">
        <v>70</v>
      </c>
      <c r="I287" s="3" t="s">
        <v>62</v>
      </c>
      <c r="J287" s="17" t="s">
        <v>115</v>
      </c>
      <c r="K287" s="6">
        <v>1</v>
      </c>
      <c r="L287" s="5" t="s">
        <v>64</v>
      </c>
      <c r="M287" s="7" t="s">
        <v>134</v>
      </c>
      <c r="N287" s="8" t="s">
        <v>132</v>
      </c>
      <c r="O287" s="3" t="s">
        <v>67</v>
      </c>
    </row>
    <row r="288" spans="3:15" x14ac:dyDescent="0.25">
      <c r="C288" s="3">
        <v>139</v>
      </c>
      <c r="D288" s="16" t="s">
        <v>414</v>
      </c>
      <c r="F288" s="3" t="s">
        <v>59</v>
      </c>
      <c r="G288" s="4" t="s">
        <v>60</v>
      </c>
      <c r="H288" s="5" t="s">
        <v>70</v>
      </c>
      <c r="I288" s="3" t="s">
        <v>62</v>
      </c>
      <c r="J288" s="17" t="s">
        <v>373</v>
      </c>
      <c r="K288" s="6">
        <v>1</v>
      </c>
      <c r="L288" s="5" t="s">
        <v>64</v>
      </c>
      <c r="M288" s="7" t="s">
        <v>244</v>
      </c>
      <c r="N288" s="8" t="s">
        <v>132</v>
      </c>
      <c r="O288" s="3" t="s">
        <v>67</v>
      </c>
    </row>
    <row r="289" spans="2:21" ht="12.75" customHeight="1" x14ac:dyDescent="0.25">
      <c r="C289" s="3">
        <v>140</v>
      </c>
      <c r="D289" s="16" t="s">
        <v>415</v>
      </c>
      <c r="F289" s="3" t="s">
        <v>59</v>
      </c>
      <c r="G289" s="4" t="s">
        <v>60</v>
      </c>
      <c r="H289" s="5" t="s">
        <v>70</v>
      </c>
      <c r="I289" s="3" t="s">
        <v>62</v>
      </c>
      <c r="J289" s="17" t="s">
        <v>373</v>
      </c>
      <c r="K289" s="6">
        <v>1</v>
      </c>
      <c r="L289" s="5" t="s">
        <v>64</v>
      </c>
      <c r="M289" s="7" t="s">
        <v>244</v>
      </c>
      <c r="N289" s="8" t="s">
        <v>132</v>
      </c>
      <c r="O289" s="3" t="s">
        <v>67</v>
      </c>
    </row>
    <row r="290" spans="2:21" ht="12.75" customHeight="1" x14ac:dyDescent="0.25">
      <c r="C290" s="3">
        <v>236</v>
      </c>
      <c r="D290" s="3" t="s">
        <v>416</v>
      </c>
      <c r="F290" s="3" t="s">
        <v>59</v>
      </c>
      <c r="G290" s="4" t="s">
        <v>60</v>
      </c>
      <c r="H290" s="5" t="s">
        <v>376</v>
      </c>
      <c r="I290" s="3" t="s">
        <v>62</v>
      </c>
      <c r="J290" s="4" t="s">
        <v>417</v>
      </c>
      <c r="K290" s="6">
        <v>1</v>
      </c>
      <c r="L290" s="5" t="s">
        <v>64</v>
      </c>
      <c r="M290" s="7" t="s">
        <v>75</v>
      </c>
      <c r="N290" s="8" t="s">
        <v>418</v>
      </c>
      <c r="O290" s="3" t="s">
        <v>86</v>
      </c>
    </row>
    <row r="291" spans="2:21" ht="12.75" customHeight="1" x14ac:dyDescent="0.25">
      <c r="C291" s="3">
        <v>266</v>
      </c>
      <c r="D291" s="3" t="s">
        <v>419</v>
      </c>
      <c r="F291" s="3" t="s">
        <v>59</v>
      </c>
      <c r="G291" s="4" t="s">
        <v>60</v>
      </c>
      <c r="H291" s="5" t="s">
        <v>70</v>
      </c>
      <c r="I291" s="3" t="s">
        <v>62</v>
      </c>
      <c r="J291" s="4" t="s">
        <v>420</v>
      </c>
      <c r="K291" s="6">
        <v>1</v>
      </c>
      <c r="L291" s="5" t="s">
        <v>64</v>
      </c>
      <c r="M291" s="7" t="s">
        <v>84</v>
      </c>
      <c r="N291" s="8" t="s">
        <v>214</v>
      </c>
      <c r="O291" s="3" t="s">
        <v>67</v>
      </c>
    </row>
    <row r="292" spans="2:21" ht="12.75" customHeight="1" x14ac:dyDescent="0.25">
      <c r="C292" s="3">
        <v>267</v>
      </c>
      <c r="D292" s="3" t="s">
        <v>421</v>
      </c>
      <c r="F292" s="3" t="s">
        <v>59</v>
      </c>
      <c r="G292" s="4" t="s">
        <v>60</v>
      </c>
      <c r="H292" s="5" t="s">
        <v>70</v>
      </c>
      <c r="I292" s="3" t="s">
        <v>62</v>
      </c>
      <c r="J292" s="4" t="s">
        <v>420</v>
      </c>
      <c r="K292" s="6">
        <v>0</v>
      </c>
      <c r="L292" s="5" t="s">
        <v>64</v>
      </c>
      <c r="M292" s="7" t="s">
        <v>76</v>
      </c>
      <c r="N292" s="8" t="s">
        <v>214</v>
      </c>
      <c r="O292" s="3" t="s">
        <v>67</v>
      </c>
    </row>
    <row r="293" spans="2:21" ht="12.75" customHeight="1" x14ac:dyDescent="0.25">
      <c r="C293" s="3">
        <v>153</v>
      </c>
      <c r="D293" s="16" t="s">
        <v>422</v>
      </c>
      <c r="F293" s="3" t="s">
        <v>59</v>
      </c>
      <c r="G293" s="4" t="s">
        <v>60</v>
      </c>
      <c r="H293" s="5" t="s">
        <v>70</v>
      </c>
      <c r="I293" s="3" t="s">
        <v>62</v>
      </c>
      <c r="J293" s="4" t="s">
        <v>423</v>
      </c>
      <c r="K293" s="6">
        <v>1</v>
      </c>
      <c r="L293" s="5" t="s">
        <v>64</v>
      </c>
      <c r="M293" s="7" t="s">
        <v>76</v>
      </c>
      <c r="N293" s="8" t="s">
        <v>132</v>
      </c>
      <c r="O293" s="3" t="s">
        <v>67</v>
      </c>
    </row>
    <row r="294" spans="2:21" ht="12.75" customHeight="1" x14ac:dyDescent="0.25">
      <c r="C294" s="3">
        <v>151</v>
      </c>
      <c r="D294" s="16" t="s">
        <v>424</v>
      </c>
      <c r="F294" s="3" t="s">
        <v>123</v>
      </c>
      <c r="G294" s="4" t="s">
        <v>60</v>
      </c>
      <c r="H294" s="5" t="s">
        <v>70</v>
      </c>
      <c r="I294" s="3" t="s">
        <v>62</v>
      </c>
      <c r="J294" s="4" t="s">
        <v>423</v>
      </c>
      <c r="K294" s="6">
        <v>1</v>
      </c>
      <c r="L294" s="5" t="s">
        <v>64</v>
      </c>
      <c r="M294" s="7" t="s">
        <v>115</v>
      </c>
      <c r="N294" s="8" t="s">
        <v>153</v>
      </c>
      <c r="O294" s="3" t="s">
        <v>154</v>
      </c>
    </row>
    <row r="295" spans="2:21" ht="12.75" customHeight="1" x14ac:dyDescent="0.25">
      <c r="C295" s="3">
        <v>150</v>
      </c>
      <c r="D295" s="16" t="s">
        <v>425</v>
      </c>
      <c r="F295" s="3" t="s">
        <v>59</v>
      </c>
      <c r="G295" s="4" t="s">
        <v>60</v>
      </c>
      <c r="H295" s="5" t="s">
        <v>70</v>
      </c>
      <c r="I295" s="3" t="s">
        <v>62</v>
      </c>
      <c r="J295" s="4" t="s">
        <v>423</v>
      </c>
      <c r="K295" s="6">
        <v>1</v>
      </c>
      <c r="L295" s="5" t="s">
        <v>64</v>
      </c>
      <c r="M295" s="7" t="s">
        <v>76</v>
      </c>
      <c r="N295" s="8" t="s">
        <v>132</v>
      </c>
      <c r="O295" s="3" t="s">
        <v>67</v>
      </c>
    </row>
    <row r="296" spans="2:21" ht="12.75" customHeight="1" x14ac:dyDescent="0.25">
      <c r="C296" s="3">
        <v>149</v>
      </c>
      <c r="D296" s="16" t="s">
        <v>426</v>
      </c>
      <c r="F296" s="3" t="s">
        <v>59</v>
      </c>
      <c r="G296" s="4" t="s">
        <v>60</v>
      </c>
      <c r="H296" s="5" t="s">
        <v>70</v>
      </c>
      <c r="I296" s="3" t="s">
        <v>62</v>
      </c>
      <c r="J296" s="4" t="s">
        <v>423</v>
      </c>
      <c r="K296" s="6">
        <v>1</v>
      </c>
      <c r="L296" s="5" t="s">
        <v>64</v>
      </c>
      <c r="M296" s="7" t="s">
        <v>104</v>
      </c>
      <c r="N296" s="8" t="s">
        <v>132</v>
      </c>
      <c r="O296" s="3" t="s">
        <v>67</v>
      </c>
    </row>
    <row r="297" spans="2:21" ht="12.75" customHeight="1" x14ac:dyDescent="0.25">
      <c r="C297" s="3">
        <v>152</v>
      </c>
      <c r="D297" s="16" t="s">
        <v>427</v>
      </c>
      <c r="F297" s="3" t="s">
        <v>59</v>
      </c>
      <c r="G297" s="4" t="s">
        <v>60</v>
      </c>
      <c r="H297" s="5" t="s">
        <v>70</v>
      </c>
      <c r="I297" s="3" t="s">
        <v>62</v>
      </c>
      <c r="J297" s="4" t="s">
        <v>423</v>
      </c>
      <c r="K297" s="6">
        <v>1</v>
      </c>
      <c r="L297" s="5" t="s">
        <v>64</v>
      </c>
      <c r="M297" s="7" t="s">
        <v>76</v>
      </c>
      <c r="N297" s="8" t="s">
        <v>132</v>
      </c>
      <c r="O297" s="3" t="s">
        <v>67</v>
      </c>
    </row>
    <row r="298" spans="2:21" ht="12.75" customHeight="1" x14ac:dyDescent="0.25">
      <c r="C298" s="3">
        <v>271</v>
      </c>
      <c r="D298" s="16" t="s">
        <v>428</v>
      </c>
      <c r="F298" s="3" t="s">
        <v>59</v>
      </c>
      <c r="G298" s="4" t="s">
        <v>60</v>
      </c>
      <c r="H298" s="5" t="s">
        <v>70</v>
      </c>
      <c r="I298" s="3" t="s">
        <v>62</v>
      </c>
      <c r="J298" s="4" t="s">
        <v>107</v>
      </c>
      <c r="K298" s="6">
        <v>1</v>
      </c>
      <c r="L298" s="5" t="s">
        <v>64</v>
      </c>
      <c r="M298" s="7" t="s">
        <v>102</v>
      </c>
      <c r="N298" s="8" t="s">
        <v>429</v>
      </c>
      <c r="O298" s="3" t="s">
        <v>67</v>
      </c>
    </row>
    <row r="299" spans="2:21" ht="12.75" customHeight="1" x14ac:dyDescent="0.25">
      <c r="C299" s="3">
        <v>270</v>
      </c>
      <c r="D299" s="16" t="s">
        <v>430</v>
      </c>
      <c r="F299" s="3" t="s">
        <v>59</v>
      </c>
      <c r="G299" s="4" t="s">
        <v>60</v>
      </c>
      <c r="H299" s="5" t="s">
        <v>70</v>
      </c>
      <c r="I299" s="3" t="s">
        <v>62</v>
      </c>
      <c r="J299" s="4" t="s">
        <v>107</v>
      </c>
      <c r="K299" s="6">
        <v>1</v>
      </c>
      <c r="L299" s="5" t="s">
        <v>64</v>
      </c>
      <c r="M299" s="7" t="s">
        <v>111</v>
      </c>
      <c r="N299" s="8" t="s">
        <v>429</v>
      </c>
      <c r="O299" s="3" t="s">
        <v>67</v>
      </c>
    </row>
    <row r="300" spans="2:21" s="11" customFormat="1" ht="12.75" customHeight="1" x14ac:dyDescent="0.25">
      <c r="B300" s="10"/>
      <c r="C300" s="952" t="s">
        <v>431</v>
      </c>
      <c r="D300" s="952"/>
      <c r="E300" s="952"/>
      <c r="F300" s="10"/>
      <c r="G300" s="12"/>
      <c r="H300" s="13"/>
      <c r="I300" s="10"/>
      <c r="J300" s="12"/>
      <c r="K300" s="12"/>
      <c r="L300" s="13"/>
      <c r="M300" s="10"/>
      <c r="N300" s="10"/>
      <c r="O300" s="10"/>
    </row>
    <row r="301" spans="2:21" ht="12.75" customHeight="1" x14ac:dyDescent="0.25">
      <c r="C301" s="3">
        <v>156</v>
      </c>
      <c r="D301" s="16" t="s">
        <v>432</v>
      </c>
      <c r="F301" s="3" t="s">
        <v>59</v>
      </c>
      <c r="G301" s="4" t="s">
        <v>60</v>
      </c>
      <c r="H301" s="5" t="s">
        <v>70</v>
      </c>
      <c r="I301" s="3" t="s">
        <v>62</v>
      </c>
      <c r="J301" s="4" t="s">
        <v>394</v>
      </c>
      <c r="K301" s="6">
        <v>1</v>
      </c>
      <c r="L301" s="5" t="s">
        <v>64</v>
      </c>
      <c r="M301" s="7" t="s">
        <v>115</v>
      </c>
      <c r="N301" s="8" t="s">
        <v>433</v>
      </c>
      <c r="O301" s="3" t="s">
        <v>154</v>
      </c>
      <c r="U301" s="9" t="s">
        <v>434</v>
      </c>
    </row>
    <row r="302" spans="2:21" ht="12.75" customHeight="1" x14ac:dyDescent="0.25">
      <c r="C302" s="3">
        <v>154</v>
      </c>
      <c r="D302" s="16" t="s">
        <v>435</v>
      </c>
      <c r="F302" s="3" t="s">
        <v>59</v>
      </c>
      <c r="G302" s="4" t="s">
        <v>60</v>
      </c>
      <c r="H302" s="5" t="s">
        <v>70</v>
      </c>
      <c r="I302" s="3" t="s">
        <v>62</v>
      </c>
      <c r="J302" s="4" t="s">
        <v>436</v>
      </c>
      <c r="K302" s="6">
        <v>1</v>
      </c>
      <c r="L302" s="5" t="s">
        <v>64</v>
      </c>
      <c r="M302" s="7" t="s">
        <v>113</v>
      </c>
      <c r="N302" s="8" t="s">
        <v>132</v>
      </c>
      <c r="O302" s="3" t="s">
        <v>67</v>
      </c>
    </row>
    <row r="303" spans="2:21" ht="12.75" customHeight="1" x14ac:dyDescent="0.25">
      <c r="C303" s="3">
        <v>155</v>
      </c>
      <c r="D303" s="16" t="s">
        <v>437</v>
      </c>
      <c r="F303" s="3" t="s">
        <v>59</v>
      </c>
      <c r="G303" s="4" t="s">
        <v>60</v>
      </c>
      <c r="H303" s="5" t="s">
        <v>70</v>
      </c>
      <c r="I303" s="3" t="s">
        <v>62</v>
      </c>
      <c r="J303" s="4" t="s">
        <v>436</v>
      </c>
      <c r="K303" s="6">
        <v>1</v>
      </c>
      <c r="L303" s="5" t="s">
        <v>64</v>
      </c>
      <c r="M303" s="7" t="s">
        <v>113</v>
      </c>
      <c r="N303" s="8" t="s">
        <v>132</v>
      </c>
      <c r="O303" s="3" t="s">
        <v>67</v>
      </c>
    </row>
    <row r="304" spans="2:21" ht="12.75" customHeight="1" x14ac:dyDescent="0.25">
      <c r="C304" s="3">
        <v>187</v>
      </c>
      <c r="D304" s="14" t="s">
        <v>438</v>
      </c>
      <c r="F304" s="3" t="s">
        <v>59</v>
      </c>
      <c r="G304" s="4" t="s">
        <v>60</v>
      </c>
      <c r="H304" s="5" t="s">
        <v>70</v>
      </c>
      <c r="I304" s="3" t="s">
        <v>62</v>
      </c>
      <c r="J304" s="4" t="s">
        <v>439</v>
      </c>
      <c r="K304" s="6">
        <v>1</v>
      </c>
      <c r="L304" s="5" t="s">
        <v>64</v>
      </c>
      <c r="M304" s="7" t="s">
        <v>71</v>
      </c>
      <c r="N304" s="8" t="s">
        <v>440</v>
      </c>
      <c r="O304" s="3" t="s">
        <v>441</v>
      </c>
    </row>
    <row r="305" spans="3:15" x14ac:dyDescent="0.25">
      <c r="C305" s="3">
        <v>157</v>
      </c>
      <c r="D305" s="16" t="s">
        <v>442</v>
      </c>
      <c r="F305" s="3" t="s">
        <v>59</v>
      </c>
      <c r="G305" s="4" t="s">
        <v>60</v>
      </c>
      <c r="H305" s="5" t="s">
        <v>70</v>
      </c>
      <c r="I305" s="3" t="s">
        <v>62</v>
      </c>
      <c r="J305" s="4" t="s">
        <v>436</v>
      </c>
      <c r="K305" s="6">
        <v>1</v>
      </c>
      <c r="L305" s="5" t="s">
        <v>64</v>
      </c>
      <c r="M305" s="7" t="s">
        <v>84</v>
      </c>
      <c r="N305" s="8" t="s">
        <v>132</v>
      </c>
      <c r="O305" s="3" t="s">
        <v>67</v>
      </c>
    </row>
    <row r="306" spans="3:15" x14ac:dyDescent="0.25">
      <c r="C306" s="3">
        <v>158</v>
      </c>
      <c r="D306" s="16" t="s">
        <v>443</v>
      </c>
      <c r="F306" s="3" t="s">
        <v>59</v>
      </c>
      <c r="G306" s="4" t="s">
        <v>60</v>
      </c>
      <c r="H306" s="5" t="s">
        <v>70</v>
      </c>
      <c r="I306" s="3" t="s">
        <v>62</v>
      </c>
      <c r="J306" s="4" t="s">
        <v>436</v>
      </c>
      <c r="K306" s="6">
        <v>1</v>
      </c>
      <c r="L306" s="5" t="s">
        <v>64</v>
      </c>
      <c r="M306" s="7" t="s">
        <v>84</v>
      </c>
      <c r="N306" s="8" t="s">
        <v>132</v>
      </c>
      <c r="O306" s="3" t="s">
        <v>67</v>
      </c>
    </row>
    <row r="307" spans="3:15" x14ac:dyDescent="0.25">
      <c r="C307" s="3">
        <v>160</v>
      </c>
      <c r="D307" s="16" t="s">
        <v>444</v>
      </c>
      <c r="F307" s="3" t="s">
        <v>59</v>
      </c>
      <c r="G307" s="4" t="s">
        <v>60</v>
      </c>
      <c r="H307" s="5" t="s">
        <v>70</v>
      </c>
      <c r="I307" s="3" t="s">
        <v>62</v>
      </c>
      <c r="J307" s="4" t="s">
        <v>394</v>
      </c>
      <c r="K307" s="6">
        <v>1</v>
      </c>
      <c r="L307" s="5" t="s">
        <v>64</v>
      </c>
      <c r="M307" s="7" t="s">
        <v>76</v>
      </c>
      <c r="N307" s="8" t="s">
        <v>132</v>
      </c>
      <c r="O307" s="3" t="s">
        <v>67</v>
      </c>
    </row>
    <row r="308" spans="3:15" x14ac:dyDescent="0.25">
      <c r="C308" s="3">
        <v>159</v>
      </c>
      <c r="D308" s="16" t="s">
        <v>445</v>
      </c>
      <c r="F308" s="3" t="s">
        <v>59</v>
      </c>
      <c r="G308" s="4" t="s">
        <v>60</v>
      </c>
      <c r="H308" s="5" t="s">
        <v>70</v>
      </c>
      <c r="I308" s="3" t="s">
        <v>62</v>
      </c>
      <c r="J308" s="4" t="s">
        <v>394</v>
      </c>
      <c r="K308" s="6">
        <v>1</v>
      </c>
      <c r="L308" s="5" t="s">
        <v>64</v>
      </c>
      <c r="M308" s="7" t="s">
        <v>76</v>
      </c>
      <c r="N308" s="8" t="s">
        <v>132</v>
      </c>
      <c r="O308" s="3" t="s">
        <v>67</v>
      </c>
    </row>
    <row r="309" spans="3:15" x14ac:dyDescent="0.25">
      <c r="C309" s="3">
        <v>190</v>
      </c>
      <c r="D309" s="14" t="s">
        <v>446</v>
      </c>
      <c r="F309" s="3" t="s">
        <v>59</v>
      </c>
      <c r="G309" s="4" t="s">
        <v>60</v>
      </c>
      <c r="H309" s="5" t="s">
        <v>70</v>
      </c>
      <c r="I309" s="3" t="s">
        <v>62</v>
      </c>
      <c r="J309" s="4" t="s">
        <v>447</v>
      </c>
      <c r="K309" s="6">
        <v>1</v>
      </c>
      <c r="L309" s="5" t="s">
        <v>64</v>
      </c>
      <c r="M309" s="7" t="s">
        <v>65</v>
      </c>
      <c r="N309" s="8" t="s">
        <v>440</v>
      </c>
      <c r="O309" s="3" t="s">
        <v>441</v>
      </c>
    </row>
    <row r="310" spans="3:15" x14ac:dyDescent="0.25">
      <c r="C310" s="3">
        <v>189</v>
      </c>
      <c r="D310" s="3" t="s">
        <v>448</v>
      </c>
      <c r="F310" s="3" t="s">
        <v>59</v>
      </c>
      <c r="G310" s="4" t="s">
        <v>60</v>
      </c>
      <c r="H310" s="5" t="s">
        <v>70</v>
      </c>
      <c r="I310" s="3" t="s">
        <v>62</v>
      </c>
      <c r="J310" s="4" t="s">
        <v>449</v>
      </c>
      <c r="K310" s="6">
        <v>1</v>
      </c>
      <c r="L310" s="5" t="s">
        <v>64</v>
      </c>
      <c r="M310" s="7" t="s">
        <v>65</v>
      </c>
      <c r="N310" s="8" t="s">
        <v>440</v>
      </c>
      <c r="O310" s="3" t="s">
        <v>441</v>
      </c>
    </row>
    <row r="311" spans="3:15" x14ac:dyDescent="0.25">
      <c r="C311" s="3">
        <v>161</v>
      </c>
      <c r="D311" s="16" t="s">
        <v>450</v>
      </c>
      <c r="F311" s="3" t="s">
        <v>59</v>
      </c>
      <c r="G311" s="4" t="s">
        <v>60</v>
      </c>
      <c r="H311" s="5" t="s">
        <v>70</v>
      </c>
      <c r="I311" s="3" t="s">
        <v>62</v>
      </c>
      <c r="J311" s="4" t="s">
        <v>436</v>
      </c>
      <c r="K311" s="6">
        <v>1</v>
      </c>
      <c r="L311" s="5" t="s">
        <v>64</v>
      </c>
      <c r="M311" s="7" t="s">
        <v>113</v>
      </c>
      <c r="N311" s="8" t="s">
        <v>132</v>
      </c>
      <c r="O311" s="3" t="s">
        <v>67</v>
      </c>
    </row>
  </sheetData>
  <mergeCells count="30">
    <mergeCell ref="C9:E9"/>
    <mergeCell ref="A1:D1"/>
    <mergeCell ref="E1:L1"/>
    <mergeCell ref="E2:L2"/>
    <mergeCell ref="B6:E6"/>
    <mergeCell ref="C7:E7"/>
    <mergeCell ref="C151:E151"/>
    <mergeCell ref="C27:E27"/>
    <mergeCell ref="C38:E38"/>
    <mergeCell ref="C42:E42"/>
    <mergeCell ref="C56:E56"/>
    <mergeCell ref="C59:E59"/>
    <mergeCell ref="C74:E74"/>
    <mergeCell ref="C104:E104"/>
    <mergeCell ref="C106:E106"/>
    <mergeCell ref="C113:E113"/>
    <mergeCell ref="C122:E122"/>
    <mergeCell ref="C143:E143"/>
    <mergeCell ref="C300:E300"/>
    <mergeCell ref="C160:E160"/>
    <mergeCell ref="C170:E170"/>
    <mergeCell ref="C174:E174"/>
    <mergeCell ref="C180:E180"/>
    <mergeCell ref="C191:E191"/>
    <mergeCell ref="C196:E196"/>
    <mergeCell ref="C205:E205"/>
    <mergeCell ref="C216:E216"/>
    <mergeCell ref="C222:E222"/>
    <mergeCell ref="C237:E237"/>
    <mergeCell ref="C248:E2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3" tint="0.39997558519241921"/>
  </sheetPr>
  <dimension ref="A1:N208"/>
  <sheetViews>
    <sheetView topLeftCell="A109" zoomScaleNormal="100" workbookViewId="0">
      <selection activeCell="H77" sqref="H77"/>
    </sheetView>
  </sheetViews>
  <sheetFormatPr defaultColWidth="9.140625" defaultRowHeight="21" x14ac:dyDescent="0.6"/>
  <cols>
    <col min="1" max="1" width="11.140625" style="74" customWidth="1"/>
    <col min="2" max="2" width="31.5703125" style="74" customWidth="1"/>
    <col min="3" max="3" width="13.28515625" style="74" customWidth="1"/>
    <col min="4" max="4" width="9.5703125" style="811" bestFit="1" customWidth="1"/>
    <col min="5" max="6" width="9.140625" style="74"/>
    <col min="7" max="7" width="15.42578125" style="189" customWidth="1"/>
    <col min="8" max="8" width="21" style="189" customWidth="1"/>
    <col min="9" max="9" width="19.42578125" style="74" customWidth="1"/>
    <col min="10" max="10" width="9.140625" style="51" customWidth="1"/>
    <col min="11" max="11" width="9.140625" style="51"/>
    <col min="12" max="12" width="11" style="51" customWidth="1"/>
    <col min="13" max="16384" width="9.140625" style="51"/>
  </cols>
  <sheetData>
    <row r="1" spans="1:11" s="74" customFormat="1" ht="18" x14ac:dyDescent="0.5">
      <c r="A1" s="933" t="s">
        <v>36</v>
      </c>
      <c r="B1" s="933"/>
      <c r="C1" s="933"/>
      <c r="D1" s="934"/>
      <c r="E1" s="933"/>
      <c r="F1" s="933"/>
      <c r="G1" s="933"/>
      <c r="H1" s="933"/>
      <c r="I1" s="933"/>
    </row>
    <row r="2" spans="1:11" s="74" customFormat="1" ht="18" x14ac:dyDescent="0.5">
      <c r="A2" s="75"/>
      <c r="B2" s="76"/>
      <c r="C2" s="76"/>
      <c r="D2" s="77"/>
      <c r="E2" s="77"/>
      <c r="F2" s="77"/>
      <c r="G2" s="61"/>
      <c r="H2" s="78"/>
      <c r="I2" s="60">
        <v>2100</v>
      </c>
    </row>
    <row r="3" spans="1:11" s="74" customFormat="1" ht="18.75" thickBot="1" x14ac:dyDescent="0.55000000000000004">
      <c r="A3" s="935" t="s">
        <v>0</v>
      </c>
      <c r="B3" s="935"/>
      <c r="C3" s="935"/>
      <c r="D3" s="935"/>
      <c r="E3" s="935"/>
      <c r="F3" s="935"/>
      <c r="G3" s="935"/>
      <c r="H3" s="935"/>
      <c r="I3" s="935"/>
    </row>
    <row r="4" spans="1:11" s="74" customFormat="1" ht="18" x14ac:dyDescent="0.5">
      <c r="A4" s="556" t="s">
        <v>720</v>
      </c>
      <c r="B4" s="547" t="s">
        <v>721</v>
      </c>
      <c r="C4" s="547"/>
      <c r="D4" s="548" t="s">
        <v>456</v>
      </c>
      <c r="E4" s="548"/>
      <c r="F4" s="548"/>
      <c r="G4" s="548" t="s">
        <v>1</v>
      </c>
      <c r="H4" s="541" t="s">
        <v>868</v>
      </c>
      <c r="I4" s="549" t="s">
        <v>2</v>
      </c>
      <c r="J4" s="74">
        <v>1</v>
      </c>
    </row>
    <row r="5" spans="1:11" s="74" customFormat="1" ht="18" x14ac:dyDescent="0.5">
      <c r="A5" s="550">
        <v>1</v>
      </c>
      <c r="B5" s="539" t="s">
        <v>5</v>
      </c>
      <c r="C5" s="539" t="s">
        <v>4</v>
      </c>
      <c r="D5" s="540" t="s">
        <v>3</v>
      </c>
      <c r="E5" s="540" t="s">
        <v>613</v>
      </c>
      <c r="F5" s="540" t="s">
        <v>614</v>
      </c>
      <c r="G5" s="540" t="s">
        <v>500</v>
      </c>
      <c r="H5" s="543" t="s">
        <v>7</v>
      </c>
      <c r="I5" s="637">
        <v>45574</v>
      </c>
    </row>
    <row r="6" spans="1:11" s="74" customFormat="1" ht="18.75" customHeight="1" thickBot="1" x14ac:dyDescent="0.55000000000000004">
      <c r="A6" s="551"/>
      <c r="B6" s="552"/>
      <c r="C6" s="552"/>
      <c r="D6" s="557">
        <v>1</v>
      </c>
      <c r="E6" s="557"/>
      <c r="F6" s="557"/>
      <c r="G6" s="553">
        <f>Summary!J9</f>
        <v>9000</v>
      </c>
      <c r="H6" s="638">
        <f>H24</f>
        <v>0.30662895045201388</v>
      </c>
      <c r="I6" s="555"/>
    </row>
    <row r="7" spans="1:11" s="74" customFormat="1" ht="18.75" thickBot="1" x14ac:dyDescent="0.55000000000000004">
      <c r="A7" s="60"/>
      <c r="B7" s="60"/>
      <c r="C7" s="60"/>
      <c r="D7" s="61"/>
      <c r="E7" s="61"/>
      <c r="F7" s="61"/>
      <c r="G7" s="61"/>
      <c r="H7" s="62"/>
      <c r="I7" s="60"/>
    </row>
    <row r="8" spans="1:11" s="74" customFormat="1" ht="20.25" customHeight="1" x14ac:dyDescent="0.5">
      <c r="A8" s="79" t="s">
        <v>605</v>
      </c>
      <c r="B8" s="64" t="s">
        <v>10</v>
      </c>
      <c r="C8" s="22" t="s">
        <v>9</v>
      </c>
      <c r="D8" s="54" t="s">
        <v>8</v>
      </c>
      <c r="E8" s="54" t="s">
        <v>613</v>
      </c>
      <c r="F8" s="54" t="s">
        <v>614</v>
      </c>
      <c r="G8" s="81" t="s">
        <v>11</v>
      </c>
      <c r="H8" s="82" t="s">
        <v>24</v>
      </c>
      <c r="I8" s="83" t="s">
        <v>25</v>
      </c>
    </row>
    <row r="9" spans="1:11" s="74" customFormat="1" ht="18" x14ac:dyDescent="0.5">
      <c r="A9" s="84" t="s">
        <v>469</v>
      </c>
      <c r="B9" s="38" t="s">
        <v>479</v>
      </c>
      <c r="C9" s="31" t="s">
        <v>471</v>
      </c>
      <c r="D9" s="32">
        <v>3.5000000000000003E-2</v>
      </c>
      <c r="E9" s="139">
        <v>0</v>
      </c>
      <c r="F9" s="25">
        <f t="shared" ref="F9:F16" si="0">D9+D9*E9</f>
        <v>3.5000000000000003E-2</v>
      </c>
      <c r="G9" s="34">
        <v>8000</v>
      </c>
      <c r="H9" s="55">
        <f>F9*G9</f>
        <v>280</v>
      </c>
      <c r="I9" s="87">
        <f t="shared" ref="I9:I18" si="1">H9/I$2</f>
        <v>0.13333333333333333</v>
      </c>
      <c r="K9" s="74">
        <f>+F9*1.6</f>
        <v>5.6000000000000008E-2</v>
      </c>
    </row>
    <row r="10" spans="1:11" s="74" customFormat="1" ht="18" x14ac:dyDescent="0.5">
      <c r="A10" s="88" t="s">
        <v>582</v>
      </c>
      <c r="B10" s="23" t="s">
        <v>481</v>
      </c>
      <c r="C10" s="24" t="s">
        <v>471</v>
      </c>
      <c r="D10" s="25">
        <v>0.04</v>
      </c>
      <c r="E10" s="139">
        <v>0</v>
      </c>
      <c r="F10" s="25">
        <f t="shared" si="0"/>
        <v>0.04</v>
      </c>
      <c r="G10" s="34">
        <v>12000</v>
      </c>
      <c r="H10" s="46">
        <f>F10*G10</f>
        <v>480</v>
      </c>
      <c r="I10" s="47">
        <f t="shared" si="1"/>
        <v>0.22857142857142856</v>
      </c>
      <c r="K10" s="74">
        <f>+F10*1.6</f>
        <v>6.4000000000000001E-2</v>
      </c>
    </row>
    <row r="11" spans="1:11" s="74" customFormat="1" ht="18" x14ac:dyDescent="0.5">
      <c r="A11" s="66" t="s">
        <v>470</v>
      </c>
      <c r="B11" s="23" t="s">
        <v>483</v>
      </c>
      <c r="C11" s="24" t="s">
        <v>23</v>
      </c>
      <c r="D11" s="25">
        <v>0.01</v>
      </c>
      <c r="E11" s="136">
        <v>0</v>
      </c>
      <c r="F11" s="32">
        <f t="shared" si="0"/>
        <v>0.01</v>
      </c>
      <c r="G11" s="34">
        <f>70000/1.62</f>
        <v>43209.876543209873</v>
      </c>
      <c r="H11" s="46">
        <f t="shared" ref="H11:H18" si="2">F11*G11</f>
        <v>432.09876543209873</v>
      </c>
      <c r="I11" s="47">
        <f t="shared" si="1"/>
        <v>0.20576131687242796</v>
      </c>
    </row>
    <row r="12" spans="1:11" s="74" customFormat="1" ht="18" x14ac:dyDescent="0.5">
      <c r="A12" s="84" t="s">
        <v>472</v>
      </c>
      <c r="B12" s="23" t="s">
        <v>625</v>
      </c>
      <c r="C12" s="24" t="s">
        <v>23</v>
      </c>
      <c r="D12" s="25">
        <v>0.03</v>
      </c>
      <c r="E12" s="136">
        <v>0.3</v>
      </c>
      <c r="F12" s="32">
        <f t="shared" si="0"/>
        <v>3.9E-2</v>
      </c>
      <c r="G12" s="34">
        <f>7000/1.62</f>
        <v>4320.9876543209875</v>
      </c>
      <c r="H12" s="55">
        <f t="shared" si="2"/>
        <v>168.5185185185185</v>
      </c>
      <c r="I12" s="47">
        <f t="shared" si="1"/>
        <v>8.0246913580246909E-2</v>
      </c>
    </row>
    <row r="13" spans="1:11" s="74" customFormat="1" ht="18" x14ac:dyDescent="0.5">
      <c r="A13" s="66" t="s">
        <v>477</v>
      </c>
      <c r="B13" s="26" t="s">
        <v>493</v>
      </c>
      <c r="C13" s="24" t="s">
        <v>23</v>
      </c>
      <c r="D13" s="25">
        <v>0.01</v>
      </c>
      <c r="E13" s="139">
        <v>0.2</v>
      </c>
      <c r="F13" s="25">
        <f t="shared" si="0"/>
        <v>1.2E-2</v>
      </c>
      <c r="G13" s="90">
        <f>22000/1.62</f>
        <v>13580.246913580246</v>
      </c>
      <c r="H13" s="46">
        <f t="shared" si="2"/>
        <v>162.96296296296296</v>
      </c>
      <c r="I13" s="47">
        <f t="shared" si="1"/>
        <v>7.7601410934744264E-2</v>
      </c>
    </row>
    <row r="14" spans="1:11" s="74" customFormat="1" ht="18" x14ac:dyDescent="0.5">
      <c r="A14" s="66" t="s">
        <v>473</v>
      </c>
      <c r="B14" s="23" t="s">
        <v>698</v>
      </c>
      <c r="C14" s="24" t="s">
        <v>23</v>
      </c>
      <c r="D14" s="25">
        <f>0.01/1</f>
        <v>0.01</v>
      </c>
      <c r="E14" s="139">
        <v>0.05</v>
      </c>
      <c r="F14" s="25">
        <f t="shared" si="0"/>
        <v>1.0500000000000001E-2</v>
      </c>
      <c r="G14" s="91">
        <f>7000/1.62</f>
        <v>4320.9876543209875</v>
      </c>
      <c r="H14" s="46">
        <f t="shared" si="2"/>
        <v>45.370370370370374</v>
      </c>
      <c r="I14" s="47">
        <f t="shared" si="1"/>
        <v>2.1604938271604941E-2</v>
      </c>
    </row>
    <row r="15" spans="1:11" s="74" customFormat="1" ht="18" x14ac:dyDescent="0.5">
      <c r="A15" s="92"/>
      <c r="B15" s="23" t="s">
        <v>687</v>
      </c>
      <c r="C15" s="24" t="s">
        <v>471</v>
      </c>
      <c r="D15" s="25">
        <v>0.03</v>
      </c>
      <c r="E15" s="136">
        <v>0</v>
      </c>
      <c r="F15" s="32">
        <f t="shared" si="0"/>
        <v>0.03</v>
      </c>
      <c r="G15" s="91">
        <v>18000</v>
      </c>
      <c r="H15" s="46">
        <f t="shared" ref="H15" si="3">F15*G15</f>
        <v>540</v>
      </c>
      <c r="I15" s="47">
        <f t="shared" ref="I15" si="4">H15/I$2</f>
        <v>0.25714285714285712</v>
      </c>
    </row>
    <row r="16" spans="1:11" s="74" customFormat="1" ht="18" x14ac:dyDescent="0.5">
      <c r="A16" s="84"/>
      <c r="B16" s="23" t="s">
        <v>615</v>
      </c>
      <c r="C16" s="24" t="s">
        <v>23</v>
      </c>
      <c r="D16" s="25">
        <v>0.02</v>
      </c>
      <c r="E16" s="136">
        <v>0.15</v>
      </c>
      <c r="F16" s="32">
        <f t="shared" si="0"/>
        <v>2.3E-2</v>
      </c>
      <c r="G16" s="91">
        <f>2000/1.8</f>
        <v>1111.1111111111111</v>
      </c>
      <c r="H16" s="55">
        <f t="shared" si="2"/>
        <v>25.555555555555554</v>
      </c>
      <c r="I16" s="87">
        <f t="shared" si="1"/>
        <v>1.2169312169312168E-2</v>
      </c>
    </row>
    <row r="17" spans="1:10" s="74" customFormat="1" ht="15.75" customHeight="1" x14ac:dyDescent="0.5">
      <c r="A17" s="66"/>
      <c r="B17" s="23" t="s">
        <v>719</v>
      </c>
      <c r="C17" s="30" t="s">
        <v>459</v>
      </c>
      <c r="D17" s="20">
        <v>0.01</v>
      </c>
      <c r="E17" s="45">
        <v>0</v>
      </c>
      <c r="F17" s="67">
        <f t="shared" ref="F17:F18" si="5">D17+D17*E17</f>
        <v>0.01</v>
      </c>
      <c r="G17" s="34">
        <f>42000/4.15</f>
        <v>10120.481927710842</v>
      </c>
      <c r="H17" s="46">
        <f t="shared" si="2"/>
        <v>101.20481927710841</v>
      </c>
      <c r="I17" s="47">
        <f t="shared" si="1"/>
        <v>4.8192771084337338E-2</v>
      </c>
    </row>
    <row r="18" spans="1:10" s="74" customFormat="1" ht="18" x14ac:dyDescent="0.5">
      <c r="A18" s="66"/>
      <c r="B18" s="23" t="s">
        <v>709</v>
      </c>
      <c r="C18" s="19" t="s">
        <v>19</v>
      </c>
      <c r="D18" s="20">
        <v>1</v>
      </c>
      <c r="E18" s="45">
        <v>0</v>
      </c>
      <c r="F18" s="20">
        <f t="shared" si="5"/>
        <v>1</v>
      </c>
      <c r="G18" s="34">
        <v>200</v>
      </c>
      <c r="H18" s="55">
        <f t="shared" si="2"/>
        <v>200</v>
      </c>
      <c r="I18" s="87">
        <f t="shared" si="1"/>
        <v>9.5238095238095233E-2</v>
      </c>
    </row>
    <row r="19" spans="1:10" s="74" customFormat="1" ht="18.75" thickBot="1" x14ac:dyDescent="0.55000000000000004">
      <c r="A19" s="93"/>
      <c r="B19" s="94"/>
      <c r="C19" s="95"/>
      <c r="D19" s="96"/>
      <c r="E19" s="96"/>
      <c r="F19" s="96"/>
      <c r="G19" s="97"/>
      <c r="H19" s="59"/>
      <c r="I19" s="98"/>
    </row>
    <row r="20" spans="1:10" s="74" customFormat="1" ht="18" x14ac:dyDescent="0.5">
      <c r="A20" s="60"/>
      <c r="B20" s="99" t="s">
        <v>4</v>
      </c>
      <c r="C20" s="69"/>
      <c r="D20" s="70"/>
      <c r="E20" s="70"/>
      <c r="F20" s="70"/>
      <c r="G20" s="70"/>
      <c r="H20" s="71">
        <f>SUM(H9:H19)</f>
        <v>2435.7109921166152</v>
      </c>
      <c r="I20" s="100">
        <f>SUM(I9:I18)</f>
        <v>1.159862377198388</v>
      </c>
    </row>
    <row r="21" spans="1:10" s="74" customFormat="1" ht="13.5" customHeight="1" x14ac:dyDescent="0.5">
      <c r="A21" s="60"/>
      <c r="B21" s="101" t="s">
        <v>14</v>
      </c>
      <c r="C21" s="22"/>
      <c r="D21" s="54"/>
      <c r="E21" s="54"/>
      <c r="F21" s="54"/>
      <c r="G21" s="54"/>
      <c r="H21" s="73">
        <f>H20/1</f>
        <v>2435.7109921166152</v>
      </c>
      <c r="I21" s="54"/>
    </row>
    <row r="22" spans="1:10" s="74" customFormat="1" ht="18" x14ac:dyDescent="0.5">
      <c r="A22" s="60"/>
      <c r="B22" s="101" t="s">
        <v>453</v>
      </c>
      <c r="C22" s="22"/>
      <c r="D22" s="54"/>
      <c r="E22" s="54"/>
      <c r="F22" s="54"/>
      <c r="G22" s="54"/>
      <c r="H22" s="104">
        <f>G6</f>
        <v>9000</v>
      </c>
      <c r="I22" s="104"/>
    </row>
    <row r="23" spans="1:10" s="74" customFormat="1" ht="18" x14ac:dyDescent="0.5">
      <c r="A23" s="60"/>
      <c r="B23" s="101" t="s">
        <v>455</v>
      </c>
      <c r="C23" s="22"/>
      <c r="D23" s="54"/>
      <c r="E23" s="54"/>
      <c r="F23" s="54"/>
      <c r="G23" s="54"/>
      <c r="H23" s="104">
        <f>H22/113.3%</f>
        <v>7943.51279788173</v>
      </c>
      <c r="I23" s="104"/>
    </row>
    <row r="24" spans="1:10" s="74" customFormat="1" ht="18" x14ac:dyDescent="0.5">
      <c r="A24" s="60"/>
      <c r="B24" s="101" t="s">
        <v>16</v>
      </c>
      <c r="C24" s="22"/>
      <c r="D24" s="54"/>
      <c r="E24" s="54"/>
      <c r="F24" s="54"/>
      <c r="G24" s="54"/>
      <c r="H24" s="814">
        <f>H21/H23</f>
        <v>0.30662895045201388</v>
      </c>
      <c r="I24" s="105"/>
    </row>
    <row r="25" spans="1:10" s="74" customFormat="1" ht="18" x14ac:dyDescent="0.5">
      <c r="A25" s="60"/>
      <c r="B25" s="101"/>
      <c r="C25" s="22"/>
      <c r="D25" s="54"/>
      <c r="E25" s="54"/>
      <c r="F25" s="54"/>
      <c r="G25" s="54"/>
      <c r="H25" s="106"/>
      <c r="I25" s="107"/>
    </row>
    <row r="26" spans="1:10" s="74" customFormat="1" ht="18.75" thickBot="1" x14ac:dyDescent="0.55000000000000004">
      <c r="B26" s="108"/>
      <c r="C26" s="109"/>
      <c r="D26" s="110"/>
      <c r="E26" s="110"/>
      <c r="F26" s="110"/>
      <c r="G26" s="111"/>
      <c r="H26" s="112"/>
      <c r="I26" s="113"/>
    </row>
    <row r="27" spans="1:10" s="74" customFormat="1" ht="18" x14ac:dyDescent="0.5">
      <c r="D27" s="77"/>
      <c r="E27" s="77"/>
      <c r="F27" s="77"/>
      <c r="G27" s="114"/>
      <c r="H27" s="115"/>
    </row>
    <row r="28" spans="1:10" s="74" customFormat="1" ht="18.75" thickBot="1" x14ac:dyDescent="0.55000000000000004">
      <c r="A28" s="76"/>
      <c r="B28" s="76"/>
      <c r="C28" s="76"/>
      <c r="D28" s="116" t="s">
        <v>0</v>
      </c>
      <c r="E28" s="116"/>
      <c r="F28" s="116"/>
      <c r="G28" s="61"/>
      <c r="H28" s="62"/>
      <c r="I28" s="60"/>
    </row>
    <row r="29" spans="1:10" s="119" customFormat="1" ht="18" customHeight="1" x14ac:dyDescent="0.5">
      <c r="A29" s="546" t="s">
        <v>722</v>
      </c>
      <c r="B29" s="547" t="s">
        <v>685</v>
      </c>
      <c r="C29" s="547"/>
      <c r="D29" s="548" t="s">
        <v>456</v>
      </c>
      <c r="E29" s="548"/>
      <c r="F29" s="548"/>
      <c r="G29" s="548" t="s">
        <v>1</v>
      </c>
      <c r="H29" s="541" t="s">
        <v>868</v>
      </c>
      <c r="I29" s="549" t="s">
        <v>921</v>
      </c>
      <c r="J29" s="119">
        <v>2</v>
      </c>
    </row>
    <row r="30" spans="1:10" s="119" customFormat="1" ht="18" x14ac:dyDescent="0.5">
      <c r="A30" s="550">
        <v>2</v>
      </c>
      <c r="B30" s="539" t="s">
        <v>5</v>
      </c>
      <c r="C30" s="539" t="s">
        <v>4</v>
      </c>
      <c r="D30" s="540" t="s">
        <v>3</v>
      </c>
      <c r="E30" s="540" t="s">
        <v>613</v>
      </c>
      <c r="F30" s="540" t="s">
        <v>614</v>
      </c>
      <c r="G30" s="540" t="s">
        <v>500</v>
      </c>
      <c r="H30" s="543" t="s">
        <v>7</v>
      </c>
      <c r="I30" s="636">
        <f>I5</f>
        <v>45574</v>
      </c>
    </row>
    <row r="31" spans="1:10" s="119" customFormat="1" ht="18.75" thickBot="1" x14ac:dyDescent="0.55000000000000004">
      <c r="A31" s="551"/>
      <c r="B31" s="552"/>
      <c r="C31" s="552"/>
      <c r="D31" s="553">
        <v>1</v>
      </c>
      <c r="E31" s="553"/>
      <c r="F31" s="553"/>
      <c r="G31" s="553">
        <f>Summary!J10</f>
        <v>9000</v>
      </c>
      <c r="H31" s="638">
        <f>H41</f>
        <v>0.22681537617135208</v>
      </c>
      <c r="I31" s="555"/>
    </row>
    <row r="32" spans="1:10" s="119" customFormat="1" ht="20.25" customHeight="1" thickBot="1" x14ac:dyDescent="0.55000000000000004">
      <c r="A32" s="124"/>
      <c r="B32" s="124"/>
      <c r="C32" s="124"/>
      <c r="D32" s="125"/>
      <c r="E32" s="125"/>
      <c r="F32" s="125"/>
      <c r="G32" s="125"/>
      <c r="H32" s="126"/>
      <c r="I32" s="124"/>
    </row>
    <row r="33" spans="1:12" s="119" customFormat="1" ht="18.75" thickBot="1" x14ac:dyDescent="0.55000000000000004">
      <c r="A33" s="127" t="s">
        <v>605</v>
      </c>
      <c r="B33" s="128" t="s">
        <v>10</v>
      </c>
      <c r="C33" s="129" t="s">
        <v>9</v>
      </c>
      <c r="D33" s="130" t="s">
        <v>8</v>
      </c>
      <c r="E33" s="131" t="s">
        <v>613</v>
      </c>
      <c r="F33" s="131" t="s">
        <v>614</v>
      </c>
      <c r="G33" s="132" t="s">
        <v>11</v>
      </c>
      <c r="H33" s="133" t="s">
        <v>24</v>
      </c>
      <c r="I33" s="134" t="s">
        <v>25</v>
      </c>
    </row>
    <row r="34" spans="1:12" s="119" customFormat="1" ht="18" x14ac:dyDescent="0.5">
      <c r="A34" s="135" t="s">
        <v>478</v>
      </c>
      <c r="B34" s="29" t="s">
        <v>685</v>
      </c>
      <c r="C34" s="41" t="s">
        <v>27</v>
      </c>
      <c r="D34" s="25">
        <v>0.3</v>
      </c>
      <c r="E34" s="139">
        <v>0</v>
      </c>
      <c r="F34" s="32">
        <f>D34+D34*E34</f>
        <v>0.3</v>
      </c>
      <c r="G34" s="39">
        <v>3500</v>
      </c>
      <c r="H34" s="68">
        <f t="shared" ref="H34:H36" si="6">F34*G34</f>
        <v>1050</v>
      </c>
      <c r="I34" s="137">
        <f t="shared" ref="I34:I36" si="7">H34/I$2</f>
        <v>0.5</v>
      </c>
    </row>
    <row r="35" spans="1:12" s="119" customFormat="1" ht="16.5" customHeight="1" x14ac:dyDescent="0.5">
      <c r="A35" s="138" t="s">
        <v>480</v>
      </c>
      <c r="B35" s="23" t="s">
        <v>655</v>
      </c>
      <c r="C35" s="24" t="s">
        <v>471</v>
      </c>
      <c r="D35" s="25">
        <v>0.08</v>
      </c>
      <c r="E35" s="139">
        <v>0</v>
      </c>
      <c r="F35" s="32">
        <f>D35+D35*E35</f>
        <v>0.08</v>
      </c>
      <c r="G35" s="35">
        <v>7800</v>
      </c>
      <c r="H35" s="122">
        <f t="shared" si="6"/>
        <v>624</v>
      </c>
      <c r="I35" s="140">
        <f t="shared" si="7"/>
        <v>0.29714285714285715</v>
      </c>
    </row>
    <row r="36" spans="1:12" s="119" customFormat="1" ht="18.75" thickBot="1" x14ac:dyDescent="0.55000000000000004">
      <c r="A36" s="141" t="s">
        <v>482</v>
      </c>
      <c r="B36" s="23" t="s">
        <v>688</v>
      </c>
      <c r="C36" s="24" t="s">
        <v>459</v>
      </c>
      <c r="D36" s="25">
        <v>0.02</v>
      </c>
      <c r="E36" s="139">
        <v>0</v>
      </c>
      <c r="F36" s="32">
        <f>D36+D36*E36</f>
        <v>0.02</v>
      </c>
      <c r="G36" s="35">
        <f>26500/4.15</f>
        <v>6385.5421686746986</v>
      </c>
      <c r="H36" s="68">
        <f t="shared" si="6"/>
        <v>127.71084337349397</v>
      </c>
      <c r="I36" s="142">
        <f t="shared" si="7"/>
        <v>6.0814687320711415E-2</v>
      </c>
    </row>
    <row r="37" spans="1:12" s="74" customFormat="1" ht="18" x14ac:dyDescent="0.5">
      <c r="A37" s="60"/>
      <c r="B37" s="99" t="s">
        <v>4</v>
      </c>
      <c r="C37" s="69"/>
      <c r="D37" s="70"/>
      <c r="E37" s="70"/>
      <c r="F37" s="70"/>
      <c r="G37" s="70"/>
      <c r="H37" s="71">
        <f>SUM(H34:H36)</f>
        <v>1801.7108433734941</v>
      </c>
      <c r="I37" s="148">
        <f>SUM(I34:I36)</f>
        <v>0.85795754446356853</v>
      </c>
    </row>
    <row r="38" spans="1:12" s="74" customFormat="1" ht="18" x14ac:dyDescent="0.5">
      <c r="A38" s="60"/>
      <c r="B38" s="101" t="s">
        <v>14</v>
      </c>
      <c r="C38" s="22"/>
      <c r="D38" s="54"/>
      <c r="E38" s="54"/>
      <c r="F38" s="54"/>
      <c r="G38" s="54"/>
      <c r="H38" s="73">
        <f>H37/1</f>
        <v>1801.7108433734941</v>
      </c>
      <c r="I38" s="103">
        <f>H38</f>
        <v>1801.7108433734941</v>
      </c>
    </row>
    <row r="39" spans="1:12" s="74" customFormat="1" ht="18" x14ac:dyDescent="0.5">
      <c r="A39" s="60"/>
      <c r="B39" s="101" t="s">
        <v>453</v>
      </c>
      <c r="C39" s="22"/>
      <c r="D39" s="54"/>
      <c r="E39" s="54"/>
      <c r="F39" s="54"/>
      <c r="G39" s="54"/>
      <c r="H39" s="102">
        <f>G31</f>
        <v>9000</v>
      </c>
      <c r="I39" s="102"/>
      <c r="L39" s="149"/>
    </row>
    <row r="40" spans="1:12" s="74" customFormat="1" ht="18" x14ac:dyDescent="0.5">
      <c r="A40" s="60"/>
      <c r="B40" s="101" t="s">
        <v>455</v>
      </c>
      <c r="C40" s="22"/>
      <c r="D40" s="54"/>
      <c r="E40" s="54"/>
      <c r="F40" s="54"/>
      <c r="G40" s="54"/>
      <c r="H40" s="104">
        <f>H39/113.3%</f>
        <v>7943.51279788173</v>
      </c>
      <c r="I40" s="104"/>
    </row>
    <row r="41" spans="1:12" s="74" customFormat="1" ht="18" x14ac:dyDescent="0.5">
      <c r="A41" s="60"/>
      <c r="B41" s="101" t="s">
        <v>16</v>
      </c>
      <c r="C41" s="22"/>
      <c r="D41" s="54"/>
      <c r="E41" s="54"/>
      <c r="F41" s="54"/>
      <c r="G41" s="54"/>
      <c r="H41" s="502">
        <f>H38/H40</f>
        <v>0.22681537617135208</v>
      </c>
      <c r="I41" s="170"/>
    </row>
    <row r="42" spans="1:12" s="74" customFormat="1" ht="18" x14ac:dyDescent="0.5">
      <c r="A42" s="60"/>
      <c r="B42" s="101"/>
      <c r="C42" s="22"/>
      <c r="D42" s="54"/>
      <c r="E42" s="54"/>
      <c r="F42" s="54"/>
      <c r="G42" s="54"/>
      <c r="H42" s="73"/>
      <c r="I42" s="56"/>
    </row>
    <row r="43" spans="1:12" s="74" customFormat="1" ht="18.75" thickBot="1" x14ac:dyDescent="0.55000000000000004">
      <c r="A43" s="60"/>
      <c r="B43" s="150"/>
      <c r="C43" s="151"/>
      <c r="D43" s="57"/>
      <c r="E43" s="57"/>
      <c r="F43" s="57"/>
      <c r="G43" s="57"/>
      <c r="H43" s="152"/>
      <c r="I43" s="153"/>
    </row>
    <row r="44" spans="1:12" ht="21.75" thickBot="1" x14ac:dyDescent="0.65">
      <c r="B44" s="76"/>
      <c r="C44" s="76"/>
      <c r="D44" s="116" t="s">
        <v>0</v>
      </c>
      <c r="E44" s="116"/>
      <c r="F44" s="116"/>
      <c r="G44" s="61"/>
      <c r="H44" s="62"/>
      <c r="I44" s="60"/>
    </row>
    <row r="45" spans="1:12" x14ac:dyDescent="0.6">
      <c r="A45" s="537" t="s">
        <v>665</v>
      </c>
      <c r="B45" s="538" t="s">
        <v>628</v>
      </c>
      <c r="C45" s="539"/>
      <c r="D45" s="540"/>
      <c r="E45" s="540"/>
      <c r="F45" s="540"/>
      <c r="G45" s="540" t="s">
        <v>1</v>
      </c>
      <c r="H45" s="541" t="s">
        <v>868</v>
      </c>
      <c r="I45" s="549" t="s">
        <v>921</v>
      </c>
    </row>
    <row r="46" spans="1:12" x14ac:dyDescent="0.6">
      <c r="A46" s="542">
        <v>3</v>
      </c>
      <c r="B46" s="542" t="s">
        <v>5</v>
      </c>
      <c r="C46" s="542" t="s">
        <v>4</v>
      </c>
      <c r="D46" s="540" t="s">
        <v>3</v>
      </c>
      <c r="E46" s="540" t="s">
        <v>613</v>
      </c>
      <c r="F46" s="540" t="s">
        <v>614</v>
      </c>
      <c r="G46" s="540" t="s">
        <v>6</v>
      </c>
      <c r="H46" s="543" t="s">
        <v>7</v>
      </c>
      <c r="I46" s="639">
        <f>I30</f>
        <v>45574</v>
      </c>
    </row>
    <row r="47" spans="1:12" ht="21.75" thickBot="1" x14ac:dyDescent="0.65">
      <c r="A47" s="542"/>
      <c r="B47" s="544"/>
      <c r="C47" s="544"/>
      <c r="D47" s="540">
        <v>1</v>
      </c>
      <c r="E47" s="540"/>
      <c r="F47" s="540"/>
      <c r="G47" s="540">
        <f>Summary!J11</f>
        <v>11000</v>
      </c>
      <c r="H47" s="640">
        <f>H56</f>
        <v>0.35067404819277109</v>
      </c>
      <c r="I47" s="545"/>
    </row>
    <row r="48" spans="1:12" x14ac:dyDescent="0.6">
      <c r="A48" s="194" t="s">
        <v>605</v>
      </c>
      <c r="B48" s="166" t="s">
        <v>10</v>
      </c>
      <c r="C48" s="166" t="s">
        <v>9</v>
      </c>
      <c r="D48" s="117" t="s">
        <v>8</v>
      </c>
      <c r="E48" s="117" t="s">
        <v>613</v>
      </c>
      <c r="F48" s="117" t="s">
        <v>614</v>
      </c>
      <c r="G48" s="117" t="s">
        <v>11</v>
      </c>
      <c r="H48" s="118" t="s">
        <v>24</v>
      </c>
      <c r="I48" s="195" t="s">
        <v>25</v>
      </c>
    </row>
    <row r="49" spans="1:10" x14ac:dyDescent="0.6">
      <c r="A49" s="141" t="s">
        <v>469</v>
      </c>
      <c r="B49" s="29" t="s">
        <v>628</v>
      </c>
      <c r="C49" s="41" t="s">
        <v>23</v>
      </c>
      <c r="D49" s="25">
        <v>0.13</v>
      </c>
      <c r="E49" s="139">
        <v>0</v>
      </c>
      <c r="F49" s="32">
        <f t="shared" ref="F49:F51" si="8">D49+D49*E49</f>
        <v>0.13</v>
      </c>
      <c r="G49" s="35">
        <v>21000</v>
      </c>
      <c r="H49" s="68">
        <f t="shared" ref="H49:H51" si="9">F49*G49</f>
        <v>2730</v>
      </c>
      <c r="I49" s="161">
        <f>H49/I$2</f>
        <v>1.3</v>
      </c>
    </row>
    <row r="50" spans="1:10" x14ac:dyDescent="0.6">
      <c r="A50" s="141"/>
      <c r="B50" s="23" t="s">
        <v>655</v>
      </c>
      <c r="C50" s="24" t="s">
        <v>471</v>
      </c>
      <c r="D50" s="25">
        <v>0.08</v>
      </c>
      <c r="E50" s="139">
        <v>0</v>
      </c>
      <c r="F50" s="32">
        <f t="shared" si="8"/>
        <v>0.08</v>
      </c>
      <c r="G50" s="35">
        <v>7800</v>
      </c>
      <c r="H50" s="68">
        <f t="shared" si="9"/>
        <v>624</v>
      </c>
      <c r="I50" s="161">
        <f t="shared" ref="I50:I51" si="10">H50/I$2</f>
        <v>0.29714285714285715</v>
      </c>
    </row>
    <row r="51" spans="1:10" ht="21.75" thickBot="1" x14ac:dyDescent="0.65">
      <c r="A51" s="144" t="s">
        <v>588</v>
      </c>
      <c r="B51" s="23" t="s">
        <v>639</v>
      </c>
      <c r="C51" s="24" t="s">
        <v>459</v>
      </c>
      <c r="D51" s="25">
        <v>0.01</v>
      </c>
      <c r="E51" s="139">
        <v>0</v>
      </c>
      <c r="F51" s="32">
        <f t="shared" si="8"/>
        <v>0.01</v>
      </c>
      <c r="G51" s="143">
        <f>21000/4.15</f>
        <v>5060.2409638554209</v>
      </c>
      <c r="H51" s="68">
        <f t="shared" si="9"/>
        <v>50.602409638554207</v>
      </c>
      <c r="I51" s="161">
        <f t="shared" si="10"/>
        <v>2.4096385542168669E-2</v>
      </c>
    </row>
    <row r="52" spans="1:10" x14ac:dyDescent="0.6">
      <c r="A52" s="203"/>
      <c r="B52" s="204" t="s">
        <v>4</v>
      </c>
      <c r="C52" s="205"/>
      <c r="D52" s="206"/>
      <c r="E52" s="206"/>
      <c r="F52" s="206"/>
      <c r="G52" s="206"/>
      <c r="H52" s="207">
        <f>SUM(H49:H51)</f>
        <v>3404.602409638554</v>
      </c>
      <c r="I52" s="208">
        <f>SUM(I49:I51)</f>
        <v>1.6212392426850259</v>
      </c>
    </row>
    <row r="53" spans="1:10" x14ac:dyDescent="0.6">
      <c r="A53" s="209"/>
      <c r="B53" s="210" t="s">
        <v>14</v>
      </c>
      <c r="C53" s="211"/>
      <c r="D53" s="212"/>
      <c r="E53" s="212"/>
      <c r="F53" s="213"/>
      <c r="G53" s="212"/>
      <c r="H53" s="214">
        <f>H52/1</f>
        <v>3404.602409638554</v>
      </c>
      <c r="I53" s="104">
        <f>H53</f>
        <v>3404.602409638554</v>
      </c>
    </row>
    <row r="54" spans="1:10" x14ac:dyDescent="0.6">
      <c r="A54" s="209"/>
      <c r="B54" s="210" t="s">
        <v>453</v>
      </c>
      <c r="C54" s="211"/>
      <c r="D54" s="212"/>
      <c r="E54" s="212"/>
      <c r="F54" s="212"/>
      <c r="G54" s="212"/>
      <c r="H54" s="476">
        <f>G47</f>
        <v>11000</v>
      </c>
      <c r="I54" s="476"/>
    </row>
    <row r="55" spans="1:10" x14ac:dyDescent="0.6">
      <c r="A55" s="209"/>
      <c r="B55" s="168" t="s">
        <v>455</v>
      </c>
      <c r="C55" s="211"/>
      <c r="D55" s="212"/>
      <c r="E55" s="212"/>
      <c r="F55" s="212"/>
      <c r="G55" s="212"/>
      <c r="H55" s="104">
        <f>H54/113.3%</f>
        <v>9708.7378640776697</v>
      </c>
      <c r="I55" s="104"/>
    </row>
    <row r="56" spans="1:10" x14ac:dyDescent="0.6">
      <c r="A56" s="209"/>
      <c r="B56" s="210" t="s">
        <v>16</v>
      </c>
      <c r="C56" s="211"/>
      <c r="D56" s="212"/>
      <c r="E56" s="212"/>
      <c r="F56" s="212"/>
      <c r="G56" s="212"/>
      <c r="H56" s="566">
        <f>H53/H55</f>
        <v>0.35067404819277109</v>
      </c>
      <c r="I56" s="566"/>
    </row>
    <row r="57" spans="1:10" x14ac:dyDescent="0.6">
      <c r="A57" s="209"/>
      <c r="B57" s="210"/>
      <c r="C57" s="211"/>
      <c r="D57" s="212"/>
      <c r="E57" s="212"/>
      <c r="F57" s="212"/>
      <c r="G57" s="212"/>
      <c r="H57" s="214"/>
      <c r="I57" s="215"/>
    </row>
    <row r="58" spans="1:10" ht="21.75" thickBot="1" x14ac:dyDescent="0.65">
      <c r="A58" s="209"/>
      <c r="B58" s="216"/>
      <c r="C58" s="217"/>
      <c r="D58" s="218"/>
      <c r="E58" s="218"/>
      <c r="F58" s="218"/>
      <c r="G58" s="218"/>
      <c r="H58" s="219"/>
      <c r="I58" s="220"/>
    </row>
    <row r="60" spans="1:10" s="74" customFormat="1" ht="18" x14ac:dyDescent="0.5">
      <c r="D60" s="77"/>
      <c r="E60" s="77"/>
      <c r="F60" s="77"/>
      <c r="G60" s="114"/>
      <c r="H60" s="115"/>
    </row>
    <row r="61" spans="1:10" s="119" customFormat="1" ht="18.75" thickBot="1" x14ac:dyDescent="0.55000000000000004">
      <c r="A61" s="154"/>
      <c r="B61" s="154"/>
      <c r="C61" s="154"/>
      <c r="D61" s="155" t="s">
        <v>0</v>
      </c>
      <c r="E61" s="155"/>
      <c r="F61" s="155"/>
      <c r="G61" s="155"/>
      <c r="H61" s="126"/>
      <c r="I61" s="124"/>
    </row>
    <row r="62" spans="1:10" s="119" customFormat="1" ht="18" x14ac:dyDescent="0.5">
      <c r="A62" s="558" t="s">
        <v>665</v>
      </c>
      <c r="B62" s="559" t="s">
        <v>723</v>
      </c>
      <c r="C62" s="547"/>
      <c r="D62" s="548" t="s">
        <v>456</v>
      </c>
      <c r="E62" s="548"/>
      <c r="F62" s="548"/>
      <c r="G62" s="548" t="s">
        <v>1</v>
      </c>
      <c r="H62" s="541" t="s">
        <v>868</v>
      </c>
      <c r="I62" s="549" t="s">
        <v>2</v>
      </c>
      <c r="J62" s="119">
        <v>3</v>
      </c>
    </row>
    <row r="63" spans="1:10" s="119" customFormat="1" ht="18" x14ac:dyDescent="0.5">
      <c r="A63" s="550">
        <v>4</v>
      </c>
      <c r="B63" s="539" t="s">
        <v>5</v>
      </c>
      <c r="C63" s="539" t="s">
        <v>4</v>
      </c>
      <c r="D63" s="540" t="s">
        <v>3</v>
      </c>
      <c r="E63" s="540" t="s">
        <v>613</v>
      </c>
      <c r="F63" s="540" t="s">
        <v>614</v>
      </c>
      <c r="G63" s="540" t="s">
        <v>500</v>
      </c>
      <c r="H63" s="543" t="s">
        <v>7</v>
      </c>
      <c r="I63" s="636">
        <f>I46</f>
        <v>45574</v>
      </c>
    </row>
    <row r="64" spans="1:10" s="119" customFormat="1" ht="18.75" thickBot="1" x14ac:dyDescent="0.55000000000000004">
      <c r="A64" s="551"/>
      <c r="B64" s="552"/>
      <c r="C64" s="552"/>
      <c r="D64" s="553">
        <v>1</v>
      </c>
      <c r="E64" s="553"/>
      <c r="F64" s="553"/>
      <c r="G64" s="553">
        <f>Summary!J12</f>
        <v>16000</v>
      </c>
      <c r="H64" s="638">
        <f>H79</f>
        <v>0.38672316578703697</v>
      </c>
      <c r="I64" s="555"/>
    </row>
    <row r="65" spans="1:9" s="119" customFormat="1" ht="18.75" thickBot="1" x14ac:dyDescent="0.55000000000000004">
      <c r="A65" s="124"/>
      <c r="B65" s="124"/>
      <c r="C65" s="124"/>
      <c r="D65" s="125"/>
      <c r="E65" s="125"/>
      <c r="F65" s="125"/>
      <c r="G65" s="125"/>
      <c r="H65" s="126"/>
      <c r="I65" s="124"/>
    </row>
    <row r="66" spans="1:9" s="119" customFormat="1" ht="18.75" thickBot="1" x14ac:dyDescent="0.55000000000000004">
      <c r="A66" s="156" t="s">
        <v>605</v>
      </c>
      <c r="B66" s="157" t="s">
        <v>10</v>
      </c>
      <c r="C66" s="157" t="s">
        <v>9</v>
      </c>
      <c r="D66" s="131" t="s">
        <v>8</v>
      </c>
      <c r="E66" s="961" t="s">
        <v>613</v>
      </c>
      <c r="F66" s="131" t="s">
        <v>614</v>
      </c>
      <c r="G66" s="131" t="s">
        <v>11</v>
      </c>
      <c r="H66" s="158" t="s">
        <v>24</v>
      </c>
      <c r="I66" s="134" t="s">
        <v>25</v>
      </c>
    </row>
    <row r="67" spans="1:9" s="119" customFormat="1" ht="18" x14ac:dyDescent="0.5">
      <c r="A67" s="159" t="s">
        <v>514</v>
      </c>
      <c r="B67" s="954" t="s">
        <v>464</v>
      </c>
      <c r="C67" s="955" t="s">
        <v>23</v>
      </c>
      <c r="D67" s="956">
        <v>0.24</v>
      </c>
      <c r="E67" s="957">
        <v>0.34</v>
      </c>
      <c r="F67" s="956">
        <f t="shared" ref="F67:F71" si="11">D67+D67*E67</f>
        <v>0.3216</v>
      </c>
      <c r="G67" s="958">
        <f>22000/1.62</f>
        <v>13580.246913580246</v>
      </c>
      <c r="H67" s="959">
        <f t="shared" ref="H67:H71" si="12">F67*G67</f>
        <v>4367.4074074074069</v>
      </c>
      <c r="I67" s="960">
        <f t="shared" ref="I67:I71" si="13">H67/I$2</f>
        <v>2.079717813051146</v>
      </c>
    </row>
    <row r="68" spans="1:9" s="119" customFormat="1" ht="18" x14ac:dyDescent="0.5">
      <c r="A68" s="144" t="s">
        <v>513</v>
      </c>
      <c r="B68" s="23" t="s">
        <v>655</v>
      </c>
      <c r="C68" s="24" t="s">
        <v>471</v>
      </c>
      <c r="D68" s="25">
        <v>7.0000000000000007E-2</v>
      </c>
      <c r="E68" s="136">
        <v>0</v>
      </c>
      <c r="F68" s="32">
        <f t="shared" si="11"/>
        <v>7.0000000000000007E-2</v>
      </c>
      <c r="G68" s="143">
        <v>7800</v>
      </c>
      <c r="H68" s="68">
        <f t="shared" si="12"/>
        <v>546</v>
      </c>
      <c r="I68" s="161">
        <f t="shared" si="13"/>
        <v>0.26</v>
      </c>
    </row>
    <row r="69" spans="1:9" s="119" customFormat="1" ht="18" x14ac:dyDescent="0.5">
      <c r="A69" s="141" t="s">
        <v>501</v>
      </c>
      <c r="B69" s="23" t="s">
        <v>609</v>
      </c>
      <c r="C69" s="24" t="s">
        <v>463</v>
      </c>
      <c r="D69" s="25">
        <v>5.0000000000000001E-3</v>
      </c>
      <c r="E69" s="136">
        <v>0</v>
      </c>
      <c r="F69" s="32">
        <f t="shared" si="11"/>
        <v>5.0000000000000001E-3</v>
      </c>
      <c r="G69" s="143">
        <v>14000</v>
      </c>
      <c r="H69" s="68">
        <f t="shared" si="12"/>
        <v>70</v>
      </c>
      <c r="I69" s="161">
        <f t="shared" si="13"/>
        <v>3.3333333333333333E-2</v>
      </c>
    </row>
    <row r="70" spans="1:9" s="119" customFormat="1" ht="18" x14ac:dyDescent="0.5">
      <c r="A70" s="138" t="s">
        <v>497</v>
      </c>
      <c r="B70" s="23" t="s">
        <v>692</v>
      </c>
      <c r="C70" s="24" t="s">
        <v>596</v>
      </c>
      <c r="D70" s="25">
        <v>0.01</v>
      </c>
      <c r="E70" s="136">
        <v>0.03</v>
      </c>
      <c r="F70" s="32">
        <f t="shared" si="11"/>
        <v>1.03E-2</v>
      </c>
      <c r="G70" s="143">
        <v>5000</v>
      </c>
      <c r="H70" s="122">
        <f t="shared" si="12"/>
        <v>51.5</v>
      </c>
      <c r="I70" s="140">
        <f t="shared" si="13"/>
        <v>2.4523809523809524E-2</v>
      </c>
    </row>
    <row r="71" spans="1:9" s="119" customFormat="1" ht="18.75" thickBot="1" x14ac:dyDescent="0.55000000000000004">
      <c r="A71" s="141" t="s">
        <v>503</v>
      </c>
      <c r="B71" s="696" t="s">
        <v>707</v>
      </c>
      <c r="C71" s="695" t="s">
        <v>929</v>
      </c>
      <c r="D71" s="697">
        <v>5.0000000000000001E-3</v>
      </c>
      <c r="E71" s="136">
        <v>0.02</v>
      </c>
      <c r="F71" s="697">
        <f t="shared" si="11"/>
        <v>5.1000000000000004E-3</v>
      </c>
      <c r="G71" s="143">
        <v>1200</v>
      </c>
      <c r="H71" s="122">
        <f t="shared" si="12"/>
        <v>6.12</v>
      </c>
      <c r="I71" s="161">
        <f t="shared" si="13"/>
        <v>2.9142857142857143E-3</v>
      </c>
    </row>
    <row r="72" spans="1:9" s="119" customFormat="1" ht="18" x14ac:dyDescent="0.5">
      <c r="A72" s="145"/>
      <c r="B72" s="26" t="s">
        <v>711</v>
      </c>
      <c r="C72" s="24" t="s">
        <v>471</v>
      </c>
      <c r="D72" s="25">
        <v>0.01</v>
      </c>
      <c r="E72" s="139">
        <v>0.02</v>
      </c>
      <c r="F72" s="25">
        <f t="shared" ref="F72" si="14">D72+D72*E72</f>
        <v>1.0200000000000001E-2</v>
      </c>
      <c r="G72" s="143">
        <v>21000</v>
      </c>
      <c r="H72" s="122">
        <f t="shared" ref="H72" si="15">F72*G72</f>
        <v>214.20000000000002</v>
      </c>
      <c r="I72" s="161">
        <f t="shared" ref="I72" si="16">H72/I$2</f>
        <v>0.10200000000000001</v>
      </c>
    </row>
    <row r="73" spans="1:9" s="119" customFormat="1" ht="18" x14ac:dyDescent="0.5">
      <c r="A73" s="145"/>
      <c r="B73" s="26" t="s">
        <v>724</v>
      </c>
      <c r="C73" s="24" t="s">
        <v>471</v>
      </c>
      <c r="D73" s="25">
        <v>0.02</v>
      </c>
      <c r="E73" s="139">
        <v>0.03</v>
      </c>
      <c r="F73" s="25">
        <f t="shared" ref="F73" si="17">D73+D73*E73</f>
        <v>2.06E-2</v>
      </c>
      <c r="G73" s="143">
        <v>10000</v>
      </c>
      <c r="H73" s="122">
        <f t="shared" ref="H73" si="18">F73*G73</f>
        <v>206</v>
      </c>
      <c r="I73" s="161">
        <f t="shared" ref="I73" si="19">H73/I$2</f>
        <v>9.8095238095238096E-2</v>
      </c>
    </row>
    <row r="74" spans="1:9" s="119" customFormat="1" ht="18.75" thickBot="1" x14ac:dyDescent="0.55000000000000004">
      <c r="A74" s="146"/>
      <c r="B74" s="147"/>
      <c r="C74" s="147"/>
      <c r="D74" s="58"/>
      <c r="E74" s="58"/>
      <c r="F74" s="58"/>
      <c r="G74" s="58"/>
      <c r="H74" s="123"/>
      <c r="I74" s="164"/>
    </row>
    <row r="75" spans="1:9" s="119" customFormat="1" ht="18" x14ac:dyDescent="0.5">
      <c r="A75" s="124"/>
      <c r="B75" s="165" t="s">
        <v>4</v>
      </c>
      <c r="C75" s="166"/>
      <c r="D75" s="117"/>
      <c r="E75" s="117"/>
      <c r="F75" s="117"/>
      <c r="G75" s="117"/>
      <c r="H75" s="167">
        <f>SUM(H67:H74)</f>
        <v>5461.2274074074066</v>
      </c>
      <c r="I75" s="160">
        <f>SUM(I67:I74)</f>
        <v>2.6005844797178121</v>
      </c>
    </row>
    <row r="76" spans="1:9" s="119" customFormat="1" ht="18" x14ac:dyDescent="0.5">
      <c r="A76" s="124"/>
      <c r="B76" s="168" t="s">
        <v>14</v>
      </c>
      <c r="C76" s="43"/>
      <c r="D76" s="121"/>
      <c r="E76" s="121"/>
      <c r="F76" s="121"/>
      <c r="G76" s="121"/>
      <c r="H76" s="169">
        <f>H75/1</f>
        <v>5461.2274074074066</v>
      </c>
      <c r="I76" s="104">
        <f>H76</f>
        <v>5461.2274074074066</v>
      </c>
    </row>
    <row r="77" spans="1:9" s="119" customFormat="1" ht="18" x14ac:dyDescent="0.5">
      <c r="A77" s="124"/>
      <c r="B77" s="168" t="s">
        <v>453</v>
      </c>
      <c r="C77" s="43"/>
      <c r="D77" s="121"/>
      <c r="E77" s="121"/>
      <c r="F77" s="121"/>
      <c r="G77" s="121"/>
      <c r="H77" s="102">
        <f>G64</f>
        <v>16000</v>
      </c>
      <c r="I77" s="102"/>
    </row>
    <row r="78" spans="1:9" s="119" customFormat="1" ht="18" x14ac:dyDescent="0.5">
      <c r="A78" s="124"/>
      <c r="B78" s="168" t="s">
        <v>455</v>
      </c>
      <c r="C78" s="43"/>
      <c r="D78" s="121"/>
      <c r="E78" s="121"/>
      <c r="F78" s="121"/>
      <c r="G78" s="121"/>
      <c r="H78" s="104">
        <f>H77/113.3%</f>
        <v>14121.800529567519</v>
      </c>
      <c r="I78" s="104"/>
    </row>
    <row r="79" spans="1:9" s="119" customFormat="1" ht="18" x14ac:dyDescent="0.5">
      <c r="A79" s="124"/>
      <c r="B79" s="168" t="s">
        <v>16</v>
      </c>
      <c r="C79" s="43"/>
      <c r="D79" s="121"/>
      <c r="E79" s="121"/>
      <c r="F79" s="121"/>
      <c r="G79" s="121"/>
      <c r="H79" s="502">
        <f>H76/H78</f>
        <v>0.38672316578703697</v>
      </c>
      <c r="I79" s="170"/>
    </row>
    <row r="80" spans="1:9" s="119" customFormat="1" ht="18" x14ac:dyDescent="0.5">
      <c r="A80" s="124"/>
      <c r="B80" s="168"/>
      <c r="C80" s="43"/>
      <c r="D80" s="121"/>
      <c r="E80" s="121"/>
      <c r="F80" s="121"/>
      <c r="G80" s="121"/>
      <c r="H80" s="169"/>
      <c r="I80" s="171"/>
    </row>
    <row r="81" spans="1:10" s="119" customFormat="1" ht="18.75" thickBot="1" x14ac:dyDescent="0.55000000000000004">
      <c r="A81" s="124"/>
      <c r="B81" s="172"/>
      <c r="C81" s="147"/>
      <c r="D81" s="58"/>
      <c r="E81" s="58"/>
      <c r="F81" s="58"/>
      <c r="G81" s="58"/>
      <c r="H81" s="173"/>
      <c r="I81" s="164"/>
    </row>
    <row r="82" spans="1:10" s="74" customFormat="1" ht="18" x14ac:dyDescent="0.5">
      <c r="D82" s="77"/>
      <c r="E82" s="77"/>
      <c r="F82" s="77"/>
      <c r="G82" s="114"/>
      <c r="H82" s="115"/>
    </row>
    <row r="83" spans="1:10" s="74" customFormat="1" ht="18" x14ac:dyDescent="0.5">
      <c r="D83" s="77"/>
      <c r="E83" s="77"/>
      <c r="F83" s="77"/>
      <c r="G83" s="114"/>
      <c r="H83" s="115"/>
    </row>
    <row r="84" spans="1:10" s="74" customFormat="1" ht="24" customHeight="1" thickBot="1" x14ac:dyDescent="0.55000000000000004">
      <c r="A84" s="76"/>
      <c r="B84" s="76"/>
      <c r="C84" s="76"/>
      <c r="D84" s="116" t="s">
        <v>0</v>
      </c>
      <c r="E84" s="116"/>
      <c r="F84" s="116"/>
      <c r="G84" s="61"/>
      <c r="H84" s="62"/>
      <c r="I84" s="60"/>
    </row>
    <row r="85" spans="1:10" s="119" customFormat="1" ht="18.75" thickBot="1" x14ac:dyDescent="0.55000000000000004">
      <c r="A85" s="558" t="s">
        <v>665</v>
      </c>
      <c r="B85" s="560" t="s">
        <v>891</v>
      </c>
      <c r="C85" s="547"/>
      <c r="D85" s="548" t="s">
        <v>456</v>
      </c>
      <c r="E85" s="548"/>
      <c r="F85" s="548"/>
      <c r="G85" s="548" t="s">
        <v>1</v>
      </c>
      <c r="H85" s="541" t="s">
        <v>868</v>
      </c>
      <c r="I85" s="549" t="s">
        <v>2</v>
      </c>
      <c r="J85" s="119">
        <v>4</v>
      </c>
    </row>
    <row r="86" spans="1:10" s="119" customFormat="1" ht="18" x14ac:dyDescent="0.5">
      <c r="A86" s="550">
        <v>5</v>
      </c>
      <c r="B86" s="539" t="s">
        <v>5</v>
      </c>
      <c r="C86" s="539" t="s">
        <v>4</v>
      </c>
      <c r="D86" s="540" t="s">
        <v>3</v>
      </c>
      <c r="E86" s="540" t="s">
        <v>613</v>
      </c>
      <c r="F86" s="540" t="s">
        <v>614</v>
      </c>
      <c r="G86" s="540" t="s">
        <v>500</v>
      </c>
      <c r="H86" s="543" t="s">
        <v>7</v>
      </c>
      <c r="I86" s="636">
        <f>I63</f>
        <v>45574</v>
      </c>
    </row>
    <row r="87" spans="1:10" s="119" customFormat="1" ht="18.75" thickBot="1" x14ac:dyDescent="0.55000000000000004">
      <c r="A87" s="551"/>
      <c r="B87" s="552"/>
      <c r="C87" s="552"/>
      <c r="D87" s="553">
        <v>1</v>
      </c>
      <c r="E87" s="553"/>
      <c r="F87" s="553"/>
      <c r="G87" s="553">
        <f>Summary!J13</f>
        <v>11000</v>
      </c>
      <c r="H87" s="633">
        <f>H109</f>
        <v>0.3498203891566265</v>
      </c>
      <c r="I87" s="555"/>
    </row>
    <row r="88" spans="1:10" s="119" customFormat="1" ht="18.75" thickBot="1" x14ac:dyDescent="0.55000000000000004">
      <c r="A88" s="124"/>
      <c r="B88" s="124"/>
      <c r="C88" s="124"/>
      <c r="D88" s="125"/>
      <c r="E88" s="125"/>
      <c r="F88" s="125"/>
      <c r="G88" s="125"/>
      <c r="H88" s="126"/>
      <c r="I88" s="124"/>
    </row>
    <row r="89" spans="1:10" s="119" customFormat="1" ht="18.75" thickBot="1" x14ac:dyDescent="0.55000000000000004">
      <c r="A89" s="156" t="s">
        <v>605</v>
      </c>
      <c r="B89" s="157" t="s">
        <v>10</v>
      </c>
      <c r="C89" s="157" t="s">
        <v>9</v>
      </c>
      <c r="D89" s="131" t="s">
        <v>8</v>
      </c>
      <c r="E89" s="131" t="s">
        <v>613</v>
      </c>
      <c r="F89" s="131" t="s">
        <v>614</v>
      </c>
      <c r="G89" s="131" t="s">
        <v>11</v>
      </c>
      <c r="H89" s="174" t="s">
        <v>24</v>
      </c>
      <c r="I89" s="128" t="s">
        <v>25</v>
      </c>
    </row>
    <row r="90" spans="1:10" s="119" customFormat="1" ht="18" x14ac:dyDescent="0.5">
      <c r="A90" s="175"/>
      <c r="B90" s="42" t="s">
        <v>733</v>
      </c>
      <c r="C90" s="176"/>
      <c r="D90" s="177"/>
      <c r="E90" s="136"/>
      <c r="F90" s="32"/>
      <c r="G90" s="39"/>
      <c r="H90" s="68"/>
      <c r="I90" s="137"/>
    </row>
    <row r="91" spans="1:10" s="119" customFormat="1" ht="18" x14ac:dyDescent="0.5">
      <c r="A91" s="141" t="s">
        <v>477</v>
      </c>
      <c r="B91" s="396" t="s">
        <v>725</v>
      </c>
      <c r="C91" s="397" t="s">
        <v>19</v>
      </c>
      <c r="D91" s="398">
        <v>0.3</v>
      </c>
      <c r="E91" s="136">
        <v>0.1</v>
      </c>
      <c r="F91" s="32">
        <f t="shared" ref="F91:F97" si="20">D91+D91*E91</f>
        <v>0.32999999999999996</v>
      </c>
      <c r="G91" s="39">
        <v>2000</v>
      </c>
      <c r="H91" s="68">
        <f>F91*G91</f>
        <v>659.99999999999989</v>
      </c>
      <c r="I91" s="160">
        <f t="shared" ref="I91:I99" si="21">H91/I$2</f>
        <v>0.31428571428571422</v>
      </c>
    </row>
    <row r="92" spans="1:10" s="119" customFormat="1" ht="18" x14ac:dyDescent="0.5">
      <c r="A92" s="144" t="s">
        <v>506</v>
      </c>
      <c r="B92" s="396" t="s">
        <v>726</v>
      </c>
      <c r="C92" s="397" t="s">
        <v>596</v>
      </c>
      <c r="D92" s="398">
        <v>0.03</v>
      </c>
      <c r="E92" s="136">
        <v>0</v>
      </c>
      <c r="F92" s="32">
        <f t="shared" si="20"/>
        <v>0.03</v>
      </c>
      <c r="G92" s="39">
        <v>10700</v>
      </c>
      <c r="H92" s="68">
        <f t="shared" ref="H92:H101" si="22">F92*G92</f>
        <v>321</v>
      </c>
      <c r="I92" s="160">
        <f t="shared" si="21"/>
        <v>0.15285714285714286</v>
      </c>
    </row>
    <row r="93" spans="1:10" s="119" customFormat="1" ht="18" x14ac:dyDescent="0.5">
      <c r="A93" s="138"/>
      <c r="B93" s="396" t="s">
        <v>727</v>
      </c>
      <c r="C93" s="397" t="s">
        <v>596</v>
      </c>
      <c r="D93" s="398">
        <v>0.01</v>
      </c>
      <c r="E93" s="139">
        <v>0</v>
      </c>
      <c r="F93" s="25">
        <f t="shared" si="20"/>
        <v>0.01</v>
      </c>
      <c r="G93" s="35">
        <v>70000</v>
      </c>
      <c r="H93" s="122">
        <f t="shared" si="22"/>
        <v>700</v>
      </c>
      <c r="I93" s="140">
        <f t="shared" si="21"/>
        <v>0.33333333333333331</v>
      </c>
    </row>
    <row r="94" spans="1:10" s="119" customFormat="1" ht="18" x14ac:dyDescent="0.5">
      <c r="A94" s="138"/>
      <c r="B94" s="396" t="s">
        <v>709</v>
      </c>
      <c r="C94" s="397" t="s">
        <v>19</v>
      </c>
      <c r="D94" s="398">
        <v>1</v>
      </c>
      <c r="E94" s="136">
        <v>0</v>
      </c>
      <c r="F94" s="32">
        <f t="shared" si="20"/>
        <v>1</v>
      </c>
      <c r="G94" s="39">
        <v>200</v>
      </c>
      <c r="H94" s="68">
        <f t="shared" si="22"/>
        <v>200</v>
      </c>
      <c r="I94" s="160">
        <f t="shared" si="21"/>
        <v>9.5238095238095233E-2</v>
      </c>
    </row>
    <row r="95" spans="1:10" s="119" customFormat="1" ht="18" x14ac:dyDescent="0.5">
      <c r="A95" s="26"/>
      <c r="B95" s="396" t="s">
        <v>610</v>
      </c>
      <c r="C95" s="397" t="s">
        <v>463</v>
      </c>
      <c r="D95" s="398">
        <v>0.3</v>
      </c>
      <c r="E95" s="136">
        <v>0</v>
      </c>
      <c r="F95" s="32">
        <f t="shared" si="20"/>
        <v>0.3</v>
      </c>
      <c r="G95" s="39">
        <v>1200</v>
      </c>
      <c r="H95" s="68">
        <f t="shared" si="22"/>
        <v>360</v>
      </c>
      <c r="I95" s="160">
        <f t="shared" si="21"/>
        <v>0.17142857142857143</v>
      </c>
    </row>
    <row r="96" spans="1:10" s="119" customFormat="1" ht="18" x14ac:dyDescent="0.5">
      <c r="A96" s="179">
        <v>11100028</v>
      </c>
      <c r="B96" s="396" t="s">
        <v>609</v>
      </c>
      <c r="C96" s="397" t="s">
        <v>463</v>
      </c>
      <c r="D96" s="398">
        <v>0.01</v>
      </c>
      <c r="E96" s="136">
        <v>0</v>
      </c>
      <c r="F96" s="32">
        <f t="shared" si="20"/>
        <v>0.01</v>
      </c>
      <c r="G96" s="39">
        <v>14000</v>
      </c>
      <c r="H96" s="68">
        <f t="shared" si="22"/>
        <v>140</v>
      </c>
      <c r="I96" s="160">
        <f t="shared" si="21"/>
        <v>6.6666666666666666E-2</v>
      </c>
    </row>
    <row r="97" spans="1:14" s="119" customFormat="1" ht="18" x14ac:dyDescent="0.5">
      <c r="A97" s="180" t="s">
        <v>519</v>
      </c>
      <c r="B97" s="396" t="s">
        <v>728</v>
      </c>
      <c r="C97" s="397" t="s">
        <v>596</v>
      </c>
      <c r="D97" s="398">
        <v>0.01</v>
      </c>
      <c r="E97" s="136">
        <v>0</v>
      </c>
      <c r="F97" s="32">
        <f t="shared" si="20"/>
        <v>0.01</v>
      </c>
      <c r="G97" s="39">
        <v>6000</v>
      </c>
      <c r="H97" s="68">
        <f t="shared" si="22"/>
        <v>60</v>
      </c>
      <c r="I97" s="160">
        <f t="shared" si="21"/>
        <v>2.8571428571428571E-2</v>
      </c>
    </row>
    <row r="98" spans="1:14" s="119" customFormat="1" ht="18" x14ac:dyDescent="0.5">
      <c r="A98" s="181"/>
      <c r="B98" s="396" t="s">
        <v>729</v>
      </c>
      <c r="C98" s="397" t="s">
        <v>459</v>
      </c>
      <c r="D98" s="398">
        <v>0.01</v>
      </c>
      <c r="E98" s="136">
        <v>0</v>
      </c>
      <c r="F98" s="177">
        <v>0.03</v>
      </c>
      <c r="G98" s="36">
        <f>42000/4.15</f>
        <v>10120.481927710842</v>
      </c>
      <c r="H98" s="68">
        <f t="shared" si="22"/>
        <v>303.61445783132524</v>
      </c>
      <c r="I98" s="160">
        <f t="shared" si="21"/>
        <v>0.14457831325301201</v>
      </c>
    </row>
    <row r="99" spans="1:14" s="119" customFormat="1" ht="18" x14ac:dyDescent="0.5">
      <c r="A99" s="26"/>
      <c r="B99" s="396" t="s">
        <v>730</v>
      </c>
      <c r="C99" s="397" t="s">
        <v>596</v>
      </c>
      <c r="D99" s="398">
        <v>0.02</v>
      </c>
      <c r="E99" s="139">
        <v>0</v>
      </c>
      <c r="F99" s="25">
        <f>D99+D99*E99</f>
        <v>0.02</v>
      </c>
      <c r="G99" s="35">
        <v>6000</v>
      </c>
      <c r="H99" s="68">
        <f t="shared" si="22"/>
        <v>120</v>
      </c>
      <c r="I99" s="160">
        <f t="shared" si="21"/>
        <v>5.7142857142857141E-2</v>
      </c>
    </row>
    <row r="100" spans="1:14" s="119" customFormat="1" ht="18" x14ac:dyDescent="0.5">
      <c r="A100" s="144" t="s">
        <v>536</v>
      </c>
      <c r="B100" s="396" t="s">
        <v>731</v>
      </c>
      <c r="C100" s="397" t="s">
        <v>20</v>
      </c>
      <c r="D100" s="398">
        <v>0.01</v>
      </c>
      <c r="E100" s="139">
        <v>0.02</v>
      </c>
      <c r="F100" s="25">
        <f>D100+D100*E100</f>
        <v>1.0200000000000001E-2</v>
      </c>
      <c r="G100" s="143">
        <v>4000</v>
      </c>
      <c r="H100" s="68">
        <f t="shared" si="22"/>
        <v>40.800000000000004</v>
      </c>
      <c r="I100" s="140">
        <f>H100/I$2</f>
        <v>1.942857142857143E-2</v>
      </c>
    </row>
    <row r="101" spans="1:14" s="119" customFormat="1" ht="18" x14ac:dyDescent="0.5">
      <c r="A101" s="181"/>
      <c r="B101" s="396" t="s">
        <v>732</v>
      </c>
      <c r="C101" s="397" t="s">
        <v>13</v>
      </c>
      <c r="D101" s="398">
        <v>0.01</v>
      </c>
      <c r="E101" s="182">
        <v>0.03</v>
      </c>
      <c r="F101" s="177">
        <f>D101+D101*E101</f>
        <v>1.03E-2</v>
      </c>
      <c r="G101" s="37">
        <v>3000</v>
      </c>
      <c r="H101" s="183">
        <f t="shared" si="22"/>
        <v>30.900000000000002</v>
      </c>
      <c r="I101" s="185">
        <f>H101/I$2</f>
        <v>1.4714285714285714E-2</v>
      </c>
    </row>
    <row r="102" spans="1:14" s="119" customFormat="1" ht="18" x14ac:dyDescent="0.5">
      <c r="A102" s="141" t="s">
        <v>511</v>
      </c>
      <c r="B102" s="396" t="s">
        <v>625</v>
      </c>
      <c r="C102" s="397" t="s">
        <v>596</v>
      </c>
      <c r="D102" s="398">
        <v>0.02</v>
      </c>
      <c r="E102" s="139">
        <v>0.02</v>
      </c>
      <c r="F102" s="25">
        <f t="shared" ref="F102:F104" si="23">D102+D102*E102</f>
        <v>2.0400000000000001E-2</v>
      </c>
      <c r="G102" s="35">
        <v>7000</v>
      </c>
      <c r="H102" s="122">
        <f t="shared" ref="H102:H104" si="24">F102*G102</f>
        <v>142.80000000000001</v>
      </c>
      <c r="I102" s="140">
        <f t="shared" ref="I102:I104" si="25">H102/I$2</f>
        <v>6.8000000000000005E-2</v>
      </c>
    </row>
    <row r="103" spans="1:14" s="119" customFormat="1" ht="18" x14ac:dyDescent="0.5">
      <c r="A103" s="26"/>
      <c r="B103" s="396" t="s">
        <v>675</v>
      </c>
      <c r="C103" s="397" t="s">
        <v>596</v>
      </c>
      <c r="D103" s="398">
        <v>0.01</v>
      </c>
      <c r="E103" s="139">
        <v>0.03</v>
      </c>
      <c r="F103" s="25">
        <f t="shared" si="23"/>
        <v>1.03E-2</v>
      </c>
      <c r="G103" s="35">
        <v>10000</v>
      </c>
      <c r="H103" s="122">
        <f t="shared" si="24"/>
        <v>103</v>
      </c>
      <c r="I103" s="140">
        <f t="shared" si="25"/>
        <v>4.9047619047619048E-2</v>
      </c>
    </row>
    <row r="104" spans="1:14" s="119" customFormat="1" ht="18.75" thickBot="1" x14ac:dyDescent="0.55000000000000004">
      <c r="A104" s="505"/>
      <c r="B104" s="641" t="s">
        <v>493</v>
      </c>
      <c r="C104" s="254" t="s">
        <v>596</v>
      </c>
      <c r="D104" s="255">
        <v>0.01</v>
      </c>
      <c r="E104" s="496">
        <v>0.02</v>
      </c>
      <c r="F104" s="255">
        <f t="shared" si="23"/>
        <v>1.0200000000000001E-2</v>
      </c>
      <c r="G104" s="498">
        <v>21000</v>
      </c>
      <c r="H104" s="123">
        <f t="shared" si="24"/>
        <v>214.20000000000002</v>
      </c>
      <c r="I104" s="642">
        <f t="shared" si="25"/>
        <v>0.10200000000000001</v>
      </c>
    </row>
    <row r="105" spans="1:14" s="119" customFormat="1" ht="18.75" customHeight="1" x14ac:dyDescent="0.5">
      <c r="A105" s="124"/>
      <c r="B105" s="180" t="s">
        <v>4</v>
      </c>
      <c r="C105" s="186"/>
      <c r="D105" s="187"/>
      <c r="E105" s="187"/>
      <c r="F105" s="187"/>
      <c r="G105" s="187"/>
      <c r="H105" s="167">
        <f>SUM(H90:H104)</f>
        <v>3396.3144578313254</v>
      </c>
      <c r="I105" s="160">
        <f>SUM(I90:I104)</f>
        <v>1.6172925989672975</v>
      </c>
    </row>
    <row r="106" spans="1:14" s="119" customFormat="1" ht="18" x14ac:dyDescent="0.5">
      <c r="A106" s="124"/>
      <c r="B106" s="168" t="s">
        <v>14</v>
      </c>
      <c r="C106" s="43"/>
      <c r="D106" s="121"/>
      <c r="E106" s="121"/>
      <c r="F106" s="121"/>
      <c r="G106" s="121"/>
      <c r="H106" s="169">
        <f>H105/1</f>
        <v>3396.3144578313254</v>
      </c>
      <c r="I106" s="104">
        <f>H106</f>
        <v>3396.3144578313254</v>
      </c>
      <c r="N106" s="119">
        <v>0</v>
      </c>
    </row>
    <row r="107" spans="1:14" s="119" customFormat="1" ht="18" x14ac:dyDescent="0.5">
      <c r="A107" s="124"/>
      <c r="B107" s="168" t="s">
        <v>453</v>
      </c>
      <c r="C107" s="43"/>
      <c r="D107" s="121"/>
      <c r="E107" s="121"/>
      <c r="F107" s="121"/>
      <c r="G107" s="121"/>
      <c r="H107" s="104">
        <f>G87</f>
        <v>11000</v>
      </c>
      <c r="I107" s="104"/>
    </row>
    <row r="108" spans="1:14" s="119" customFormat="1" ht="18" x14ac:dyDescent="0.5">
      <c r="A108" s="124"/>
      <c r="B108" s="168" t="s">
        <v>455</v>
      </c>
      <c r="C108" s="43"/>
      <c r="D108" s="121"/>
      <c r="E108" s="121"/>
      <c r="F108" s="121"/>
      <c r="G108" s="121"/>
      <c r="H108" s="104">
        <f>H107/113.3%</f>
        <v>9708.7378640776697</v>
      </c>
      <c r="I108" s="104"/>
    </row>
    <row r="109" spans="1:14" s="119" customFormat="1" ht="18" x14ac:dyDescent="0.5">
      <c r="A109" s="124"/>
      <c r="B109" s="168" t="s">
        <v>16</v>
      </c>
      <c r="C109" s="43"/>
      <c r="D109" s="121"/>
      <c r="E109" s="121"/>
      <c r="F109" s="121"/>
      <c r="G109" s="121"/>
      <c r="H109" s="502">
        <f>H106/H108</f>
        <v>0.3498203891566265</v>
      </c>
      <c r="I109" s="502"/>
    </row>
    <row r="110" spans="1:14" s="119" customFormat="1" ht="18" x14ac:dyDescent="0.5">
      <c r="A110" s="124"/>
      <c r="B110" s="168"/>
      <c r="C110" s="43"/>
      <c r="D110" s="121"/>
      <c r="E110" s="121"/>
      <c r="F110" s="121"/>
      <c r="G110" s="121"/>
      <c r="H110" s="169"/>
      <c r="I110" s="171"/>
    </row>
    <row r="111" spans="1:14" s="119" customFormat="1" ht="18.75" thickBot="1" x14ac:dyDescent="0.55000000000000004">
      <c r="A111" s="124"/>
      <c r="B111" s="172"/>
      <c r="C111" s="147"/>
      <c r="D111" s="58"/>
      <c r="E111" s="58"/>
      <c r="F111" s="58"/>
      <c r="G111" s="58"/>
      <c r="H111" s="173"/>
      <c r="I111" s="164"/>
      <c r="N111" s="119">
        <v>14</v>
      </c>
    </row>
    <row r="112" spans="1:14" s="74" customFormat="1" ht="18" x14ac:dyDescent="0.5">
      <c r="D112" s="77"/>
      <c r="E112" s="77"/>
      <c r="F112" s="77"/>
      <c r="G112" s="114"/>
      <c r="H112" s="115"/>
    </row>
    <row r="113" spans="1:10" s="74" customFormat="1" ht="18.75" thickBot="1" x14ac:dyDescent="0.55000000000000004">
      <c r="A113" s="76"/>
      <c r="B113" s="76"/>
      <c r="C113" s="76"/>
      <c r="D113" s="116" t="s">
        <v>0</v>
      </c>
      <c r="E113" s="116"/>
      <c r="F113" s="116"/>
      <c r="G113" s="61"/>
      <c r="H113" s="62"/>
      <c r="I113" s="60"/>
    </row>
    <row r="114" spans="1:10" s="119" customFormat="1" ht="18" x14ac:dyDescent="0.5">
      <c r="A114" s="558" t="s">
        <v>665</v>
      </c>
      <c r="B114" s="561" t="s">
        <v>892</v>
      </c>
      <c r="C114" s="547"/>
      <c r="D114" s="548" t="s">
        <v>456</v>
      </c>
      <c r="E114" s="548"/>
      <c r="F114" s="548"/>
      <c r="G114" s="548" t="s">
        <v>1</v>
      </c>
      <c r="H114" s="541" t="s">
        <v>868</v>
      </c>
      <c r="I114" s="549" t="s">
        <v>2</v>
      </c>
      <c r="J114" s="119">
        <v>6</v>
      </c>
    </row>
    <row r="115" spans="1:10" s="119" customFormat="1" ht="18" x14ac:dyDescent="0.5">
      <c r="A115" s="550">
        <v>6</v>
      </c>
      <c r="B115" s="539" t="s">
        <v>5</v>
      </c>
      <c r="C115" s="539" t="s">
        <v>4</v>
      </c>
      <c r="D115" s="540" t="s">
        <v>3</v>
      </c>
      <c r="E115" s="540" t="s">
        <v>613</v>
      </c>
      <c r="F115" s="540" t="s">
        <v>614</v>
      </c>
      <c r="G115" s="540" t="s">
        <v>510</v>
      </c>
      <c r="H115" s="543" t="s">
        <v>7</v>
      </c>
      <c r="I115" s="636">
        <f>I86</f>
        <v>45574</v>
      </c>
    </row>
    <row r="116" spans="1:10" s="119" customFormat="1" ht="18.75" thickBot="1" x14ac:dyDescent="0.55000000000000004">
      <c r="A116" s="551"/>
      <c r="B116" s="552"/>
      <c r="C116" s="552"/>
      <c r="D116" s="553">
        <v>1</v>
      </c>
      <c r="E116" s="553"/>
      <c r="F116" s="553"/>
      <c r="G116" s="553">
        <f>Summary!J14</f>
        <v>15000</v>
      </c>
      <c r="H116" s="633">
        <f>H133</f>
        <v>0.31080870068273098</v>
      </c>
      <c r="I116" s="555"/>
    </row>
    <row r="117" spans="1:10" s="119" customFormat="1" ht="18.75" thickBot="1" x14ac:dyDescent="0.55000000000000004">
      <c r="A117" s="124"/>
      <c r="B117" s="124"/>
      <c r="C117" s="124"/>
      <c r="D117" s="125"/>
      <c r="E117" s="125"/>
      <c r="F117" s="125"/>
      <c r="G117" s="125"/>
      <c r="H117" s="126"/>
      <c r="I117" s="124"/>
    </row>
    <row r="118" spans="1:10" s="119" customFormat="1" ht="18.75" thickBot="1" x14ac:dyDescent="0.55000000000000004">
      <c r="A118" s="156" t="s">
        <v>605</v>
      </c>
      <c r="B118" s="157" t="s">
        <v>10</v>
      </c>
      <c r="C118" s="157" t="s">
        <v>9</v>
      </c>
      <c r="D118" s="131" t="s">
        <v>8</v>
      </c>
      <c r="E118" s="131" t="s">
        <v>613</v>
      </c>
      <c r="F118" s="131" t="s">
        <v>614</v>
      </c>
      <c r="G118" s="131" t="s">
        <v>11</v>
      </c>
      <c r="H118" s="158" t="s">
        <v>12</v>
      </c>
      <c r="I118" s="134" t="s">
        <v>12</v>
      </c>
    </row>
    <row r="119" spans="1:10" s="119" customFormat="1" ht="18" x14ac:dyDescent="0.5">
      <c r="A119" s="135" t="s">
        <v>469</v>
      </c>
      <c r="B119" s="396" t="s">
        <v>736</v>
      </c>
      <c r="C119" s="397" t="s">
        <v>471</v>
      </c>
      <c r="D119" s="398">
        <v>0.2</v>
      </c>
      <c r="E119" s="139">
        <v>0.02</v>
      </c>
      <c r="F119" s="32">
        <f t="shared" ref="F119:F128" si="26">D119+D119*E119</f>
        <v>0.20400000000000001</v>
      </c>
      <c r="G119" s="39">
        <v>12000</v>
      </c>
      <c r="H119" s="68">
        <f t="shared" ref="H119:H128" si="27">F119*G119</f>
        <v>2448</v>
      </c>
      <c r="I119" s="160">
        <f t="shared" ref="I119:I128" si="28">H119/I$2</f>
        <v>1.1657142857142857</v>
      </c>
    </row>
    <row r="120" spans="1:10" s="119" customFormat="1" ht="18" x14ac:dyDescent="0.5">
      <c r="A120" s="144"/>
      <c r="B120" s="396" t="s">
        <v>729</v>
      </c>
      <c r="C120" s="397" t="s">
        <v>459</v>
      </c>
      <c r="D120" s="398">
        <v>0.01</v>
      </c>
      <c r="E120" s="136">
        <v>0</v>
      </c>
      <c r="F120" s="32">
        <f t="shared" si="26"/>
        <v>0.01</v>
      </c>
      <c r="G120" s="35">
        <f>42000/4.15</f>
        <v>10120.481927710842</v>
      </c>
      <c r="H120" s="68">
        <f t="shared" si="27"/>
        <v>101.20481927710841</v>
      </c>
      <c r="I120" s="161">
        <f t="shared" si="28"/>
        <v>4.8192771084337338E-2</v>
      </c>
    </row>
    <row r="121" spans="1:10" s="119" customFormat="1" ht="18" x14ac:dyDescent="0.5">
      <c r="A121" s="141" t="s">
        <v>499</v>
      </c>
      <c r="B121" s="396" t="s">
        <v>673</v>
      </c>
      <c r="C121" s="397" t="s">
        <v>471</v>
      </c>
      <c r="D121" s="398">
        <v>0.03</v>
      </c>
      <c r="E121" s="136">
        <v>0.03</v>
      </c>
      <c r="F121" s="32">
        <f t="shared" si="26"/>
        <v>3.09E-2</v>
      </c>
      <c r="G121" s="143">
        <v>4500</v>
      </c>
      <c r="H121" s="68">
        <f t="shared" si="27"/>
        <v>139.05000000000001</v>
      </c>
      <c r="I121" s="161">
        <f t="shared" si="28"/>
        <v>6.6214285714285726E-2</v>
      </c>
    </row>
    <row r="122" spans="1:10" s="119" customFormat="1" ht="18" x14ac:dyDescent="0.5">
      <c r="A122" s="138"/>
      <c r="B122" s="396" t="s">
        <v>671</v>
      </c>
      <c r="C122" s="397" t="s">
        <v>20</v>
      </c>
      <c r="D122" s="398">
        <v>0.1</v>
      </c>
      <c r="E122" s="136">
        <v>0.03</v>
      </c>
      <c r="F122" s="32">
        <f t="shared" si="26"/>
        <v>0.10300000000000001</v>
      </c>
      <c r="G122" s="162">
        <v>500</v>
      </c>
      <c r="H122" s="68">
        <f t="shared" si="27"/>
        <v>51.500000000000007</v>
      </c>
      <c r="I122" s="161">
        <f t="shared" si="28"/>
        <v>2.4523809523809528E-2</v>
      </c>
    </row>
    <row r="123" spans="1:10" s="119" customFormat="1" ht="18" x14ac:dyDescent="0.5">
      <c r="A123" s="179">
        <v>11100028</v>
      </c>
      <c r="B123" s="396" t="s">
        <v>737</v>
      </c>
      <c r="C123" s="397" t="s">
        <v>471</v>
      </c>
      <c r="D123" s="398">
        <v>0.02</v>
      </c>
      <c r="E123" s="136">
        <v>0</v>
      </c>
      <c r="F123" s="32">
        <f t="shared" si="26"/>
        <v>0.02</v>
      </c>
      <c r="G123" s="35">
        <v>1800</v>
      </c>
      <c r="H123" s="68">
        <f t="shared" si="27"/>
        <v>36</v>
      </c>
      <c r="I123" s="161">
        <f t="shared" si="28"/>
        <v>1.7142857142857144E-2</v>
      </c>
    </row>
    <row r="124" spans="1:10" s="119" customFormat="1" ht="18" x14ac:dyDescent="0.5">
      <c r="A124" s="159"/>
      <c r="B124" s="396" t="s">
        <v>709</v>
      </c>
      <c r="C124" s="397" t="s">
        <v>13</v>
      </c>
      <c r="D124" s="398">
        <v>1</v>
      </c>
      <c r="E124" s="136">
        <v>0</v>
      </c>
      <c r="F124" s="32">
        <f t="shared" si="26"/>
        <v>1</v>
      </c>
      <c r="G124" s="35">
        <v>200</v>
      </c>
      <c r="H124" s="68">
        <f t="shared" si="27"/>
        <v>200</v>
      </c>
      <c r="I124" s="161">
        <f t="shared" si="28"/>
        <v>9.5238095238095233E-2</v>
      </c>
    </row>
    <row r="125" spans="1:10" s="119" customFormat="1" ht="18" x14ac:dyDescent="0.5">
      <c r="A125" s="138"/>
      <c r="B125" s="396" t="s">
        <v>622</v>
      </c>
      <c r="C125" s="397" t="s">
        <v>471</v>
      </c>
      <c r="D125" s="398">
        <v>0.02</v>
      </c>
      <c r="E125" s="136">
        <v>0.03</v>
      </c>
      <c r="F125" s="32">
        <f t="shared" si="26"/>
        <v>2.06E-2</v>
      </c>
      <c r="G125" s="35">
        <v>24000</v>
      </c>
      <c r="H125" s="68">
        <f t="shared" si="27"/>
        <v>494.40000000000003</v>
      </c>
      <c r="I125" s="161">
        <f t="shared" si="28"/>
        <v>0.23542857142857143</v>
      </c>
    </row>
    <row r="126" spans="1:10" s="119" customFormat="1" ht="18" x14ac:dyDescent="0.5">
      <c r="A126" s="138"/>
      <c r="B126" s="396" t="s">
        <v>652</v>
      </c>
      <c r="C126" s="397" t="s">
        <v>471</v>
      </c>
      <c r="D126" s="398">
        <v>0.02</v>
      </c>
      <c r="E126" s="136">
        <v>0.03</v>
      </c>
      <c r="F126" s="32">
        <f t="shared" si="26"/>
        <v>2.06E-2</v>
      </c>
      <c r="G126" s="35">
        <v>7000</v>
      </c>
      <c r="H126" s="122">
        <f t="shared" si="27"/>
        <v>144.19999999999999</v>
      </c>
      <c r="I126" s="140">
        <f t="shared" si="28"/>
        <v>6.8666666666666668E-2</v>
      </c>
    </row>
    <row r="127" spans="1:10" s="119" customFormat="1" ht="18" x14ac:dyDescent="0.5">
      <c r="A127" s="138"/>
      <c r="B127" s="396" t="s">
        <v>609</v>
      </c>
      <c r="C127" s="397" t="s">
        <v>463</v>
      </c>
      <c r="D127" s="398">
        <v>0.01</v>
      </c>
      <c r="E127" s="136">
        <v>0</v>
      </c>
      <c r="F127" s="32">
        <f t="shared" si="26"/>
        <v>0.01</v>
      </c>
      <c r="G127" s="35">
        <v>14000</v>
      </c>
      <c r="H127" s="122">
        <f t="shared" si="27"/>
        <v>140</v>
      </c>
      <c r="I127" s="140">
        <f t="shared" si="28"/>
        <v>6.6666666666666666E-2</v>
      </c>
    </row>
    <row r="128" spans="1:10" s="119" customFormat="1" ht="18.75" thickBot="1" x14ac:dyDescent="0.55000000000000004">
      <c r="A128" s="43"/>
      <c r="B128" s="396" t="s">
        <v>625</v>
      </c>
      <c r="C128" s="397" t="s">
        <v>471</v>
      </c>
      <c r="D128" s="398">
        <v>0.05</v>
      </c>
      <c r="E128" s="136">
        <v>0.03</v>
      </c>
      <c r="F128" s="121">
        <f t="shared" si="26"/>
        <v>5.1500000000000004E-2</v>
      </c>
      <c r="G128" s="401">
        <v>7000</v>
      </c>
      <c r="H128" s="122">
        <f t="shared" si="27"/>
        <v>360.50000000000006</v>
      </c>
      <c r="I128" s="140">
        <f t="shared" si="28"/>
        <v>0.17166666666666669</v>
      </c>
    </row>
    <row r="129" spans="1:9" s="119" customFormat="1" ht="18" x14ac:dyDescent="0.5">
      <c r="A129" s="124"/>
      <c r="B129" s="165" t="s">
        <v>4</v>
      </c>
      <c r="C129" s="166"/>
      <c r="D129" s="117"/>
      <c r="E129" s="117"/>
      <c r="F129" s="187"/>
      <c r="G129" s="187"/>
      <c r="H129" s="167">
        <f>SUM(H119:H128)</f>
        <v>4114.8548192771086</v>
      </c>
      <c r="I129" s="160">
        <f>SUM(I119:I128)</f>
        <v>1.9594546758462421</v>
      </c>
    </row>
    <row r="130" spans="1:9" s="119" customFormat="1" ht="18" x14ac:dyDescent="0.5">
      <c r="A130" s="124"/>
      <c r="B130" s="168" t="s">
        <v>14</v>
      </c>
      <c r="C130" s="43"/>
      <c r="D130" s="121"/>
      <c r="E130" s="121"/>
      <c r="F130" s="121"/>
      <c r="G130" s="121"/>
      <c r="H130" s="169">
        <f>H129/1</f>
        <v>4114.8548192771086</v>
      </c>
      <c r="I130" s="161">
        <f>H130</f>
        <v>4114.8548192771086</v>
      </c>
    </row>
    <row r="131" spans="1:9" s="119" customFormat="1" ht="18" x14ac:dyDescent="0.5">
      <c r="A131" s="124"/>
      <c r="B131" s="168" t="s">
        <v>453</v>
      </c>
      <c r="C131" s="43"/>
      <c r="D131" s="121"/>
      <c r="E131" s="121"/>
      <c r="F131" s="121"/>
      <c r="G131" s="121"/>
      <c r="H131" s="475">
        <f>G116</f>
        <v>15000</v>
      </c>
      <c r="I131" s="475"/>
    </row>
    <row r="132" spans="1:9" s="119" customFormat="1" ht="18" x14ac:dyDescent="0.5">
      <c r="A132" s="124"/>
      <c r="B132" s="168" t="s">
        <v>455</v>
      </c>
      <c r="C132" s="43"/>
      <c r="D132" s="121"/>
      <c r="E132" s="121"/>
      <c r="F132" s="121"/>
      <c r="G132" s="121"/>
      <c r="H132" s="104">
        <f>H131/113.3%</f>
        <v>13239.187996469549</v>
      </c>
      <c r="I132" s="104"/>
    </row>
    <row r="133" spans="1:9" s="119" customFormat="1" ht="18" x14ac:dyDescent="0.5">
      <c r="A133" s="124"/>
      <c r="B133" s="168" t="s">
        <v>16</v>
      </c>
      <c r="C133" s="43"/>
      <c r="D133" s="121"/>
      <c r="E133" s="121"/>
      <c r="F133" s="121"/>
      <c r="G133" s="121"/>
      <c r="H133" s="503">
        <f>H130/H132</f>
        <v>0.31080870068273098</v>
      </c>
      <c r="I133" s="503"/>
    </row>
    <row r="134" spans="1:9" s="119" customFormat="1" ht="18" x14ac:dyDescent="0.5">
      <c r="A134" s="124"/>
      <c r="B134" s="168"/>
      <c r="C134" s="43"/>
      <c r="D134" s="121"/>
      <c r="E134" s="121"/>
      <c r="F134" s="121"/>
      <c r="G134" s="121"/>
      <c r="H134" s="169"/>
      <c r="I134" s="171"/>
    </row>
    <row r="135" spans="1:9" s="119" customFormat="1" ht="18.75" thickBot="1" x14ac:dyDescent="0.55000000000000004">
      <c r="A135" s="124"/>
      <c r="B135" s="172"/>
      <c r="C135" s="147"/>
      <c r="D135" s="58"/>
      <c r="E135" s="58"/>
      <c r="F135" s="58"/>
      <c r="G135" s="58"/>
      <c r="H135" s="173"/>
      <c r="I135" s="164"/>
    </row>
    <row r="136" spans="1:9" s="74" customFormat="1" ht="18" x14ac:dyDescent="0.5">
      <c r="D136" s="188"/>
      <c r="E136" s="188"/>
      <c r="F136" s="188"/>
      <c r="G136" s="189"/>
      <c r="H136" s="190"/>
    </row>
    <row r="137" spans="1:9" s="74" customFormat="1" ht="18" x14ac:dyDescent="0.5">
      <c r="D137" s="188"/>
      <c r="E137" s="188"/>
      <c r="F137" s="188"/>
      <c r="G137" s="189"/>
      <c r="H137" s="190"/>
    </row>
    <row r="138" spans="1:9" s="74" customFormat="1" ht="18" x14ac:dyDescent="0.5">
      <c r="D138" s="188"/>
      <c r="E138" s="188"/>
      <c r="F138" s="188"/>
      <c r="G138" s="189"/>
      <c r="H138" s="190"/>
    </row>
    <row r="139" spans="1:9" s="74" customFormat="1" ht="18.75" thickBot="1" x14ac:dyDescent="0.55000000000000004">
      <c r="D139" s="77"/>
      <c r="E139" s="77"/>
      <c r="F139" s="77"/>
      <c r="G139" s="114"/>
      <c r="H139" s="115"/>
    </row>
    <row r="140" spans="1:9" x14ac:dyDescent="0.6">
      <c r="A140" s="558" t="s">
        <v>665</v>
      </c>
      <c r="B140" s="547" t="s">
        <v>740</v>
      </c>
      <c r="C140" s="547"/>
      <c r="D140" s="548" t="s">
        <v>456</v>
      </c>
      <c r="E140" s="548"/>
      <c r="F140" s="548"/>
      <c r="G140" s="548" t="s">
        <v>1</v>
      </c>
      <c r="H140" s="541" t="s">
        <v>868</v>
      </c>
      <c r="I140" s="549" t="s">
        <v>2</v>
      </c>
    </row>
    <row r="141" spans="1:9" x14ac:dyDescent="0.6">
      <c r="A141" s="550">
        <v>7</v>
      </c>
      <c r="B141" s="539" t="s">
        <v>5</v>
      </c>
      <c r="C141" s="539" t="s">
        <v>4</v>
      </c>
      <c r="D141" s="540" t="s">
        <v>3</v>
      </c>
      <c r="E141" s="540" t="s">
        <v>613</v>
      </c>
      <c r="F141" s="540" t="s">
        <v>614</v>
      </c>
      <c r="G141" s="540" t="s">
        <v>510</v>
      </c>
      <c r="H141" s="543" t="s">
        <v>7</v>
      </c>
      <c r="I141" s="637">
        <f>I115</f>
        <v>45574</v>
      </c>
    </row>
    <row r="142" spans="1:9" ht="21.75" thickBot="1" x14ac:dyDescent="0.65">
      <c r="A142" s="551"/>
      <c r="B142" s="552"/>
      <c r="C142" s="552"/>
      <c r="D142" s="553">
        <v>1</v>
      </c>
      <c r="E142" s="553"/>
      <c r="F142" s="553"/>
      <c r="G142" s="553">
        <f>Summary!J15</f>
        <v>13000</v>
      </c>
      <c r="H142" s="633">
        <f>H156</f>
        <v>0.36087898081556991</v>
      </c>
      <c r="I142" s="555"/>
    </row>
    <row r="143" spans="1:9" ht="21.75" thickBot="1" x14ac:dyDescent="0.65">
      <c r="A143" s="124"/>
      <c r="B143" s="124"/>
      <c r="C143" s="124"/>
      <c r="D143" s="125"/>
      <c r="E143" s="125"/>
      <c r="F143" s="125"/>
      <c r="G143" s="125"/>
      <c r="H143" s="126"/>
      <c r="I143" s="124"/>
    </row>
    <row r="144" spans="1:9" x14ac:dyDescent="0.6">
      <c r="A144" s="194" t="s">
        <v>605</v>
      </c>
      <c r="B144" s="166" t="s">
        <v>10</v>
      </c>
      <c r="C144" s="166" t="s">
        <v>9</v>
      </c>
      <c r="D144" s="117" t="s">
        <v>8</v>
      </c>
      <c r="E144" s="117" t="s">
        <v>613</v>
      </c>
      <c r="F144" s="117" t="s">
        <v>614</v>
      </c>
      <c r="G144" s="117" t="s">
        <v>11</v>
      </c>
      <c r="H144" s="118" t="s">
        <v>12</v>
      </c>
      <c r="I144" s="195" t="s">
        <v>12</v>
      </c>
    </row>
    <row r="145" spans="1:9" x14ac:dyDescent="0.6">
      <c r="A145" s="198"/>
      <c r="B145" s="191" t="s">
        <v>739</v>
      </c>
      <c r="C145" s="31" t="s">
        <v>23</v>
      </c>
      <c r="D145" s="32">
        <v>0.24</v>
      </c>
      <c r="E145" s="139">
        <v>0.05</v>
      </c>
      <c r="F145" s="32">
        <f>D145+D145*E145</f>
        <v>0.252</v>
      </c>
      <c r="G145" s="35">
        <f>18000/1.62</f>
        <v>11111.111111111109</v>
      </c>
      <c r="H145" s="68">
        <f t="shared" ref="H145:H151" si="29">F145*G145</f>
        <v>2799.9999999999995</v>
      </c>
      <c r="I145" s="161">
        <f t="shared" ref="I145:I150" si="30">H145/1500</f>
        <v>1.8666666666666665</v>
      </c>
    </row>
    <row r="146" spans="1:9" x14ac:dyDescent="0.6">
      <c r="A146" s="198"/>
      <c r="B146" s="23" t="s">
        <v>655</v>
      </c>
      <c r="C146" s="24" t="s">
        <v>471</v>
      </c>
      <c r="D146" s="25">
        <v>7.0000000000000007E-2</v>
      </c>
      <c r="E146" s="136">
        <v>0</v>
      </c>
      <c r="F146" s="32">
        <f t="shared" ref="F146:F148" si="31">D146+D146*E146</f>
        <v>7.0000000000000007E-2</v>
      </c>
      <c r="G146" s="35">
        <v>7800</v>
      </c>
      <c r="H146" s="68">
        <f t="shared" si="29"/>
        <v>546</v>
      </c>
      <c r="I146" s="161">
        <f t="shared" si="30"/>
        <v>0.36399999999999999</v>
      </c>
    </row>
    <row r="147" spans="1:9" x14ac:dyDescent="0.6">
      <c r="A147" s="198"/>
      <c r="B147" s="23" t="s">
        <v>609</v>
      </c>
      <c r="C147" s="24" t="s">
        <v>463</v>
      </c>
      <c r="D147" s="25">
        <v>5.0000000000000001E-3</v>
      </c>
      <c r="E147" s="136">
        <v>0</v>
      </c>
      <c r="F147" s="32">
        <f t="shared" si="31"/>
        <v>5.0000000000000001E-3</v>
      </c>
      <c r="G147" s="35">
        <v>14000</v>
      </c>
      <c r="H147" s="68">
        <f t="shared" si="29"/>
        <v>70</v>
      </c>
      <c r="I147" s="161">
        <f t="shared" si="30"/>
        <v>4.6666666666666669E-2</v>
      </c>
    </row>
    <row r="148" spans="1:9" x14ac:dyDescent="0.6">
      <c r="A148" s="141"/>
      <c r="B148" s="23" t="s">
        <v>692</v>
      </c>
      <c r="C148" s="24" t="s">
        <v>596</v>
      </c>
      <c r="D148" s="25">
        <v>0.01</v>
      </c>
      <c r="E148" s="136">
        <v>0.03</v>
      </c>
      <c r="F148" s="32">
        <f t="shared" si="31"/>
        <v>1.03E-2</v>
      </c>
      <c r="G148" s="35">
        <v>5000</v>
      </c>
      <c r="H148" s="68">
        <f t="shared" si="29"/>
        <v>51.5</v>
      </c>
      <c r="I148" s="161">
        <f t="shared" si="30"/>
        <v>3.4333333333333334E-2</v>
      </c>
    </row>
    <row r="149" spans="1:9" s="815" customFormat="1" ht="21.75" thickBot="1" x14ac:dyDescent="0.65">
      <c r="A149" s="141"/>
      <c r="B149" s="696" t="s">
        <v>707</v>
      </c>
      <c r="C149" s="695" t="s">
        <v>459</v>
      </c>
      <c r="D149" s="697">
        <v>0.05</v>
      </c>
      <c r="E149" s="136">
        <v>0</v>
      </c>
      <c r="F149" s="32">
        <f>D149+D149*E149</f>
        <v>0.05</v>
      </c>
      <c r="G149" s="35">
        <f>21000/4.15</f>
        <v>5060.2409638554209</v>
      </c>
      <c r="H149" s="68">
        <f t="shared" si="29"/>
        <v>253.01204819277106</v>
      </c>
      <c r="I149" s="161">
        <f t="shared" si="30"/>
        <v>0.16867469879518071</v>
      </c>
    </row>
    <row r="150" spans="1:9" x14ac:dyDescent="0.6">
      <c r="A150" s="141"/>
      <c r="B150" s="26" t="s">
        <v>711</v>
      </c>
      <c r="C150" s="24" t="s">
        <v>471</v>
      </c>
      <c r="D150" s="25">
        <v>0.01</v>
      </c>
      <c r="E150" s="139">
        <v>0.02</v>
      </c>
      <c r="F150" s="32">
        <f t="shared" ref="F150:F151" si="32">D150+D150*E150</f>
        <v>1.0200000000000001E-2</v>
      </c>
      <c r="G150" s="143">
        <v>21000</v>
      </c>
      <c r="H150" s="68">
        <f t="shared" si="29"/>
        <v>214.20000000000002</v>
      </c>
      <c r="I150" s="161">
        <f t="shared" si="30"/>
        <v>0.14280000000000001</v>
      </c>
    </row>
    <row r="151" spans="1:9" ht="21.75" thickBot="1" x14ac:dyDescent="0.65">
      <c r="A151" s="146"/>
      <c r="B151" s="26" t="s">
        <v>724</v>
      </c>
      <c r="C151" s="24" t="s">
        <v>471</v>
      </c>
      <c r="D151" s="25">
        <v>0.02</v>
      </c>
      <c r="E151" s="139">
        <v>0.03</v>
      </c>
      <c r="F151" s="32">
        <f t="shared" si="32"/>
        <v>2.06E-2</v>
      </c>
      <c r="G151" s="58">
        <v>10000</v>
      </c>
      <c r="H151" s="68">
        <f t="shared" si="29"/>
        <v>206</v>
      </c>
      <c r="I151" s="196"/>
    </row>
    <row r="152" spans="1:9" x14ac:dyDescent="0.6">
      <c r="A152" s="124"/>
      <c r="B152" s="165" t="s">
        <v>4</v>
      </c>
      <c r="C152" s="166"/>
      <c r="D152" s="117"/>
      <c r="E152" s="117"/>
      <c r="F152" s="117"/>
      <c r="G152" s="117"/>
      <c r="H152" s="192">
        <f>SUM(H145:H151)</f>
        <v>4140.7120481927705</v>
      </c>
      <c r="I152" s="197">
        <f>SUM(I144:I151)</f>
        <v>2.6231413654618474</v>
      </c>
    </row>
    <row r="153" spans="1:9" x14ac:dyDescent="0.6">
      <c r="A153" s="124"/>
      <c r="B153" s="168" t="s">
        <v>14</v>
      </c>
      <c r="C153" s="43"/>
      <c r="D153" s="121"/>
      <c r="E153" s="121"/>
      <c r="F153" s="121"/>
      <c r="G153" s="121"/>
      <c r="H153" s="169">
        <f>H152/1</f>
        <v>4140.7120481927705</v>
      </c>
      <c r="I153" s="104"/>
    </row>
    <row r="154" spans="1:9" x14ac:dyDescent="0.6">
      <c r="A154" s="124"/>
      <c r="B154" s="168" t="s">
        <v>453</v>
      </c>
      <c r="C154" s="43"/>
      <c r="D154" s="121"/>
      <c r="E154" s="121"/>
      <c r="F154" s="121"/>
      <c r="G154" s="121"/>
      <c r="H154" s="104">
        <f>G142</f>
        <v>13000</v>
      </c>
      <c r="I154" s="104"/>
    </row>
    <row r="155" spans="1:9" x14ac:dyDescent="0.6">
      <c r="A155" s="124"/>
      <c r="B155" s="168" t="s">
        <v>455</v>
      </c>
      <c r="C155" s="43"/>
      <c r="D155" s="121"/>
      <c r="E155" s="121"/>
      <c r="F155" s="121"/>
      <c r="G155" s="121"/>
      <c r="H155" s="104">
        <f>H154/113.3%</f>
        <v>11473.96293027361</v>
      </c>
      <c r="I155" s="104"/>
    </row>
    <row r="156" spans="1:9" x14ac:dyDescent="0.6">
      <c r="A156" s="124"/>
      <c r="B156" s="168" t="s">
        <v>16</v>
      </c>
      <c r="C156" s="43"/>
      <c r="D156" s="121"/>
      <c r="E156" s="121"/>
      <c r="F156" s="121"/>
      <c r="G156" s="121"/>
      <c r="H156" s="588">
        <f>H153/H155</f>
        <v>0.36087898081556991</v>
      </c>
      <c r="I156" s="502"/>
    </row>
    <row r="157" spans="1:9" x14ac:dyDescent="0.6">
      <c r="A157" s="124"/>
      <c r="B157" s="168"/>
      <c r="C157" s="43"/>
      <c r="D157" s="121"/>
      <c r="E157" s="121"/>
      <c r="F157" s="121"/>
      <c r="G157" s="121"/>
      <c r="H157" s="169"/>
      <c r="I157" s="171"/>
    </row>
    <row r="158" spans="1:9" ht="21.75" thickBot="1" x14ac:dyDescent="0.65">
      <c r="A158" s="124"/>
      <c r="B158" s="172"/>
      <c r="C158" s="147"/>
      <c r="D158" s="58"/>
      <c r="E158" s="58"/>
      <c r="F158" s="58"/>
      <c r="G158" s="58"/>
      <c r="H158" s="173"/>
      <c r="I158" s="164"/>
    </row>
    <row r="160" spans="1:9" s="74" customFormat="1" ht="18" x14ac:dyDescent="0.5">
      <c r="D160" s="77"/>
      <c r="E160" s="77"/>
      <c r="F160" s="77"/>
      <c r="G160" s="114"/>
      <c r="H160" s="115"/>
    </row>
    <row r="161" spans="1:10" ht="21.75" thickBot="1" x14ac:dyDescent="0.65">
      <c r="A161" s="154"/>
      <c r="B161" s="154"/>
      <c r="C161" s="154"/>
      <c r="D161" s="155" t="s">
        <v>0</v>
      </c>
      <c r="E161" s="155"/>
      <c r="F161" s="155"/>
      <c r="G161" s="125"/>
      <c r="H161" s="126"/>
      <c r="I161" s="124"/>
    </row>
    <row r="162" spans="1:10" x14ac:dyDescent="0.6">
      <c r="A162" s="562" t="s">
        <v>741</v>
      </c>
      <c r="B162" s="563" t="s">
        <v>742</v>
      </c>
      <c r="C162" s="547"/>
      <c r="D162" s="548"/>
      <c r="E162" s="548"/>
      <c r="F162" s="548"/>
      <c r="G162" s="548" t="s">
        <v>1</v>
      </c>
      <c r="H162" s="541" t="s">
        <v>868</v>
      </c>
      <c r="I162" s="564" t="s">
        <v>595</v>
      </c>
    </row>
    <row r="163" spans="1:10" x14ac:dyDescent="0.6">
      <c r="A163" s="565">
        <v>8</v>
      </c>
      <c r="B163" s="539" t="s">
        <v>5</v>
      </c>
      <c r="C163" s="539" t="s">
        <v>4</v>
      </c>
      <c r="D163" s="540" t="s">
        <v>3</v>
      </c>
      <c r="E163" s="540" t="s">
        <v>613</v>
      </c>
      <c r="F163" s="540" t="s">
        <v>614</v>
      </c>
      <c r="G163" s="540" t="s">
        <v>510</v>
      </c>
      <c r="H163" s="543" t="s">
        <v>7</v>
      </c>
      <c r="I163" s="636">
        <f>I141</f>
        <v>45574</v>
      </c>
    </row>
    <row r="164" spans="1:10" ht="21.75" thickBot="1" x14ac:dyDescent="0.65">
      <c r="A164" s="551"/>
      <c r="B164" s="552"/>
      <c r="C164" s="552"/>
      <c r="D164" s="553">
        <v>1</v>
      </c>
      <c r="E164" s="553"/>
      <c r="F164" s="553"/>
      <c r="G164" s="553">
        <f>Summary!J16</f>
        <v>15000</v>
      </c>
      <c r="H164" s="633">
        <f>H184</f>
        <v>0.36640878734939764</v>
      </c>
      <c r="I164" s="555"/>
    </row>
    <row r="165" spans="1:10" ht="21.75" thickBot="1" x14ac:dyDescent="0.65">
      <c r="A165" s="124"/>
      <c r="B165" s="124"/>
      <c r="C165" s="124"/>
      <c r="D165" s="125"/>
      <c r="E165" s="125"/>
      <c r="F165" s="125"/>
      <c r="G165" s="125"/>
      <c r="H165" s="126"/>
      <c r="I165" s="124"/>
    </row>
    <row r="166" spans="1:10" x14ac:dyDescent="0.6">
      <c r="A166" s="194" t="s">
        <v>605</v>
      </c>
      <c r="B166" s="166" t="s">
        <v>10</v>
      </c>
      <c r="C166" s="166" t="s">
        <v>9</v>
      </c>
      <c r="D166" s="117" t="s">
        <v>8</v>
      </c>
      <c r="E166" s="117" t="s">
        <v>613</v>
      </c>
      <c r="F166" s="117" t="s">
        <v>614</v>
      </c>
      <c r="G166" s="117" t="s">
        <v>11</v>
      </c>
      <c r="H166" s="118" t="s">
        <v>24</v>
      </c>
      <c r="I166" s="195" t="s">
        <v>25</v>
      </c>
    </row>
    <row r="167" spans="1:10" x14ac:dyDescent="0.6">
      <c r="A167" s="145"/>
      <c r="B167" s="42"/>
      <c r="C167" s="27"/>
      <c r="D167" s="28"/>
      <c r="E167" s="199"/>
      <c r="F167" s="177"/>
      <c r="G167" s="36"/>
      <c r="H167" s="200">
        <f t="shared" ref="H167:H176" si="33">F167*G167</f>
        <v>0</v>
      </c>
      <c r="I167" s="163">
        <f>H167/'Appetizer &amp; Salad'!I$2</f>
        <v>0</v>
      </c>
    </row>
    <row r="168" spans="1:10" x14ac:dyDescent="0.6">
      <c r="A168" s="962" t="s">
        <v>579</v>
      </c>
      <c r="B168" s="963" t="s">
        <v>743</v>
      </c>
      <c r="C168" s="964" t="s">
        <v>471</v>
      </c>
      <c r="D168" s="965">
        <v>0.1</v>
      </c>
      <c r="E168" s="957">
        <v>0.02</v>
      </c>
      <c r="F168" s="966">
        <f t="shared" ref="F168:F176" si="34">D168+D168*E168</f>
        <v>0.10200000000000001</v>
      </c>
      <c r="G168" s="967">
        <v>33000</v>
      </c>
      <c r="H168" s="968">
        <f>F168*G168</f>
        <v>3366.0000000000005</v>
      </c>
      <c r="I168" s="969">
        <f>H168/'Appetizer &amp; Salad'!I$2</f>
        <v>1.602857142857143</v>
      </c>
      <c r="J168" s="51" t="s">
        <v>968</v>
      </c>
    </row>
    <row r="169" spans="1:10" x14ac:dyDescent="0.6">
      <c r="A169" s="138"/>
      <c r="B169" s="396" t="s">
        <v>729</v>
      </c>
      <c r="C169" s="397" t="s">
        <v>459</v>
      </c>
      <c r="D169" s="398">
        <v>0.01</v>
      </c>
      <c r="E169" s="139">
        <v>0</v>
      </c>
      <c r="F169" s="25">
        <f t="shared" si="34"/>
        <v>0.01</v>
      </c>
      <c r="G169" s="35">
        <f>42000/4.15</f>
        <v>10120.481927710842</v>
      </c>
      <c r="H169" s="122">
        <f t="shared" si="33"/>
        <v>101.20481927710841</v>
      </c>
      <c r="I169" s="163">
        <f>H169/'Appetizer &amp; Salad'!I$2</f>
        <v>4.8192771084337338E-2</v>
      </c>
    </row>
    <row r="170" spans="1:10" x14ac:dyDescent="0.6">
      <c r="A170" s="138"/>
      <c r="B170" s="396" t="s">
        <v>673</v>
      </c>
      <c r="C170" s="397" t="s">
        <v>471</v>
      </c>
      <c r="D170" s="398">
        <v>0.05</v>
      </c>
      <c r="E170" s="139">
        <v>0.03</v>
      </c>
      <c r="F170" s="25">
        <f t="shared" si="34"/>
        <v>5.1500000000000004E-2</v>
      </c>
      <c r="G170" s="35">
        <v>4500</v>
      </c>
      <c r="H170" s="122">
        <f t="shared" si="33"/>
        <v>231.75000000000003</v>
      </c>
      <c r="I170" s="163">
        <f>H170/'Appetizer &amp; Salad'!I$2</f>
        <v>0.11035714285714288</v>
      </c>
    </row>
    <row r="171" spans="1:10" x14ac:dyDescent="0.6">
      <c r="A171" s="26"/>
      <c r="B171" s="396" t="s">
        <v>671</v>
      </c>
      <c r="C171" s="397" t="s">
        <v>20</v>
      </c>
      <c r="D171" s="398">
        <v>0.2</v>
      </c>
      <c r="E171" s="139">
        <v>0.05</v>
      </c>
      <c r="F171" s="25">
        <f t="shared" si="34"/>
        <v>0.21000000000000002</v>
      </c>
      <c r="G171" s="35">
        <v>500</v>
      </c>
      <c r="H171" s="122">
        <f t="shared" si="33"/>
        <v>105.00000000000001</v>
      </c>
      <c r="I171" s="163">
        <f>H171/'Appetizer &amp; Salad'!I$2</f>
        <v>5.000000000000001E-2</v>
      </c>
    </row>
    <row r="172" spans="1:10" x14ac:dyDescent="0.6">
      <c r="A172" s="26"/>
      <c r="B172" s="396" t="s">
        <v>612</v>
      </c>
      <c r="C172" s="397" t="s">
        <v>471</v>
      </c>
      <c r="D172" s="398">
        <v>0.02</v>
      </c>
      <c r="E172" s="139">
        <v>0</v>
      </c>
      <c r="F172" s="25">
        <f t="shared" si="34"/>
        <v>0.02</v>
      </c>
      <c r="G172" s="35">
        <v>5800</v>
      </c>
      <c r="H172" s="122">
        <f t="shared" si="33"/>
        <v>116</v>
      </c>
      <c r="I172" s="163">
        <f>H172/'Appetizer &amp; Salad'!I$2</f>
        <v>5.5238095238095239E-2</v>
      </c>
    </row>
    <row r="173" spans="1:10" x14ac:dyDescent="0.6">
      <c r="A173" s="144" t="s">
        <v>530</v>
      </c>
      <c r="B173" s="396" t="s">
        <v>709</v>
      </c>
      <c r="C173" s="397" t="s">
        <v>13</v>
      </c>
      <c r="D173" s="398">
        <v>1</v>
      </c>
      <c r="E173" s="139">
        <v>0</v>
      </c>
      <c r="F173" s="25">
        <f t="shared" si="34"/>
        <v>1</v>
      </c>
      <c r="G173" s="143">
        <v>200</v>
      </c>
      <c r="H173" s="122">
        <f t="shared" si="33"/>
        <v>200</v>
      </c>
      <c r="I173" s="163">
        <f>H173/'Appetizer &amp; Salad'!I$2</f>
        <v>9.5238095238095233E-2</v>
      </c>
    </row>
    <row r="174" spans="1:10" x14ac:dyDescent="0.6">
      <c r="A174" s="138"/>
      <c r="B174" s="396" t="s">
        <v>615</v>
      </c>
      <c r="C174" s="397" t="s">
        <v>13</v>
      </c>
      <c r="D174" s="398">
        <v>0.01</v>
      </c>
      <c r="E174" s="139">
        <v>0.15</v>
      </c>
      <c r="F174" s="25">
        <f t="shared" si="34"/>
        <v>1.15E-2</v>
      </c>
      <c r="G174" s="35">
        <v>3000</v>
      </c>
      <c r="H174" s="122">
        <f t="shared" si="33"/>
        <v>34.5</v>
      </c>
      <c r="I174" s="163">
        <f>H174/'Appetizer &amp; Salad'!I$2</f>
        <v>1.6428571428571428E-2</v>
      </c>
    </row>
    <row r="175" spans="1:10" x14ac:dyDescent="0.6">
      <c r="A175" s="141"/>
      <c r="B175" s="396" t="s">
        <v>652</v>
      </c>
      <c r="C175" s="397" t="s">
        <v>471</v>
      </c>
      <c r="D175" s="398">
        <v>0.02</v>
      </c>
      <c r="E175" s="139">
        <v>0</v>
      </c>
      <c r="F175" s="25">
        <f t="shared" si="34"/>
        <v>0.02</v>
      </c>
      <c r="G175" s="143">
        <v>7000</v>
      </c>
      <c r="H175" s="122">
        <f t="shared" si="33"/>
        <v>140</v>
      </c>
      <c r="I175" s="163">
        <f>H175/'Appetizer &amp; Salad'!I$2</f>
        <v>6.6666666666666666E-2</v>
      </c>
    </row>
    <row r="176" spans="1:10" x14ac:dyDescent="0.6">
      <c r="A176" s="141"/>
      <c r="B176" s="396" t="s">
        <v>609</v>
      </c>
      <c r="C176" s="397" t="s">
        <v>463</v>
      </c>
      <c r="D176" s="398">
        <v>0.01</v>
      </c>
      <c r="E176" s="139">
        <v>0</v>
      </c>
      <c r="F176" s="25">
        <f t="shared" si="34"/>
        <v>0.01</v>
      </c>
      <c r="G176" s="35">
        <v>14000</v>
      </c>
      <c r="H176" s="122">
        <f t="shared" si="33"/>
        <v>140</v>
      </c>
      <c r="I176" s="163">
        <f>H176/'Appetizer &amp; Salad'!I$2</f>
        <v>6.6666666666666666E-2</v>
      </c>
    </row>
    <row r="177" spans="1:9" x14ac:dyDescent="0.6">
      <c r="A177" s="138"/>
      <c r="B177" s="396" t="s">
        <v>672</v>
      </c>
      <c r="C177" s="397" t="s">
        <v>471</v>
      </c>
      <c r="D177" s="398">
        <v>0.03</v>
      </c>
      <c r="E177" s="139">
        <v>0</v>
      </c>
      <c r="F177" s="25">
        <f t="shared" ref="F177:F179" si="35">D177+D177*E177</f>
        <v>0.03</v>
      </c>
      <c r="G177" s="35">
        <v>7800</v>
      </c>
      <c r="H177" s="122">
        <f t="shared" ref="H177:H179" si="36">F177*G177</f>
        <v>234</v>
      </c>
      <c r="I177" s="163">
        <f>H177/'Appetizer &amp; Salad'!I$2</f>
        <v>0.11142857142857143</v>
      </c>
    </row>
    <row r="178" spans="1:9" x14ac:dyDescent="0.6">
      <c r="A178" s="138"/>
      <c r="B178" s="396" t="s">
        <v>744</v>
      </c>
      <c r="C178" s="397" t="s">
        <v>20</v>
      </c>
      <c r="D178" s="398">
        <v>0.2</v>
      </c>
      <c r="E178" s="139">
        <v>0.05</v>
      </c>
      <c r="F178" s="25">
        <f t="shared" si="35"/>
        <v>0.21000000000000002</v>
      </c>
      <c r="G178" s="35">
        <v>250</v>
      </c>
      <c r="H178" s="122">
        <f t="shared" si="36"/>
        <v>52.500000000000007</v>
      </c>
      <c r="I178" s="163">
        <f>H178/'Appetizer &amp; Salad'!I$2</f>
        <v>2.5000000000000005E-2</v>
      </c>
    </row>
    <row r="179" spans="1:9" ht="21.75" thickBot="1" x14ac:dyDescent="0.65">
      <c r="A179" s="643"/>
      <c r="B179" s="396" t="s">
        <v>620</v>
      </c>
      <c r="C179" s="397" t="s">
        <v>20</v>
      </c>
      <c r="D179" s="398">
        <v>0.2</v>
      </c>
      <c r="E179" s="139">
        <v>0.3</v>
      </c>
      <c r="F179" s="25">
        <f t="shared" si="35"/>
        <v>0.26</v>
      </c>
      <c r="G179" s="143">
        <v>500</v>
      </c>
      <c r="H179" s="122">
        <f t="shared" si="36"/>
        <v>130</v>
      </c>
      <c r="I179" s="163">
        <f>H179/'Appetizer &amp; Salad'!I$2</f>
        <v>6.1904761904761907E-2</v>
      </c>
    </row>
    <row r="180" spans="1:9" x14ac:dyDescent="0.6">
      <c r="A180" s="124"/>
      <c r="B180" s="165" t="s">
        <v>4</v>
      </c>
      <c r="C180" s="166"/>
      <c r="D180" s="117"/>
      <c r="E180" s="117"/>
      <c r="F180" s="117"/>
      <c r="G180" s="117"/>
      <c r="H180" s="192">
        <f>SUM(H168:H179)</f>
        <v>4850.954819277109</v>
      </c>
      <c r="I180" s="197">
        <f>SUM(I167:I179)</f>
        <v>2.3099784853700527</v>
      </c>
    </row>
    <row r="181" spans="1:9" x14ac:dyDescent="0.6">
      <c r="A181" s="124"/>
      <c r="B181" s="168" t="s">
        <v>14</v>
      </c>
      <c r="C181" s="43"/>
      <c r="D181" s="121"/>
      <c r="E181" s="121"/>
      <c r="F181" s="121"/>
      <c r="G181" s="121"/>
      <c r="H181" s="169">
        <f>H180/1</f>
        <v>4850.954819277109</v>
      </c>
      <c r="I181" s="104"/>
    </row>
    <row r="182" spans="1:9" x14ac:dyDescent="0.6">
      <c r="A182" s="124"/>
      <c r="B182" s="168" t="s">
        <v>453</v>
      </c>
      <c r="C182" s="43"/>
      <c r="D182" s="121"/>
      <c r="E182" s="121"/>
      <c r="F182" s="121"/>
      <c r="G182" s="121"/>
      <c r="H182" s="104">
        <f>G164</f>
        <v>15000</v>
      </c>
      <c r="I182" s="104"/>
    </row>
    <row r="183" spans="1:9" x14ac:dyDescent="0.6">
      <c r="A183" s="124"/>
      <c r="B183" s="168" t="s">
        <v>455</v>
      </c>
      <c r="C183" s="43"/>
      <c r="D183" s="121"/>
      <c r="E183" s="121"/>
      <c r="F183" s="121"/>
      <c r="G183" s="121"/>
      <c r="H183" s="104">
        <f>H182/113.3%</f>
        <v>13239.187996469549</v>
      </c>
      <c r="I183" s="104"/>
    </row>
    <row r="184" spans="1:9" x14ac:dyDescent="0.6">
      <c r="A184" s="124"/>
      <c r="B184" s="168" t="s">
        <v>16</v>
      </c>
      <c r="C184" s="43"/>
      <c r="D184" s="121"/>
      <c r="E184" s="121"/>
      <c r="F184" s="121"/>
      <c r="G184" s="121"/>
      <c r="H184" s="588">
        <f>H181/H183</f>
        <v>0.36640878734939764</v>
      </c>
      <c r="I184" s="502"/>
    </row>
    <row r="185" spans="1:9" x14ac:dyDescent="0.6">
      <c r="A185" s="124"/>
      <c r="B185" s="168"/>
      <c r="C185" s="43"/>
      <c r="D185" s="121"/>
      <c r="E185" s="121"/>
      <c r="F185" s="121"/>
      <c r="G185" s="121"/>
      <c r="H185" s="169"/>
      <c r="I185" s="171"/>
    </row>
    <row r="186" spans="1:9" ht="21.75" thickBot="1" x14ac:dyDescent="0.65">
      <c r="A186" s="124"/>
      <c r="B186" s="172"/>
      <c r="C186" s="147"/>
      <c r="D186" s="58"/>
      <c r="E186" s="58"/>
      <c r="F186" s="58"/>
      <c r="G186" s="58"/>
      <c r="H186" s="173"/>
      <c r="I186" s="164"/>
    </row>
    <row r="187" spans="1:9" s="74" customFormat="1" ht="18" x14ac:dyDescent="0.5">
      <c r="D187" s="77"/>
      <c r="E187" s="77"/>
      <c r="F187" s="77"/>
      <c r="G187" s="114"/>
      <c r="H187" s="115"/>
    </row>
    <row r="188" spans="1:9" ht="21.75" thickBot="1" x14ac:dyDescent="0.65">
      <c r="B188" s="76"/>
      <c r="C188" s="76"/>
      <c r="D188" s="116" t="s">
        <v>0</v>
      </c>
      <c r="E188" s="116"/>
      <c r="F188" s="116"/>
      <c r="G188" s="61"/>
      <c r="H188" s="62"/>
      <c r="I188" s="60"/>
    </row>
    <row r="189" spans="1:9" x14ac:dyDescent="0.6">
      <c r="A189" s="537" t="s">
        <v>665</v>
      </c>
      <c r="B189" s="538" t="s">
        <v>748</v>
      </c>
      <c r="C189" s="539"/>
      <c r="D189" s="540"/>
      <c r="E189" s="540"/>
      <c r="F189" s="540"/>
      <c r="G189" s="540" t="s">
        <v>1</v>
      </c>
      <c r="H189" s="541" t="s">
        <v>868</v>
      </c>
      <c r="I189" s="564" t="s">
        <v>595</v>
      </c>
    </row>
    <row r="190" spans="1:9" x14ac:dyDescent="0.6">
      <c r="A190" s="542">
        <v>9</v>
      </c>
      <c r="B190" s="542" t="s">
        <v>5</v>
      </c>
      <c r="C190" s="542" t="s">
        <v>4</v>
      </c>
      <c r="D190" s="540" t="s">
        <v>3</v>
      </c>
      <c r="E190" s="540" t="s">
        <v>613</v>
      </c>
      <c r="F190" s="540" t="s">
        <v>614</v>
      </c>
      <c r="G190" s="540" t="s">
        <v>6</v>
      </c>
      <c r="H190" s="543" t="s">
        <v>7</v>
      </c>
      <c r="I190" s="636">
        <f>I163</f>
        <v>45574</v>
      </c>
    </row>
    <row r="191" spans="1:9" ht="21.75" thickBot="1" x14ac:dyDescent="0.65">
      <c r="A191" s="542"/>
      <c r="B191" s="544"/>
      <c r="C191" s="544"/>
      <c r="D191" s="540">
        <v>1</v>
      </c>
      <c r="E191" s="540"/>
      <c r="F191" s="540"/>
      <c r="G191" s="540">
        <f>Summary!J17</f>
        <v>18000</v>
      </c>
      <c r="H191" s="640">
        <f>H204</f>
        <v>0.34428911611111107</v>
      </c>
      <c r="I191" s="545"/>
    </row>
    <row r="192" spans="1:9" x14ac:dyDescent="0.6">
      <c r="A192" s="194" t="s">
        <v>605</v>
      </c>
      <c r="B192" s="166" t="s">
        <v>10</v>
      </c>
      <c r="C192" s="166" t="s">
        <v>9</v>
      </c>
      <c r="D192" s="117" t="s">
        <v>8</v>
      </c>
      <c r="E192" s="117" t="s">
        <v>613</v>
      </c>
      <c r="F192" s="117" t="s">
        <v>614</v>
      </c>
      <c r="G192" s="117" t="s">
        <v>11</v>
      </c>
      <c r="H192" s="118" t="s">
        <v>24</v>
      </c>
      <c r="I192" s="195" t="s">
        <v>25</v>
      </c>
    </row>
    <row r="193" spans="1:12" x14ac:dyDescent="0.6">
      <c r="A193" s="141" t="s">
        <v>469</v>
      </c>
      <c r="B193" s="405" t="s">
        <v>745</v>
      </c>
      <c r="C193" s="400" t="s">
        <v>596</v>
      </c>
      <c r="D193" s="406">
        <v>0.1</v>
      </c>
      <c r="E193" s="139">
        <v>0.54</v>
      </c>
      <c r="F193" s="32">
        <f t="shared" ref="F193:F197" si="37">D193+D193*E193</f>
        <v>0.15400000000000003</v>
      </c>
      <c r="G193" s="35">
        <v>26000</v>
      </c>
      <c r="H193" s="68">
        <f t="shared" ref="H193:H199" si="38">F193*G193</f>
        <v>4004.0000000000005</v>
      </c>
      <c r="I193" s="161">
        <f>H193/I$2</f>
        <v>1.906666666666667</v>
      </c>
      <c r="K193" s="51">
        <f>+F193*1.6</f>
        <v>0.24640000000000006</v>
      </c>
    </row>
    <row r="194" spans="1:12" x14ac:dyDescent="0.6">
      <c r="A194" s="141"/>
      <c r="B194" s="405" t="s">
        <v>674</v>
      </c>
      <c r="C194" s="400" t="s">
        <v>596</v>
      </c>
      <c r="D194" s="406">
        <v>0.03</v>
      </c>
      <c r="E194" s="139">
        <v>0</v>
      </c>
      <c r="F194" s="32">
        <f t="shared" si="37"/>
        <v>0.03</v>
      </c>
      <c r="G194" s="35">
        <v>21000</v>
      </c>
      <c r="H194" s="68">
        <f t="shared" si="38"/>
        <v>630</v>
      </c>
      <c r="I194" s="161">
        <f>H194/I$2</f>
        <v>0.3</v>
      </c>
    </row>
    <row r="195" spans="1:12" x14ac:dyDescent="0.6">
      <c r="A195" s="144" t="s">
        <v>588</v>
      </c>
      <c r="B195" s="405" t="s">
        <v>692</v>
      </c>
      <c r="C195" s="400" t="s">
        <v>596</v>
      </c>
      <c r="D195" s="406">
        <v>0.02</v>
      </c>
      <c r="E195" s="139">
        <v>0.2</v>
      </c>
      <c r="F195" s="32">
        <f t="shared" si="37"/>
        <v>2.4E-2</v>
      </c>
      <c r="G195" s="143">
        <v>5000</v>
      </c>
      <c r="H195" s="68">
        <f t="shared" si="38"/>
        <v>120</v>
      </c>
      <c r="I195" s="161">
        <f>H195/I$2</f>
        <v>5.7142857142857141E-2</v>
      </c>
    </row>
    <row r="196" spans="1:12" x14ac:dyDescent="0.6">
      <c r="A196" s="141" t="s">
        <v>473</v>
      </c>
      <c r="B196" s="405" t="s">
        <v>746</v>
      </c>
      <c r="C196" s="400" t="s">
        <v>463</v>
      </c>
      <c r="D196" s="407">
        <v>1E-3</v>
      </c>
      <c r="E196" s="139">
        <v>0.1</v>
      </c>
      <c r="F196" s="32">
        <f t="shared" si="37"/>
        <v>1.1000000000000001E-3</v>
      </c>
      <c r="G196" s="143">
        <v>14300</v>
      </c>
      <c r="H196" s="68">
        <f t="shared" si="38"/>
        <v>15.73</v>
      </c>
      <c r="I196" s="161">
        <f>H196/I$2</f>
        <v>7.4904761904761906E-3</v>
      </c>
    </row>
    <row r="197" spans="1:12" x14ac:dyDescent="0.6">
      <c r="A197" s="144"/>
      <c r="B197" s="405" t="s">
        <v>672</v>
      </c>
      <c r="C197" s="400" t="s">
        <v>596</v>
      </c>
      <c r="D197" s="406">
        <v>0.05</v>
      </c>
      <c r="E197" s="139">
        <v>0</v>
      </c>
      <c r="F197" s="32">
        <f t="shared" si="37"/>
        <v>0.05</v>
      </c>
      <c r="G197" s="35">
        <v>7800</v>
      </c>
      <c r="H197" s="68">
        <f t="shared" si="38"/>
        <v>390</v>
      </c>
      <c r="I197" s="161">
        <f t="shared" ref="I197:I198" si="39">H197/I$2</f>
        <v>0.18571428571428572</v>
      </c>
    </row>
    <row r="198" spans="1:12" x14ac:dyDescent="0.6">
      <c r="A198" s="141"/>
      <c r="B198" s="396" t="s">
        <v>747</v>
      </c>
      <c r="C198" s="397" t="s">
        <v>459</v>
      </c>
      <c r="D198" s="398">
        <v>0.01</v>
      </c>
      <c r="E198" s="139">
        <v>0</v>
      </c>
      <c r="F198" s="32">
        <v>0.02</v>
      </c>
      <c r="G198" s="143">
        <v>8500</v>
      </c>
      <c r="H198" s="68">
        <f t="shared" si="38"/>
        <v>170</v>
      </c>
      <c r="I198" s="161">
        <f t="shared" si="39"/>
        <v>8.0952380952380956E-2</v>
      </c>
      <c r="L198" s="395"/>
    </row>
    <row r="199" spans="1:12" ht="21.75" thickBot="1" x14ac:dyDescent="0.65">
      <c r="A199" s="144"/>
      <c r="B199" s="396" t="s">
        <v>609</v>
      </c>
      <c r="C199" s="397" t="s">
        <v>463</v>
      </c>
      <c r="D199" s="408">
        <v>0.01</v>
      </c>
      <c r="E199" s="139">
        <v>0</v>
      </c>
      <c r="F199" s="32">
        <f t="shared" ref="F199" si="40">D199+D199*E199</f>
        <v>0.01</v>
      </c>
      <c r="G199" s="35">
        <v>14000</v>
      </c>
      <c r="H199" s="68">
        <f t="shared" si="38"/>
        <v>140</v>
      </c>
      <c r="I199" s="161">
        <f>H199/I$2</f>
        <v>6.6666666666666666E-2</v>
      </c>
    </row>
    <row r="200" spans="1:12" x14ac:dyDescent="0.6">
      <c r="A200" s="203"/>
      <c r="B200" s="204" t="s">
        <v>4</v>
      </c>
      <c r="C200" s="205"/>
      <c r="D200" s="206"/>
      <c r="E200" s="206"/>
      <c r="F200" s="206"/>
      <c r="G200" s="206"/>
      <c r="H200" s="207">
        <f>SUM(H193:H199)</f>
        <v>5469.73</v>
      </c>
      <c r="I200" s="208">
        <f>SUM(I193:I199)</f>
        <v>2.604633333333334</v>
      </c>
    </row>
    <row r="201" spans="1:12" x14ac:dyDescent="0.6">
      <c r="A201" s="209"/>
      <c r="B201" s="210" t="s">
        <v>14</v>
      </c>
      <c r="C201" s="211"/>
      <c r="D201" s="212"/>
      <c r="E201" s="212"/>
      <c r="F201" s="213"/>
      <c r="G201" s="212"/>
      <c r="H201" s="214">
        <f>H200/1</f>
        <v>5469.73</v>
      </c>
      <c r="I201" s="104"/>
    </row>
    <row r="202" spans="1:12" x14ac:dyDescent="0.6">
      <c r="A202" s="209"/>
      <c r="B202" s="210" t="s">
        <v>453</v>
      </c>
      <c r="C202" s="211"/>
      <c r="D202" s="212"/>
      <c r="E202" s="212"/>
      <c r="F202" s="212"/>
      <c r="G202" s="212"/>
      <c r="H202" s="476">
        <f>G191</f>
        <v>18000</v>
      </c>
      <c r="I202" s="476"/>
    </row>
    <row r="203" spans="1:12" x14ac:dyDescent="0.6">
      <c r="A203" s="209"/>
      <c r="B203" s="168" t="s">
        <v>455</v>
      </c>
      <c r="C203" s="211"/>
      <c r="D203" s="212"/>
      <c r="E203" s="212"/>
      <c r="F203" s="212"/>
      <c r="G203" s="212"/>
      <c r="H203" s="104">
        <f>H202/113.3%</f>
        <v>15887.02559576346</v>
      </c>
      <c r="I203" s="104"/>
    </row>
    <row r="204" spans="1:12" x14ac:dyDescent="0.6">
      <c r="A204" s="209"/>
      <c r="B204" s="210" t="s">
        <v>16</v>
      </c>
      <c r="C204" s="211"/>
      <c r="D204" s="212"/>
      <c r="E204" s="212"/>
      <c r="F204" s="212"/>
      <c r="G204" s="212"/>
      <c r="H204" s="817">
        <f>H201/H203</f>
        <v>0.34428911611111107</v>
      </c>
      <c r="I204" s="816"/>
    </row>
    <row r="205" spans="1:12" x14ac:dyDescent="0.6">
      <c r="A205" s="209"/>
      <c r="B205" s="210"/>
      <c r="C205" s="211"/>
      <c r="D205" s="212"/>
      <c r="E205" s="212"/>
      <c r="F205" s="212"/>
      <c r="G205" s="212"/>
      <c r="H205" s="214"/>
      <c r="I205" s="215"/>
    </row>
    <row r="206" spans="1:12" ht="21.75" thickBot="1" x14ac:dyDescent="0.65">
      <c r="A206" s="209"/>
      <c r="B206" s="216"/>
      <c r="C206" s="217"/>
      <c r="D206" s="218"/>
      <c r="E206" s="218"/>
      <c r="F206" s="218"/>
      <c r="G206" s="218"/>
      <c r="H206" s="219"/>
      <c r="I206" s="220"/>
    </row>
    <row r="207" spans="1:12" s="74" customFormat="1" ht="18" x14ac:dyDescent="0.5">
      <c r="D207" s="77"/>
      <c r="E207" s="77"/>
      <c r="F207" s="77"/>
      <c r="G207" s="114"/>
      <c r="H207" s="115"/>
    </row>
    <row r="208" spans="1:12" s="74" customFormat="1" ht="18" x14ac:dyDescent="0.5">
      <c r="D208" s="77"/>
      <c r="E208" s="77"/>
      <c r="F208" s="77"/>
      <c r="G208" s="114"/>
      <c r="H208" s="115"/>
    </row>
  </sheetData>
  <mergeCells count="2">
    <mergeCell ref="A1:I1"/>
    <mergeCell ref="A3:I3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3"/>
  </sheetPr>
  <dimension ref="A1:K149"/>
  <sheetViews>
    <sheetView topLeftCell="A10" workbookViewId="0">
      <selection activeCell="H123" sqref="H123"/>
    </sheetView>
  </sheetViews>
  <sheetFormatPr defaultColWidth="9.140625" defaultRowHeight="21" x14ac:dyDescent="0.6"/>
  <cols>
    <col min="1" max="1" width="17.5703125" style="74" customWidth="1"/>
    <col min="2" max="2" width="34.85546875" style="74" customWidth="1"/>
    <col min="3" max="3" width="9.85546875" style="74" customWidth="1"/>
    <col min="4" max="4" width="9.5703125" style="811" bestFit="1" customWidth="1"/>
    <col min="5" max="6" width="9.140625" style="74"/>
    <col min="7" max="7" width="17.5703125" style="189" customWidth="1"/>
    <col min="8" max="8" width="17.85546875" style="189" customWidth="1"/>
    <col min="9" max="9" width="23.85546875" style="74" customWidth="1"/>
    <col min="10" max="11" width="9.140625" style="51"/>
    <col min="12" max="12" width="9.5703125" style="51" bestFit="1" customWidth="1"/>
    <col min="13" max="16384" width="9.140625" style="51"/>
  </cols>
  <sheetData>
    <row r="1" spans="1:10" s="74" customFormat="1" ht="18" x14ac:dyDescent="0.5">
      <c r="D1" s="77"/>
      <c r="E1" s="77"/>
      <c r="F1" s="77"/>
      <c r="G1" s="114"/>
      <c r="H1" s="115"/>
    </row>
    <row r="2" spans="1:10" s="119" customFormat="1" ht="18" x14ac:dyDescent="0.5">
      <c r="A2" s="933" t="s">
        <v>460</v>
      </c>
      <c r="B2" s="933"/>
      <c r="C2" s="933"/>
      <c r="D2" s="933"/>
      <c r="E2" s="933"/>
      <c r="F2" s="933"/>
      <c r="G2" s="933"/>
      <c r="H2" s="933"/>
      <c r="I2" s="933"/>
    </row>
    <row r="3" spans="1:10" s="74" customFormat="1" ht="18" x14ac:dyDescent="0.5">
      <c r="D3" s="188"/>
      <c r="E3" s="188"/>
      <c r="F3" s="188"/>
      <c r="G3" s="189"/>
      <c r="H3" s="190"/>
      <c r="I3" s="60">
        <v>2100</v>
      </c>
    </row>
    <row r="4" spans="1:10" s="74" customFormat="1" ht="18.75" thickBot="1" x14ac:dyDescent="0.55000000000000004">
      <c r="A4" s="698"/>
      <c r="B4" s="698"/>
      <c r="C4" s="698"/>
      <c r="D4" s="716" t="s">
        <v>0</v>
      </c>
      <c r="E4" s="716"/>
      <c r="F4" s="716"/>
      <c r="G4" s="717"/>
      <c r="H4" s="699"/>
      <c r="I4" s="700"/>
    </row>
    <row r="5" spans="1:10" s="74" customFormat="1" ht="18" x14ac:dyDescent="0.5">
      <c r="A5" s="568" t="s">
        <v>722</v>
      </c>
      <c r="B5" s="582" t="s">
        <v>749</v>
      </c>
      <c r="C5" s="569"/>
      <c r="D5" s="570"/>
      <c r="E5" s="570"/>
      <c r="F5" s="570"/>
      <c r="G5" s="570" t="s">
        <v>1</v>
      </c>
      <c r="H5" s="571" t="s">
        <v>868</v>
      </c>
      <c r="I5" s="572" t="s">
        <v>2</v>
      </c>
      <c r="J5" s="74">
        <v>1</v>
      </c>
    </row>
    <row r="6" spans="1:10" s="74" customFormat="1" ht="18" x14ac:dyDescent="0.5">
      <c r="A6" s="583">
        <v>1</v>
      </c>
      <c r="B6" s="574" t="s">
        <v>5</v>
      </c>
      <c r="C6" s="574" t="s">
        <v>4</v>
      </c>
      <c r="D6" s="575" t="s">
        <v>3</v>
      </c>
      <c r="E6" s="575" t="s">
        <v>613</v>
      </c>
      <c r="F6" s="575" t="s">
        <v>614</v>
      </c>
      <c r="G6" s="575" t="s">
        <v>500</v>
      </c>
      <c r="H6" s="576" t="s">
        <v>7</v>
      </c>
      <c r="I6" s="634">
        <v>45574</v>
      </c>
    </row>
    <row r="7" spans="1:10" s="74" customFormat="1" ht="18.75" thickBot="1" x14ac:dyDescent="0.55000000000000004">
      <c r="A7" s="577"/>
      <c r="B7" s="578"/>
      <c r="C7" s="578"/>
      <c r="D7" s="579">
        <v>1</v>
      </c>
      <c r="E7" s="579"/>
      <c r="F7" s="579"/>
      <c r="G7" s="579">
        <f>Summary!J20</f>
        <v>12000</v>
      </c>
      <c r="H7" s="635">
        <f>H25</f>
        <v>0.46190567168674695</v>
      </c>
      <c r="I7" s="581"/>
    </row>
    <row r="8" spans="1:10" s="74" customFormat="1" ht="18.75" thickBot="1" x14ac:dyDescent="0.55000000000000004">
      <c r="A8" s="60"/>
      <c r="B8" s="60"/>
      <c r="C8" s="60"/>
      <c r="D8" s="61"/>
      <c r="E8" s="61"/>
      <c r="F8" s="61"/>
      <c r="G8" s="61"/>
      <c r="H8" s="62"/>
      <c r="I8" s="60"/>
    </row>
    <row r="9" spans="1:10" s="74" customFormat="1" ht="18" x14ac:dyDescent="0.5">
      <c r="A9" s="79" t="s">
        <v>605</v>
      </c>
      <c r="B9" s="80" t="s">
        <v>10</v>
      </c>
      <c r="C9" s="80" t="s">
        <v>9</v>
      </c>
      <c r="D9" s="81" t="s">
        <v>8</v>
      </c>
      <c r="E9" s="81" t="s">
        <v>613</v>
      </c>
      <c r="F9" s="81" t="s">
        <v>614</v>
      </c>
      <c r="G9" s="81" t="s">
        <v>11</v>
      </c>
      <c r="H9" s="82" t="s">
        <v>24</v>
      </c>
      <c r="I9" s="83" t="s">
        <v>25</v>
      </c>
    </row>
    <row r="10" spans="1:10" s="74" customFormat="1" x14ac:dyDescent="0.6">
      <c r="A10" s="970" t="s">
        <v>469</v>
      </c>
      <c r="B10" s="963" t="s">
        <v>670</v>
      </c>
      <c r="C10" s="964" t="s">
        <v>471</v>
      </c>
      <c r="D10" s="965">
        <v>0.1</v>
      </c>
      <c r="E10" s="957">
        <v>0.34</v>
      </c>
      <c r="F10" s="966">
        <f t="shared" ref="F10:F19" si="0">D10+D10*E10</f>
        <v>0.13400000000000001</v>
      </c>
      <c r="G10" s="967">
        <v>22000</v>
      </c>
      <c r="H10" s="968">
        <f t="shared" ref="H10:H19" si="1">F10*G10</f>
        <v>2948</v>
      </c>
      <c r="I10" s="971">
        <f t="shared" ref="I10:I19" si="2">H10/I$3</f>
        <v>1.4038095238095238</v>
      </c>
      <c r="J10" s="51" t="s">
        <v>968</v>
      </c>
    </row>
    <row r="11" spans="1:10" s="74" customFormat="1" ht="18" x14ac:dyDescent="0.5">
      <c r="A11" s="21" t="s">
        <v>608</v>
      </c>
      <c r="B11" s="399" t="s">
        <v>625</v>
      </c>
      <c r="C11" s="400" t="s">
        <v>471</v>
      </c>
      <c r="D11" s="406">
        <v>0.03</v>
      </c>
      <c r="E11" s="86">
        <v>0.3</v>
      </c>
      <c r="F11" s="20">
        <f t="shared" si="0"/>
        <v>3.9E-2</v>
      </c>
      <c r="G11" s="34">
        <v>7000</v>
      </c>
      <c r="H11" s="55">
        <f t="shared" si="1"/>
        <v>273</v>
      </c>
      <c r="I11" s="87">
        <f t="shared" si="2"/>
        <v>0.13</v>
      </c>
    </row>
    <row r="12" spans="1:10" s="74" customFormat="1" ht="18" x14ac:dyDescent="0.5">
      <c r="A12" s="21" t="s">
        <v>512</v>
      </c>
      <c r="B12" s="399" t="s">
        <v>673</v>
      </c>
      <c r="C12" s="400" t="s">
        <v>471</v>
      </c>
      <c r="D12" s="406">
        <v>0.04</v>
      </c>
      <c r="E12" s="86">
        <v>0.2</v>
      </c>
      <c r="F12" s="20">
        <f t="shared" si="0"/>
        <v>4.8000000000000001E-2</v>
      </c>
      <c r="G12" s="34">
        <v>4500</v>
      </c>
      <c r="H12" s="55">
        <f t="shared" si="1"/>
        <v>216</v>
      </c>
      <c r="I12" s="87">
        <f t="shared" si="2"/>
        <v>0.10285714285714286</v>
      </c>
    </row>
    <row r="13" spans="1:10" s="74" customFormat="1" ht="18" x14ac:dyDescent="0.5">
      <c r="A13" s="84" t="s">
        <v>472</v>
      </c>
      <c r="B13" s="399" t="s">
        <v>662</v>
      </c>
      <c r="C13" s="400" t="s">
        <v>20</v>
      </c>
      <c r="D13" s="406">
        <v>0.3</v>
      </c>
      <c r="E13" s="86">
        <v>0.1</v>
      </c>
      <c r="F13" s="20">
        <f t="shared" si="0"/>
        <v>0.32999999999999996</v>
      </c>
      <c r="G13" s="34">
        <v>300</v>
      </c>
      <c r="H13" s="55">
        <f t="shared" si="1"/>
        <v>98.999999999999986</v>
      </c>
      <c r="I13" s="87">
        <f t="shared" si="2"/>
        <v>4.7142857142857139E-2</v>
      </c>
    </row>
    <row r="14" spans="1:10" s="74" customFormat="1" ht="18" x14ac:dyDescent="0.5">
      <c r="A14" s="84"/>
      <c r="B14" s="399" t="s">
        <v>652</v>
      </c>
      <c r="C14" s="400" t="s">
        <v>471</v>
      </c>
      <c r="D14" s="406">
        <v>0.03</v>
      </c>
      <c r="E14" s="86">
        <v>0.1</v>
      </c>
      <c r="F14" s="20">
        <f t="shared" si="0"/>
        <v>3.3000000000000002E-2</v>
      </c>
      <c r="G14" s="222">
        <v>7000</v>
      </c>
      <c r="H14" s="55">
        <f t="shared" si="1"/>
        <v>231</v>
      </c>
      <c r="I14" s="87">
        <f t="shared" si="2"/>
        <v>0.11</v>
      </c>
    </row>
    <row r="15" spans="1:10" s="74" customFormat="1" ht="18" x14ac:dyDescent="0.5">
      <c r="A15" s="84"/>
      <c r="B15" s="399" t="s">
        <v>709</v>
      </c>
      <c r="C15" s="400" t="s">
        <v>13</v>
      </c>
      <c r="D15" s="406">
        <v>1</v>
      </c>
      <c r="E15" s="86">
        <v>0</v>
      </c>
      <c r="F15" s="20">
        <f t="shared" si="0"/>
        <v>1</v>
      </c>
      <c r="G15" s="34">
        <v>200</v>
      </c>
      <c r="H15" s="55">
        <f t="shared" si="1"/>
        <v>200</v>
      </c>
      <c r="I15" s="87">
        <f t="shared" si="2"/>
        <v>9.5238095238095233E-2</v>
      </c>
    </row>
    <row r="16" spans="1:10" s="119" customFormat="1" ht="18" x14ac:dyDescent="0.5">
      <c r="A16" s="970"/>
      <c r="B16" s="963" t="s">
        <v>622</v>
      </c>
      <c r="C16" s="964" t="s">
        <v>471</v>
      </c>
      <c r="D16" s="965">
        <v>0.02</v>
      </c>
      <c r="E16" s="957">
        <v>0.05</v>
      </c>
      <c r="F16" s="966">
        <f t="shared" si="0"/>
        <v>2.1000000000000001E-2</v>
      </c>
      <c r="G16" s="967">
        <v>24000</v>
      </c>
      <c r="H16" s="968">
        <f t="shared" si="1"/>
        <v>504.00000000000006</v>
      </c>
      <c r="I16" s="971">
        <f t="shared" si="2"/>
        <v>0.24000000000000002</v>
      </c>
    </row>
    <row r="17" spans="1:10" s="74" customFormat="1" ht="18" x14ac:dyDescent="0.5">
      <c r="A17" s="409"/>
      <c r="B17" s="399" t="s">
        <v>719</v>
      </c>
      <c r="C17" s="400" t="s">
        <v>459</v>
      </c>
      <c r="D17" s="406">
        <v>0.01</v>
      </c>
      <c r="E17" s="411">
        <v>0</v>
      </c>
      <c r="F17" s="410">
        <f t="shared" si="0"/>
        <v>0.01</v>
      </c>
      <c r="G17" s="412">
        <f>42000/4.15</f>
        <v>10120.481927710842</v>
      </c>
      <c r="H17" s="55">
        <f t="shared" si="1"/>
        <v>101.20481927710841</v>
      </c>
      <c r="I17" s="87">
        <f t="shared" si="2"/>
        <v>4.8192771084337338E-2</v>
      </c>
    </row>
    <row r="18" spans="1:10" s="74" customFormat="1" ht="18" x14ac:dyDescent="0.5">
      <c r="A18" s="409"/>
      <c r="B18" s="399" t="s">
        <v>750</v>
      </c>
      <c r="C18" s="400" t="s">
        <v>463</v>
      </c>
      <c r="D18" s="406">
        <v>0.03</v>
      </c>
      <c r="E18" s="411">
        <v>0</v>
      </c>
      <c r="F18" s="410">
        <f t="shared" si="0"/>
        <v>0.03</v>
      </c>
      <c r="G18" s="412">
        <v>6000</v>
      </c>
      <c r="H18" s="55">
        <f t="shared" si="1"/>
        <v>180</v>
      </c>
      <c r="I18" s="87">
        <f t="shared" si="2"/>
        <v>8.5714285714285715E-2</v>
      </c>
    </row>
    <row r="19" spans="1:10" s="74" customFormat="1" ht="18" x14ac:dyDescent="0.5">
      <c r="A19" s="409"/>
      <c r="B19" s="399" t="s">
        <v>609</v>
      </c>
      <c r="C19" s="400" t="s">
        <v>463</v>
      </c>
      <c r="D19" s="406">
        <v>0.01</v>
      </c>
      <c r="E19" s="411">
        <v>0</v>
      </c>
      <c r="F19" s="410">
        <f t="shared" si="0"/>
        <v>0.01</v>
      </c>
      <c r="G19" s="412">
        <v>14000</v>
      </c>
      <c r="H19" s="55">
        <f t="shared" si="1"/>
        <v>140</v>
      </c>
      <c r="I19" s="87">
        <f t="shared" si="2"/>
        <v>6.6666666666666666E-2</v>
      </c>
    </row>
    <row r="20" spans="1:10" s="74" customFormat="1" ht="18.75" thickBot="1" x14ac:dyDescent="0.55000000000000004">
      <c r="A20" s="223"/>
      <c r="B20" s="151"/>
      <c r="C20" s="151"/>
      <c r="D20" s="57"/>
      <c r="E20" s="57"/>
      <c r="F20" s="57"/>
      <c r="G20" s="57"/>
      <c r="H20" s="59"/>
      <c r="I20" s="153"/>
    </row>
    <row r="21" spans="1:10" s="74" customFormat="1" ht="18" x14ac:dyDescent="0.5">
      <c r="A21" s="60"/>
      <c r="B21" s="224" t="s">
        <v>4</v>
      </c>
      <c r="C21" s="64"/>
      <c r="D21" s="225"/>
      <c r="E21" s="225"/>
      <c r="F21" s="225"/>
      <c r="G21" s="52"/>
      <c r="H21" s="226">
        <f>SUM(H10:H20)</f>
        <v>4892.2048192771081</v>
      </c>
      <c r="I21" s="197">
        <f>SUM(I10:I20)</f>
        <v>2.3296213425129095</v>
      </c>
    </row>
    <row r="22" spans="1:10" s="74" customFormat="1" ht="18" x14ac:dyDescent="0.5">
      <c r="A22" s="60"/>
      <c r="B22" s="101" t="s">
        <v>14</v>
      </c>
      <c r="C22" s="22"/>
      <c r="D22" s="227"/>
      <c r="E22" s="227"/>
      <c r="F22" s="227"/>
      <c r="G22" s="54"/>
      <c r="H22" s="73">
        <f>H21/1</f>
        <v>4892.2048192771081</v>
      </c>
      <c r="I22" s="121"/>
    </row>
    <row r="23" spans="1:10" s="74" customFormat="1" ht="18" x14ac:dyDescent="0.5">
      <c r="A23" s="60"/>
      <c r="B23" s="101" t="s">
        <v>453</v>
      </c>
      <c r="C23" s="22"/>
      <c r="D23" s="227"/>
      <c r="E23" s="227"/>
      <c r="F23" s="227"/>
      <c r="G23" s="54"/>
      <c r="H23" s="104">
        <f>G7</f>
        <v>12000</v>
      </c>
      <c r="I23" s="104"/>
    </row>
    <row r="24" spans="1:10" s="74" customFormat="1" ht="18" x14ac:dyDescent="0.5">
      <c r="A24" s="60"/>
      <c r="B24" s="101" t="s">
        <v>16</v>
      </c>
      <c r="C24" s="22"/>
      <c r="D24" s="227"/>
      <c r="E24" s="227"/>
      <c r="F24" s="227"/>
      <c r="G24" s="54"/>
      <c r="H24" s="104">
        <f>H23/113.3%</f>
        <v>10591.35039717564</v>
      </c>
      <c r="I24" s="104"/>
    </row>
    <row r="25" spans="1:10" s="74" customFormat="1" ht="18" x14ac:dyDescent="0.5">
      <c r="A25" s="60"/>
      <c r="B25" s="101"/>
      <c r="C25" s="22"/>
      <c r="D25" s="227"/>
      <c r="E25" s="227"/>
      <c r="F25" s="227"/>
      <c r="G25" s="54"/>
      <c r="H25" s="588">
        <f>H22/H24</f>
        <v>0.46190567168674695</v>
      </c>
      <c r="I25" s="502"/>
    </row>
    <row r="26" spans="1:10" s="74" customFormat="1" ht="18.75" thickBot="1" x14ac:dyDescent="0.55000000000000004">
      <c r="A26" s="60"/>
      <c r="B26" s="150"/>
      <c r="C26" s="151"/>
      <c r="D26" s="110"/>
      <c r="E26" s="110"/>
      <c r="F26" s="110"/>
      <c r="G26" s="57"/>
      <c r="H26" s="152"/>
      <c r="I26" s="153"/>
    </row>
    <row r="27" spans="1:10" s="74" customFormat="1" ht="18.75" thickBot="1" x14ac:dyDescent="0.55000000000000004">
      <c r="A27" s="60"/>
      <c r="B27" s="479"/>
      <c r="C27" s="480"/>
      <c r="D27" s="481"/>
      <c r="E27" s="481"/>
      <c r="F27" s="481"/>
      <c r="G27" s="482"/>
      <c r="H27" s="483"/>
      <c r="I27" s="484"/>
    </row>
    <row r="28" spans="1:10" s="119" customFormat="1" ht="18" x14ac:dyDescent="0.5">
      <c r="A28" s="568" t="s">
        <v>665</v>
      </c>
      <c r="B28" s="582" t="s">
        <v>756</v>
      </c>
      <c r="C28" s="569"/>
      <c r="D28" s="570"/>
      <c r="E28" s="570"/>
      <c r="F28" s="570"/>
      <c r="G28" s="570" t="s">
        <v>1</v>
      </c>
      <c r="H28" s="571" t="s">
        <v>868</v>
      </c>
      <c r="I28" s="572" t="s">
        <v>2</v>
      </c>
      <c r="J28" s="119">
        <v>2</v>
      </c>
    </row>
    <row r="29" spans="1:10" s="119" customFormat="1" ht="18" x14ac:dyDescent="0.5">
      <c r="A29" s="583">
        <v>2</v>
      </c>
      <c r="B29" s="574" t="s">
        <v>5</v>
      </c>
      <c r="C29" s="574" t="s">
        <v>4</v>
      </c>
      <c r="D29" s="575" t="s">
        <v>3</v>
      </c>
      <c r="E29" s="575" t="s">
        <v>613</v>
      </c>
      <c r="F29" s="575" t="s">
        <v>614</v>
      </c>
      <c r="G29" s="575" t="s">
        <v>500</v>
      </c>
      <c r="H29" s="576" t="s">
        <v>7</v>
      </c>
      <c r="I29" s="634">
        <f>I6</f>
        <v>45574</v>
      </c>
    </row>
    <row r="30" spans="1:10" s="119" customFormat="1" ht="18.75" thickBot="1" x14ac:dyDescent="0.55000000000000004">
      <c r="A30" s="577"/>
      <c r="B30" s="578"/>
      <c r="C30" s="578"/>
      <c r="D30" s="579">
        <v>1</v>
      </c>
      <c r="E30" s="579"/>
      <c r="F30" s="579"/>
      <c r="G30" s="579">
        <f>Summary!J21</f>
        <v>15000</v>
      </c>
      <c r="H30" s="635">
        <f>H49</f>
        <v>0.40015330401606425</v>
      </c>
      <c r="I30" s="581"/>
    </row>
    <row r="31" spans="1:10" s="119" customFormat="1" ht="18.75" thickBot="1" x14ac:dyDescent="0.55000000000000004">
      <c r="A31" s="124"/>
      <c r="B31" s="124"/>
      <c r="C31" s="124"/>
      <c r="D31" s="125"/>
      <c r="E31" s="125"/>
      <c r="F31" s="125"/>
      <c r="G31" s="125"/>
      <c r="H31" s="126"/>
      <c r="I31" s="124"/>
    </row>
    <row r="32" spans="1:10" s="119" customFormat="1" ht="18" x14ac:dyDescent="0.5">
      <c r="A32" s="194" t="s">
        <v>605</v>
      </c>
      <c r="B32" s="166" t="s">
        <v>10</v>
      </c>
      <c r="C32" s="166" t="s">
        <v>9</v>
      </c>
      <c r="D32" s="117" t="s">
        <v>8</v>
      </c>
      <c r="E32" s="117" t="s">
        <v>613</v>
      </c>
      <c r="F32" s="117" t="s">
        <v>614</v>
      </c>
      <c r="G32" s="117" t="s">
        <v>11</v>
      </c>
      <c r="H32" s="118" t="s">
        <v>24</v>
      </c>
      <c r="I32" s="195" t="s">
        <v>25</v>
      </c>
    </row>
    <row r="33" spans="1:10" s="119" customFormat="1" x14ac:dyDescent="0.6">
      <c r="A33" s="972" t="s">
        <v>545</v>
      </c>
      <c r="B33" s="963" t="s">
        <v>670</v>
      </c>
      <c r="C33" s="964" t="s">
        <v>471</v>
      </c>
      <c r="D33" s="965">
        <v>0.1</v>
      </c>
      <c r="E33" s="957">
        <v>0.34</v>
      </c>
      <c r="F33" s="956">
        <f t="shared" ref="F33:F44" si="3">D33+D33*E33</f>
        <v>0.13400000000000001</v>
      </c>
      <c r="G33" s="967">
        <v>22000</v>
      </c>
      <c r="H33" s="959">
        <f t="shared" ref="H33:H44" si="4">F33*G33</f>
        <v>2948</v>
      </c>
      <c r="I33" s="971">
        <f t="shared" ref="I33:I41" si="5">H33/I$3</f>
        <v>1.4038095238095238</v>
      </c>
      <c r="J33" s="51" t="s">
        <v>968</v>
      </c>
    </row>
    <row r="34" spans="1:10" s="119" customFormat="1" ht="18" x14ac:dyDescent="0.5">
      <c r="A34" s="144" t="s">
        <v>578</v>
      </c>
      <c r="B34" s="399" t="s">
        <v>754</v>
      </c>
      <c r="C34" s="400" t="s">
        <v>471</v>
      </c>
      <c r="D34" s="406">
        <v>0.05</v>
      </c>
      <c r="E34" s="139">
        <v>0.1</v>
      </c>
      <c r="F34" s="32">
        <f t="shared" si="3"/>
        <v>5.5000000000000007E-2</v>
      </c>
      <c r="G34" s="35">
        <v>7000</v>
      </c>
      <c r="H34" s="68">
        <f t="shared" si="4"/>
        <v>385.00000000000006</v>
      </c>
      <c r="I34" s="140">
        <f t="shared" si="5"/>
        <v>0.18333333333333335</v>
      </c>
    </row>
    <row r="35" spans="1:10" s="119" customFormat="1" ht="18" x14ac:dyDescent="0.5">
      <c r="A35" s="138" t="s">
        <v>501</v>
      </c>
      <c r="B35" s="399" t="s">
        <v>625</v>
      </c>
      <c r="C35" s="400" t="s">
        <v>471</v>
      </c>
      <c r="D35" s="406">
        <v>0.03</v>
      </c>
      <c r="E35" s="139">
        <v>0.2</v>
      </c>
      <c r="F35" s="32">
        <f t="shared" si="3"/>
        <v>3.5999999999999997E-2</v>
      </c>
      <c r="G35" s="143">
        <v>7000</v>
      </c>
      <c r="H35" s="68">
        <f t="shared" si="4"/>
        <v>251.99999999999997</v>
      </c>
      <c r="I35" s="140">
        <f t="shared" si="5"/>
        <v>0.11999999999999998</v>
      </c>
    </row>
    <row r="36" spans="1:10" s="119" customFormat="1" ht="18" x14ac:dyDescent="0.5">
      <c r="A36" s="26" t="s">
        <v>527</v>
      </c>
      <c r="B36" s="399" t="s">
        <v>673</v>
      </c>
      <c r="C36" s="400" t="s">
        <v>471</v>
      </c>
      <c r="D36" s="406">
        <v>0.04</v>
      </c>
      <c r="E36" s="139">
        <v>0.2</v>
      </c>
      <c r="F36" s="32">
        <f t="shared" si="3"/>
        <v>4.8000000000000001E-2</v>
      </c>
      <c r="G36" s="35">
        <v>4500</v>
      </c>
      <c r="H36" s="68">
        <f t="shared" si="4"/>
        <v>216</v>
      </c>
      <c r="I36" s="140">
        <f t="shared" si="5"/>
        <v>0.10285714285714286</v>
      </c>
    </row>
    <row r="37" spans="1:10" s="119" customFormat="1" ht="18" x14ac:dyDescent="0.5">
      <c r="A37" s="26" t="s">
        <v>559</v>
      </c>
      <c r="B37" s="399" t="s">
        <v>662</v>
      </c>
      <c r="C37" s="400" t="s">
        <v>20</v>
      </c>
      <c r="D37" s="406">
        <v>0.3</v>
      </c>
      <c r="E37" s="139">
        <v>0.15</v>
      </c>
      <c r="F37" s="32">
        <f t="shared" si="3"/>
        <v>0.34499999999999997</v>
      </c>
      <c r="G37" s="35">
        <v>300</v>
      </c>
      <c r="H37" s="68">
        <f t="shared" si="4"/>
        <v>103.49999999999999</v>
      </c>
      <c r="I37" s="140">
        <f t="shared" si="5"/>
        <v>4.928571428571428E-2</v>
      </c>
    </row>
    <row r="38" spans="1:10" s="119" customFormat="1" ht="18" x14ac:dyDescent="0.5">
      <c r="A38" s="26" t="s">
        <v>588</v>
      </c>
      <c r="B38" s="399" t="s">
        <v>652</v>
      </c>
      <c r="C38" s="400" t="s">
        <v>471</v>
      </c>
      <c r="D38" s="406">
        <v>0.03</v>
      </c>
      <c r="E38" s="139">
        <v>0.2</v>
      </c>
      <c r="F38" s="32">
        <f t="shared" si="3"/>
        <v>3.5999999999999997E-2</v>
      </c>
      <c r="G38" s="143">
        <v>7000</v>
      </c>
      <c r="H38" s="68">
        <f t="shared" si="4"/>
        <v>251.99999999999997</v>
      </c>
      <c r="I38" s="140">
        <f t="shared" si="5"/>
        <v>0.11999999999999998</v>
      </c>
    </row>
    <row r="39" spans="1:10" s="119" customFormat="1" ht="18" x14ac:dyDescent="0.5">
      <c r="A39" s="26"/>
      <c r="B39" s="399" t="s">
        <v>709</v>
      </c>
      <c r="C39" s="400" t="s">
        <v>13</v>
      </c>
      <c r="D39" s="406">
        <v>1</v>
      </c>
      <c r="E39" s="139">
        <v>0</v>
      </c>
      <c r="F39" s="25">
        <f t="shared" si="3"/>
        <v>1</v>
      </c>
      <c r="G39" s="35">
        <v>200</v>
      </c>
      <c r="H39" s="122">
        <f t="shared" si="4"/>
        <v>200</v>
      </c>
      <c r="I39" s="140">
        <f t="shared" si="5"/>
        <v>9.5238095238095233E-2</v>
      </c>
    </row>
    <row r="40" spans="1:10" s="119" customFormat="1" ht="18" x14ac:dyDescent="0.5">
      <c r="A40" s="973"/>
      <c r="B40" s="963" t="s">
        <v>622</v>
      </c>
      <c r="C40" s="964" t="s">
        <v>471</v>
      </c>
      <c r="D40" s="965">
        <v>0.02</v>
      </c>
      <c r="E40" s="957">
        <v>0</v>
      </c>
      <c r="F40" s="956">
        <f t="shared" si="3"/>
        <v>0.02</v>
      </c>
      <c r="G40" s="974">
        <v>24000</v>
      </c>
      <c r="H40" s="959">
        <f t="shared" si="4"/>
        <v>480</v>
      </c>
      <c r="I40" s="971">
        <f t="shared" si="5"/>
        <v>0.22857142857142856</v>
      </c>
    </row>
    <row r="41" spans="1:10" s="119" customFormat="1" ht="18" x14ac:dyDescent="0.5">
      <c r="A41" s="26"/>
      <c r="B41" s="399" t="s">
        <v>755</v>
      </c>
      <c r="C41" s="400" t="s">
        <v>459</v>
      </c>
      <c r="D41" s="406">
        <v>0.01</v>
      </c>
      <c r="E41" s="136">
        <v>0</v>
      </c>
      <c r="F41" s="32">
        <f t="shared" si="3"/>
        <v>0.01</v>
      </c>
      <c r="G41" s="143">
        <v>21500</v>
      </c>
      <c r="H41" s="202">
        <f t="shared" si="4"/>
        <v>215</v>
      </c>
      <c r="I41" s="140">
        <f t="shared" si="5"/>
        <v>0.10238095238095238</v>
      </c>
    </row>
    <row r="42" spans="1:10" s="119" customFormat="1" ht="18" x14ac:dyDescent="0.5">
      <c r="A42" s="26"/>
      <c r="B42" s="399" t="s">
        <v>719</v>
      </c>
      <c r="C42" s="400" t="s">
        <v>459</v>
      </c>
      <c r="D42" s="406">
        <v>0.01</v>
      </c>
      <c r="E42" s="136">
        <v>0</v>
      </c>
      <c r="F42" s="32">
        <f t="shared" si="3"/>
        <v>0.01</v>
      </c>
      <c r="G42" s="143">
        <f>42000/4.15</f>
        <v>10120.481927710842</v>
      </c>
      <c r="H42" s="202">
        <f t="shared" si="4"/>
        <v>101.20481927710841</v>
      </c>
      <c r="I42" s="140">
        <f t="shared" ref="I42:I44" si="6">H42/I$3</f>
        <v>4.8192771084337338E-2</v>
      </c>
    </row>
    <row r="43" spans="1:10" s="119" customFormat="1" ht="18" x14ac:dyDescent="0.5">
      <c r="A43" s="26"/>
      <c r="B43" s="399" t="s">
        <v>744</v>
      </c>
      <c r="C43" s="400" t="s">
        <v>20</v>
      </c>
      <c r="D43" s="406">
        <v>0.02</v>
      </c>
      <c r="E43" s="136">
        <v>0</v>
      </c>
      <c r="F43" s="32">
        <f t="shared" si="3"/>
        <v>0.02</v>
      </c>
      <c r="G43" s="143">
        <v>250</v>
      </c>
      <c r="H43" s="202">
        <f t="shared" si="4"/>
        <v>5</v>
      </c>
      <c r="I43" s="140">
        <f t="shared" si="6"/>
        <v>2.3809523809523812E-3</v>
      </c>
    </row>
    <row r="44" spans="1:10" s="119" customFormat="1" ht="18" x14ac:dyDescent="0.5">
      <c r="A44" s="26"/>
      <c r="B44" s="399" t="s">
        <v>609</v>
      </c>
      <c r="C44" s="400" t="s">
        <v>463</v>
      </c>
      <c r="D44" s="406">
        <v>1E-3</v>
      </c>
      <c r="E44" s="139">
        <v>0</v>
      </c>
      <c r="F44" s="25">
        <f t="shared" si="3"/>
        <v>1E-3</v>
      </c>
      <c r="G44" s="143">
        <v>140000</v>
      </c>
      <c r="H44" s="434">
        <f t="shared" si="4"/>
        <v>140</v>
      </c>
      <c r="I44" s="140">
        <f t="shared" si="6"/>
        <v>6.6666666666666666E-2</v>
      </c>
    </row>
    <row r="45" spans="1:10" s="119" customFormat="1" ht="18" x14ac:dyDescent="0.5">
      <c r="A45" s="124"/>
      <c r="B45" s="180" t="s">
        <v>4</v>
      </c>
      <c r="C45" s="186"/>
      <c r="D45" s="187"/>
      <c r="E45" s="187"/>
      <c r="F45" s="187"/>
      <c r="G45" s="187"/>
      <c r="H45" s="167">
        <f>SUM(H33:H44)</f>
        <v>5297.7048192771081</v>
      </c>
      <c r="I45" s="160">
        <f>SUM(I33:I41)</f>
        <v>2.4054761904761905</v>
      </c>
    </row>
    <row r="46" spans="1:10" s="119" customFormat="1" ht="18" x14ac:dyDescent="0.5">
      <c r="A46" s="124"/>
      <c r="B46" s="168" t="s">
        <v>14</v>
      </c>
      <c r="C46" s="43"/>
      <c r="D46" s="121"/>
      <c r="E46" s="121"/>
      <c r="F46" s="121"/>
      <c r="G46" s="121"/>
      <c r="H46" s="169">
        <f>H45/1</f>
        <v>5297.7048192771081</v>
      </c>
      <c r="I46" s="121"/>
    </row>
    <row r="47" spans="1:10" s="119" customFormat="1" ht="18" x14ac:dyDescent="0.5">
      <c r="A47" s="124"/>
      <c r="B47" s="168" t="s">
        <v>453</v>
      </c>
      <c r="C47" s="43"/>
      <c r="D47" s="121"/>
      <c r="E47" s="121"/>
      <c r="F47" s="121"/>
      <c r="G47" s="121"/>
      <c r="H47" s="104">
        <f>G30</f>
        <v>15000</v>
      </c>
      <c r="I47" s="104"/>
    </row>
    <row r="48" spans="1:10" s="119" customFormat="1" ht="18" x14ac:dyDescent="0.5">
      <c r="A48" s="124"/>
      <c r="B48" s="168" t="s">
        <v>455</v>
      </c>
      <c r="C48" s="43"/>
      <c r="D48" s="121"/>
      <c r="E48" s="121"/>
      <c r="F48" s="121"/>
      <c r="G48" s="121"/>
      <c r="H48" s="104">
        <f>H47/113.3%</f>
        <v>13239.187996469549</v>
      </c>
      <c r="I48" s="104"/>
    </row>
    <row r="49" spans="1:11" s="119" customFormat="1" ht="18" x14ac:dyDescent="0.5">
      <c r="A49" s="124"/>
      <c r="B49" s="168" t="s">
        <v>16</v>
      </c>
      <c r="C49" s="43"/>
      <c r="D49" s="121"/>
      <c r="E49" s="121"/>
      <c r="F49" s="121"/>
      <c r="G49" s="121"/>
      <c r="H49" s="588">
        <f>H46/H48</f>
        <v>0.40015330401606425</v>
      </c>
      <c r="I49" s="502"/>
    </row>
    <row r="50" spans="1:11" s="119" customFormat="1" ht="18" x14ac:dyDescent="0.5">
      <c r="A50" s="124"/>
      <c r="B50" s="168"/>
      <c r="C50" s="43"/>
      <c r="D50" s="121"/>
      <c r="E50" s="121"/>
      <c r="F50" s="121"/>
      <c r="G50" s="121"/>
      <c r="H50" s="169"/>
      <c r="I50" s="171"/>
    </row>
    <row r="51" spans="1:11" s="119" customFormat="1" ht="18.75" thickBot="1" x14ac:dyDescent="0.55000000000000004">
      <c r="A51" s="124"/>
      <c r="B51" s="172"/>
      <c r="C51" s="147"/>
      <c r="D51" s="58"/>
      <c r="E51" s="58"/>
      <c r="F51" s="58"/>
      <c r="G51" s="58"/>
      <c r="H51" s="173"/>
      <c r="I51" s="164"/>
    </row>
    <row r="52" spans="1:11" s="74" customFormat="1" ht="18" x14ac:dyDescent="0.5">
      <c r="D52" s="188"/>
      <c r="E52" s="188"/>
      <c r="F52" s="188"/>
      <c r="G52" s="189"/>
      <c r="H52" s="190"/>
    </row>
    <row r="53" spans="1:11" s="119" customFormat="1" ht="18.75" thickBot="1" x14ac:dyDescent="0.55000000000000004">
      <c r="A53" s="154"/>
      <c r="B53" s="154"/>
      <c r="C53" s="154"/>
      <c r="D53" s="155" t="s">
        <v>0</v>
      </c>
      <c r="E53" s="155"/>
      <c r="F53" s="155"/>
      <c r="G53" s="125"/>
      <c r="H53" s="126"/>
      <c r="I53" s="124"/>
    </row>
    <row r="54" spans="1:11" s="119" customFormat="1" ht="18" x14ac:dyDescent="0.5">
      <c r="A54" s="568" t="s">
        <v>722</v>
      </c>
      <c r="B54" s="582" t="s">
        <v>751</v>
      </c>
      <c r="C54" s="569"/>
      <c r="D54" s="570"/>
      <c r="E54" s="570"/>
      <c r="F54" s="570"/>
      <c r="G54" s="570" t="s">
        <v>1</v>
      </c>
      <c r="H54" s="571" t="s">
        <v>868</v>
      </c>
      <c r="I54" s="572" t="s">
        <v>2</v>
      </c>
      <c r="J54" s="119">
        <v>2</v>
      </c>
    </row>
    <row r="55" spans="1:11" s="119" customFormat="1" ht="18" x14ac:dyDescent="0.5">
      <c r="A55" s="583">
        <v>3</v>
      </c>
      <c r="B55" s="574" t="s">
        <v>5</v>
      </c>
      <c r="C55" s="574" t="s">
        <v>4</v>
      </c>
      <c r="D55" s="575" t="s">
        <v>3</v>
      </c>
      <c r="E55" s="575" t="s">
        <v>613</v>
      </c>
      <c r="F55" s="575" t="s">
        <v>614</v>
      </c>
      <c r="G55" s="575" t="s">
        <v>500</v>
      </c>
      <c r="H55" s="576" t="s">
        <v>7</v>
      </c>
      <c r="I55" s="634">
        <f>I29</f>
        <v>45574</v>
      </c>
    </row>
    <row r="56" spans="1:11" s="119" customFormat="1" ht="18.75" thickBot="1" x14ac:dyDescent="0.55000000000000004">
      <c r="A56" s="577"/>
      <c r="B56" s="578"/>
      <c r="C56" s="578"/>
      <c r="D56" s="579">
        <v>1</v>
      </c>
      <c r="E56" s="579"/>
      <c r="F56" s="579"/>
      <c r="G56" s="579">
        <f>Summary!J22</f>
        <v>15000</v>
      </c>
      <c r="H56" s="635">
        <f>H72</f>
        <v>0.4334257373493976</v>
      </c>
      <c r="I56" s="581"/>
    </row>
    <row r="57" spans="1:11" s="119" customFormat="1" ht="18.75" thickBot="1" x14ac:dyDescent="0.55000000000000004">
      <c r="A57" s="124"/>
      <c r="B57" s="124"/>
      <c r="C57" s="124"/>
      <c r="D57" s="125"/>
      <c r="E57" s="125"/>
      <c r="F57" s="125"/>
      <c r="G57" s="125"/>
      <c r="H57" s="126"/>
      <c r="I57" s="124"/>
    </row>
    <row r="58" spans="1:11" s="119" customFormat="1" ht="18" x14ac:dyDescent="0.5">
      <c r="A58" s="194" t="s">
        <v>605</v>
      </c>
      <c r="B58" s="228" t="s">
        <v>10</v>
      </c>
      <c r="C58" s="228" t="s">
        <v>9</v>
      </c>
      <c r="D58" s="229" t="s">
        <v>8</v>
      </c>
      <c r="E58" s="117" t="s">
        <v>613</v>
      </c>
      <c r="F58" s="117" t="s">
        <v>614</v>
      </c>
      <c r="G58" s="229" t="s">
        <v>11</v>
      </c>
      <c r="H58" s="230" t="s">
        <v>24</v>
      </c>
      <c r="I58" s="231" t="s">
        <v>25</v>
      </c>
    </row>
    <row r="59" spans="1:11" s="119" customFormat="1" x14ac:dyDescent="0.6">
      <c r="A59" s="975" t="s">
        <v>654</v>
      </c>
      <c r="B59" s="963" t="s">
        <v>752</v>
      </c>
      <c r="C59" s="964" t="s">
        <v>471</v>
      </c>
      <c r="D59" s="965">
        <v>0.1</v>
      </c>
      <c r="E59" s="957">
        <v>0.54</v>
      </c>
      <c r="F59" s="966">
        <f t="shared" ref="F59:F67" si="7">D59+D59*E59</f>
        <v>0.15400000000000003</v>
      </c>
      <c r="G59" s="967">
        <v>26000</v>
      </c>
      <c r="H59" s="968">
        <f t="shared" ref="H59:H67" si="8">F59*G59</f>
        <v>4004.0000000000005</v>
      </c>
      <c r="I59" s="971">
        <f t="shared" ref="I59:I67" si="9">H59/I$3</f>
        <v>1.906666666666667</v>
      </c>
      <c r="J59" s="119">
        <f>+F59*1.6</f>
        <v>0.24640000000000006</v>
      </c>
      <c r="K59" s="51" t="s">
        <v>968</v>
      </c>
    </row>
    <row r="60" spans="1:11" s="119" customFormat="1" ht="18" x14ac:dyDescent="0.5">
      <c r="A60" s="141" t="s">
        <v>484</v>
      </c>
      <c r="B60" s="399" t="s">
        <v>753</v>
      </c>
      <c r="C60" s="400" t="s">
        <v>471</v>
      </c>
      <c r="D60" s="406">
        <v>0.03</v>
      </c>
      <c r="E60" s="139">
        <v>0.3</v>
      </c>
      <c r="F60" s="32">
        <f t="shared" si="7"/>
        <v>3.9E-2</v>
      </c>
      <c r="G60" s="143">
        <v>4500</v>
      </c>
      <c r="H60" s="68">
        <f t="shared" si="8"/>
        <v>175.5</v>
      </c>
      <c r="I60" s="140">
        <f t="shared" si="9"/>
        <v>8.3571428571428574E-2</v>
      </c>
    </row>
    <row r="61" spans="1:11" s="119" customFormat="1" ht="18" x14ac:dyDescent="0.5">
      <c r="A61" s="141" t="s">
        <v>501</v>
      </c>
      <c r="B61" s="399" t="s">
        <v>673</v>
      </c>
      <c r="C61" s="400" t="s">
        <v>471</v>
      </c>
      <c r="D61" s="406">
        <v>0.04</v>
      </c>
      <c r="E61" s="139">
        <v>0.2</v>
      </c>
      <c r="F61" s="32">
        <f t="shared" si="7"/>
        <v>4.8000000000000001E-2</v>
      </c>
      <c r="G61" s="143">
        <v>4500</v>
      </c>
      <c r="H61" s="68">
        <f t="shared" si="8"/>
        <v>216</v>
      </c>
      <c r="I61" s="140">
        <f t="shared" si="9"/>
        <v>0.10285714285714286</v>
      </c>
    </row>
    <row r="62" spans="1:11" s="119" customFormat="1" ht="18" x14ac:dyDescent="0.5">
      <c r="A62" s="141" t="s">
        <v>520</v>
      </c>
      <c r="B62" s="399" t="s">
        <v>662</v>
      </c>
      <c r="C62" s="400" t="s">
        <v>20</v>
      </c>
      <c r="D62" s="406">
        <v>0.3</v>
      </c>
      <c r="E62" s="139">
        <v>0.05</v>
      </c>
      <c r="F62" s="32">
        <f t="shared" si="7"/>
        <v>0.315</v>
      </c>
      <c r="G62" s="35">
        <v>300</v>
      </c>
      <c r="H62" s="68">
        <f t="shared" si="8"/>
        <v>94.5</v>
      </c>
      <c r="I62" s="140">
        <f t="shared" si="9"/>
        <v>4.4999999999999998E-2</v>
      </c>
    </row>
    <row r="63" spans="1:11" s="119" customFormat="1" ht="18" x14ac:dyDescent="0.5">
      <c r="A63" s="144" t="s">
        <v>525</v>
      </c>
      <c r="B63" s="399" t="s">
        <v>709</v>
      </c>
      <c r="C63" s="400" t="s">
        <v>13</v>
      </c>
      <c r="D63" s="406">
        <v>1</v>
      </c>
      <c r="E63" s="139">
        <v>0.05</v>
      </c>
      <c r="F63" s="32">
        <f t="shared" si="7"/>
        <v>1.05</v>
      </c>
      <c r="G63" s="35">
        <v>200</v>
      </c>
      <c r="H63" s="68">
        <f t="shared" si="8"/>
        <v>210</v>
      </c>
      <c r="I63" s="140">
        <f t="shared" si="9"/>
        <v>0.1</v>
      </c>
    </row>
    <row r="64" spans="1:11" s="119" customFormat="1" ht="18" x14ac:dyDescent="0.5">
      <c r="A64" s="973" t="s">
        <v>526</v>
      </c>
      <c r="B64" s="963" t="s">
        <v>622</v>
      </c>
      <c r="C64" s="964" t="s">
        <v>20</v>
      </c>
      <c r="D64" s="965">
        <v>0.03</v>
      </c>
      <c r="E64" s="957">
        <v>0</v>
      </c>
      <c r="F64" s="966">
        <f t="shared" si="7"/>
        <v>0.03</v>
      </c>
      <c r="G64" s="967">
        <v>24000</v>
      </c>
      <c r="H64" s="968">
        <f t="shared" si="8"/>
        <v>720</v>
      </c>
      <c r="I64" s="971">
        <f t="shared" si="9"/>
        <v>0.34285714285714286</v>
      </c>
    </row>
    <row r="65" spans="1:10" s="119" customFormat="1" ht="18" x14ac:dyDescent="0.5">
      <c r="A65" s="141" t="s">
        <v>522</v>
      </c>
      <c r="B65" s="399" t="s">
        <v>719</v>
      </c>
      <c r="C65" s="400" t="s">
        <v>459</v>
      </c>
      <c r="D65" s="406">
        <v>0.01</v>
      </c>
      <c r="E65" s="139">
        <v>0</v>
      </c>
      <c r="F65" s="32">
        <f t="shared" si="7"/>
        <v>0.01</v>
      </c>
      <c r="G65" s="143">
        <f>42000/4.15</f>
        <v>10120.481927710842</v>
      </c>
      <c r="H65" s="68">
        <f t="shared" si="8"/>
        <v>101.20481927710841</v>
      </c>
      <c r="I65" s="140">
        <f t="shared" si="9"/>
        <v>4.8192771084337338E-2</v>
      </c>
    </row>
    <row r="66" spans="1:10" s="119" customFormat="1" ht="18" x14ac:dyDescent="0.5">
      <c r="A66" s="141" t="s">
        <v>523</v>
      </c>
      <c r="B66" s="399" t="s">
        <v>609</v>
      </c>
      <c r="C66" s="400" t="s">
        <v>463</v>
      </c>
      <c r="D66" s="406">
        <v>0.01</v>
      </c>
      <c r="E66" s="139">
        <v>0.05</v>
      </c>
      <c r="F66" s="32">
        <f t="shared" si="7"/>
        <v>1.0500000000000001E-2</v>
      </c>
      <c r="G66" s="143">
        <v>14000</v>
      </c>
      <c r="H66" s="68">
        <f t="shared" si="8"/>
        <v>147</v>
      </c>
      <c r="I66" s="140">
        <f t="shared" si="9"/>
        <v>7.0000000000000007E-2</v>
      </c>
    </row>
    <row r="67" spans="1:10" s="119" customFormat="1" ht="18.75" thickBot="1" x14ac:dyDescent="0.55000000000000004">
      <c r="A67" s="26" t="s">
        <v>524</v>
      </c>
      <c r="B67" s="26" t="s">
        <v>652</v>
      </c>
      <c r="C67" s="24" t="s">
        <v>471</v>
      </c>
      <c r="D67" s="25">
        <v>0.01</v>
      </c>
      <c r="E67" s="139">
        <v>0</v>
      </c>
      <c r="F67" s="32">
        <f t="shared" si="7"/>
        <v>0.01</v>
      </c>
      <c r="G67" s="143">
        <v>7000</v>
      </c>
      <c r="H67" s="68">
        <f t="shared" si="8"/>
        <v>70</v>
      </c>
      <c r="I67" s="140">
        <f t="shared" si="9"/>
        <v>3.3333333333333333E-2</v>
      </c>
    </row>
    <row r="68" spans="1:10" s="119" customFormat="1" ht="18" x14ac:dyDescent="0.5">
      <c r="A68" s="124"/>
      <c r="B68" s="165" t="s">
        <v>4</v>
      </c>
      <c r="C68" s="166"/>
      <c r="D68" s="232"/>
      <c r="E68" s="232"/>
      <c r="F68" s="232"/>
      <c r="G68" s="117"/>
      <c r="H68" s="192">
        <f>SUM(H59:H67)</f>
        <v>5738.2048192771081</v>
      </c>
      <c r="I68" s="197">
        <f>SUM(I59:I67)</f>
        <v>2.7324784853700521</v>
      </c>
    </row>
    <row r="69" spans="1:10" s="119" customFormat="1" ht="18" x14ac:dyDescent="0.5">
      <c r="A69" s="124"/>
      <c r="B69" s="168" t="s">
        <v>14</v>
      </c>
      <c r="C69" s="43"/>
      <c r="D69" s="233"/>
      <c r="E69" s="233"/>
      <c r="F69" s="233"/>
      <c r="G69" s="121"/>
      <c r="H69" s="169">
        <f>H68/1</f>
        <v>5738.2048192771081</v>
      </c>
      <c r="I69" s="121"/>
    </row>
    <row r="70" spans="1:10" s="119" customFormat="1" ht="18" x14ac:dyDescent="0.5">
      <c r="A70" s="124"/>
      <c r="B70" s="168" t="s">
        <v>453</v>
      </c>
      <c r="C70" s="43"/>
      <c r="D70" s="233"/>
      <c r="E70" s="233"/>
      <c r="F70" s="233"/>
      <c r="G70" s="121"/>
      <c r="H70" s="104">
        <f>G56</f>
        <v>15000</v>
      </c>
      <c r="I70" s="104"/>
    </row>
    <row r="71" spans="1:10" s="119" customFormat="1" ht="18" x14ac:dyDescent="0.5">
      <c r="A71" s="124"/>
      <c r="B71" s="168" t="s">
        <v>455</v>
      </c>
      <c r="C71" s="43"/>
      <c r="D71" s="233"/>
      <c r="E71" s="233"/>
      <c r="F71" s="233"/>
      <c r="G71" s="121"/>
      <c r="H71" s="104">
        <f>H70/113.3%</f>
        <v>13239.187996469549</v>
      </c>
      <c r="I71" s="104"/>
    </row>
    <row r="72" spans="1:10" s="119" customFormat="1" ht="18" x14ac:dyDescent="0.5">
      <c r="A72" s="124"/>
      <c r="B72" s="168" t="s">
        <v>16</v>
      </c>
      <c r="C72" s="43"/>
      <c r="D72" s="233"/>
      <c r="E72" s="233"/>
      <c r="F72" s="233"/>
      <c r="G72" s="121"/>
      <c r="H72" s="588">
        <f>H69/H71</f>
        <v>0.4334257373493976</v>
      </c>
      <c r="I72" s="502"/>
    </row>
    <row r="73" spans="1:10" s="119" customFormat="1" ht="18" x14ac:dyDescent="0.5">
      <c r="A73" s="124"/>
      <c r="B73" s="168"/>
      <c r="C73" s="43"/>
      <c r="D73" s="233"/>
      <c r="E73" s="233"/>
      <c r="F73" s="233"/>
      <c r="G73" s="121"/>
      <c r="H73" s="169"/>
      <c r="I73" s="171"/>
    </row>
    <row r="74" spans="1:10" s="119" customFormat="1" ht="18.75" thickBot="1" x14ac:dyDescent="0.55000000000000004">
      <c r="A74" s="124"/>
      <c r="B74" s="172"/>
      <c r="C74" s="147"/>
      <c r="D74" s="234"/>
      <c r="E74" s="234"/>
      <c r="F74" s="234"/>
      <c r="G74" s="58"/>
      <c r="H74" s="173"/>
      <c r="I74" s="164"/>
    </row>
    <row r="75" spans="1:10" s="74" customFormat="1" ht="18" x14ac:dyDescent="0.5">
      <c r="D75" s="188"/>
      <c r="E75" s="188"/>
      <c r="F75" s="188"/>
      <c r="G75" s="189"/>
      <c r="H75" s="190"/>
    </row>
    <row r="76" spans="1:10" s="119" customFormat="1" ht="18" x14ac:dyDescent="0.5">
      <c r="A76" s="154"/>
      <c r="B76" s="154"/>
      <c r="C76" s="154"/>
      <c r="D76" s="155" t="s">
        <v>0</v>
      </c>
      <c r="E76" s="155"/>
      <c r="F76" s="155"/>
      <c r="G76" s="125"/>
      <c r="H76" s="126"/>
      <c r="I76" s="124"/>
    </row>
    <row r="77" spans="1:10" s="74" customFormat="1" ht="18" x14ac:dyDescent="0.5">
      <c r="D77" s="188"/>
      <c r="E77" s="188"/>
      <c r="F77" s="188"/>
      <c r="G77" s="189"/>
      <c r="H77" s="190"/>
    </row>
    <row r="78" spans="1:10" s="119" customFormat="1" ht="18.75" thickBot="1" x14ac:dyDescent="0.55000000000000004">
      <c r="A78" s="154"/>
      <c r="B78" s="154"/>
      <c r="C78" s="154"/>
      <c r="D78" s="155" t="s">
        <v>0</v>
      </c>
      <c r="E78" s="155"/>
      <c r="F78" s="155"/>
      <c r="G78" s="125"/>
      <c r="H78" s="126"/>
      <c r="I78" s="124"/>
    </row>
    <row r="79" spans="1:10" s="119" customFormat="1" ht="18" x14ac:dyDescent="0.5">
      <c r="A79" s="558" t="s">
        <v>665</v>
      </c>
      <c r="B79" s="547" t="s">
        <v>893</v>
      </c>
      <c r="C79" s="547"/>
      <c r="D79" s="548"/>
      <c r="E79" s="548"/>
      <c r="F79" s="548"/>
      <c r="G79" s="548" t="s">
        <v>1</v>
      </c>
      <c r="H79" s="541" t="s">
        <v>868</v>
      </c>
      <c r="I79" s="549" t="s">
        <v>2</v>
      </c>
      <c r="J79" s="119">
        <v>3</v>
      </c>
    </row>
    <row r="80" spans="1:10" s="119" customFormat="1" ht="18" x14ac:dyDescent="0.5">
      <c r="A80" s="565">
        <v>4</v>
      </c>
      <c r="B80" s="539" t="s">
        <v>5</v>
      </c>
      <c r="C80" s="539" t="s">
        <v>4</v>
      </c>
      <c r="D80" s="540" t="s">
        <v>3</v>
      </c>
      <c r="E80" s="540" t="s">
        <v>613</v>
      </c>
      <c r="F80" s="540" t="s">
        <v>614</v>
      </c>
      <c r="G80" s="540" t="s">
        <v>500</v>
      </c>
      <c r="H80" s="543" t="s">
        <v>7</v>
      </c>
      <c r="I80" s="636">
        <f>I55</f>
        <v>45574</v>
      </c>
    </row>
    <row r="81" spans="1:9" s="119" customFormat="1" ht="18.75" thickBot="1" x14ac:dyDescent="0.55000000000000004">
      <c r="A81" s="551"/>
      <c r="B81" s="552"/>
      <c r="C81" s="552"/>
      <c r="D81" s="553">
        <v>1</v>
      </c>
      <c r="E81" s="553"/>
      <c r="F81" s="553"/>
      <c r="G81" s="553">
        <f>Summary!J23</f>
        <v>13000</v>
      </c>
      <c r="H81" s="633">
        <f>H100</f>
        <v>0.36444920756172838</v>
      </c>
      <c r="I81" s="555"/>
    </row>
    <row r="82" spans="1:9" s="119" customFormat="1" ht="18.75" thickBot="1" x14ac:dyDescent="0.55000000000000004">
      <c r="A82" s="124"/>
      <c r="B82" s="124"/>
      <c r="C82" s="124"/>
      <c r="D82" s="125"/>
      <c r="E82" s="125"/>
      <c r="F82" s="125"/>
      <c r="G82" s="125"/>
      <c r="H82" s="126"/>
      <c r="I82" s="124"/>
    </row>
    <row r="83" spans="1:9" s="119" customFormat="1" ht="18" x14ac:dyDescent="0.5">
      <c r="A83" s="194" t="s">
        <v>605</v>
      </c>
      <c r="B83" s="166" t="s">
        <v>10</v>
      </c>
      <c r="C83" s="166" t="s">
        <v>9</v>
      </c>
      <c r="D83" s="117" t="s">
        <v>8</v>
      </c>
      <c r="E83" s="117" t="s">
        <v>613</v>
      </c>
      <c r="F83" s="117" t="s">
        <v>614</v>
      </c>
      <c r="G83" s="117" t="s">
        <v>11</v>
      </c>
      <c r="H83" s="118" t="s">
        <v>24</v>
      </c>
      <c r="I83" s="195" t="s">
        <v>25</v>
      </c>
    </row>
    <row r="84" spans="1:9" s="119" customFormat="1" ht="18" x14ac:dyDescent="0.5">
      <c r="A84" s="144" t="s">
        <v>514</v>
      </c>
      <c r="B84" s="26" t="s">
        <v>487</v>
      </c>
      <c r="C84" s="24" t="s">
        <v>23</v>
      </c>
      <c r="D84" s="25">
        <v>0.04</v>
      </c>
      <c r="E84" s="139">
        <v>0.13</v>
      </c>
      <c r="F84" s="32">
        <f t="shared" ref="F84:F94" si="10">D84+D84*E84</f>
        <v>4.5200000000000004E-2</v>
      </c>
      <c r="G84" s="39">
        <f>48000/1.62</f>
        <v>29629.629629629628</v>
      </c>
      <c r="H84" s="68">
        <f t="shared" ref="H84:H94" si="11">F84*G84</f>
        <v>1339.2592592592594</v>
      </c>
      <c r="I84" s="161">
        <f>H84/'Appetizer &amp; Salad'!I$2</f>
        <v>0.63774250440917113</v>
      </c>
    </row>
    <row r="85" spans="1:9" s="119" customFormat="1" ht="18" x14ac:dyDescent="0.5">
      <c r="A85" s="141" t="s">
        <v>484</v>
      </c>
      <c r="B85" s="23" t="s">
        <v>625</v>
      </c>
      <c r="C85" s="24" t="s">
        <v>471</v>
      </c>
      <c r="D85" s="25">
        <f>0.02/1</f>
        <v>0.02</v>
      </c>
      <c r="E85" s="139">
        <v>0.3</v>
      </c>
      <c r="F85" s="32">
        <f t="shared" si="10"/>
        <v>2.6000000000000002E-2</v>
      </c>
      <c r="G85" s="143">
        <v>7000</v>
      </c>
      <c r="H85" s="68">
        <f t="shared" si="11"/>
        <v>182.00000000000003</v>
      </c>
      <c r="I85" s="140">
        <f t="shared" ref="I85:I94" si="12">H85/I$3</f>
        <v>8.6666666666666684E-2</v>
      </c>
    </row>
    <row r="86" spans="1:9" s="119" customFormat="1" ht="18" x14ac:dyDescent="0.5">
      <c r="A86" s="141" t="s">
        <v>501</v>
      </c>
      <c r="B86" s="23" t="s">
        <v>502</v>
      </c>
      <c r="C86" s="24" t="s">
        <v>471</v>
      </c>
      <c r="D86" s="25">
        <v>0.02</v>
      </c>
      <c r="E86" s="139">
        <v>0.2</v>
      </c>
      <c r="F86" s="32">
        <f t="shared" si="10"/>
        <v>2.4E-2</v>
      </c>
      <c r="G86" s="143">
        <v>4500</v>
      </c>
      <c r="H86" s="68">
        <f t="shared" si="11"/>
        <v>108</v>
      </c>
      <c r="I86" s="140">
        <f t="shared" si="12"/>
        <v>5.1428571428571428E-2</v>
      </c>
    </row>
    <row r="87" spans="1:9" s="119" customFormat="1" ht="18" x14ac:dyDescent="0.5">
      <c r="A87" s="141" t="s">
        <v>520</v>
      </c>
      <c r="B87" s="23" t="s">
        <v>521</v>
      </c>
      <c r="C87" s="24" t="s">
        <v>471</v>
      </c>
      <c r="D87" s="25">
        <v>5.0000000000000001E-3</v>
      </c>
      <c r="E87" s="139">
        <v>0.05</v>
      </c>
      <c r="F87" s="32">
        <f t="shared" si="10"/>
        <v>5.2500000000000003E-3</v>
      </c>
      <c r="G87" s="35">
        <v>17000</v>
      </c>
      <c r="H87" s="68">
        <f t="shared" si="11"/>
        <v>89.25</v>
      </c>
      <c r="I87" s="140">
        <f t="shared" si="12"/>
        <v>4.2500000000000003E-2</v>
      </c>
    </row>
    <row r="88" spans="1:9" s="119" customFormat="1" ht="18" x14ac:dyDescent="0.5">
      <c r="A88" s="144" t="s">
        <v>525</v>
      </c>
      <c r="B88" s="26" t="s">
        <v>662</v>
      </c>
      <c r="C88" s="24" t="s">
        <v>20</v>
      </c>
      <c r="D88" s="25">
        <v>0.1</v>
      </c>
      <c r="E88" s="139">
        <v>0.05</v>
      </c>
      <c r="F88" s="32">
        <f t="shared" si="10"/>
        <v>0.10500000000000001</v>
      </c>
      <c r="G88" s="143">
        <v>300</v>
      </c>
      <c r="H88" s="68">
        <f t="shared" si="11"/>
        <v>31.500000000000004</v>
      </c>
      <c r="I88" s="140">
        <f t="shared" si="12"/>
        <v>1.5000000000000001E-2</v>
      </c>
    </row>
    <row r="89" spans="1:9" s="119" customFormat="1" ht="18" x14ac:dyDescent="0.5">
      <c r="A89" s="26" t="s">
        <v>544</v>
      </c>
      <c r="B89" s="26" t="s">
        <v>505</v>
      </c>
      <c r="C89" s="24" t="s">
        <v>18</v>
      </c>
      <c r="D89" s="25">
        <v>0.5</v>
      </c>
      <c r="E89" s="139">
        <v>0</v>
      </c>
      <c r="F89" s="25">
        <f t="shared" si="10"/>
        <v>0.5</v>
      </c>
      <c r="G89" s="143">
        <v>1200</v>
      </c>
      <c r="H89" s="122">
        <f t="shared" si="11"/>
        <v>600</v>
      </c>
      <c r="I89" s="140">
        <f t="shared" si="12"/>
        <v>0.2857142857142857</v>
      </c>
    </row>
    <row r="90" spans="1:9" s="119" customFormat="1" ht="18" x14ac:dyDescent="0.5">
      <c r="A90" s="26"/>
      <c r="B90" s="26" t="s">
        <v>609</v>
      </c>
      <c r="C90" s="24" t="s">
        <v>463</v>
      </c>
      <c r="D90" s="25">
        <v>0.01</v>
      </c>
      <c r="E90" s="139">
        <v>0</v>
      </c>
      <c r="F90" s="32">
        <f t="shared" si="10"/>
        <v>0.01</v>
      </c>
      <c r="G90" s="162">
        <v>14000</v>
      </c>
      <c r="H90" s="68">
        <f t="shared" si="11"/>
        <v>140</v>
      </c>
      <c r="I90" s="140">
        <f t="shared" si="12"/>
        <v>6.6666666666666666E-2</v>
      </c>
    </row>
    <row r="91" spans="1:9" s="119" customFormat="1" ht="18" x14ac:dyDescent="0.5">
      <c r="A91" s="26"/>
      <c r="B91" s="26" t="s">
        <v>652</v>
      </c>
      <c r="C91" s="24" t="s">
        <v>471</v>
      </c>
      <c r="D91" s="25">
        <v>5.0000000000000001E-3</v>
      </c>
      <c r="E91" s="139">
        <v>0</v>
      </c>
      <c r="F91" s="25">
        <f t="shared" ref="F91" si="13">D91+D91*E91</f>
        <v>5.0000000000000001E-3</v>
      </c>
      <c r="G91" s="143">
        <v>7000</v>
      </c>
      <c r="H91" s="122">
        <f t="shared" ref="H91" si="14">F91*G91</f>
        <v>35</v>
      </c>
      <c r="I91" s="140">
        <f t="shared" ref="I91" si="15">H91/I$3</f>
        <v>1.6666666666666666E-2</v>
      </c>
    </row>
    <row r="92" spans="1:9" s="119" customFormat="1" ht="18" x14ac:dyDescent="0.5">
      <c r="A92" s="26"/>
      <c r="B92" s="26" t="s">
        <v>621</v>
      </c>
      <c r="C92" s="24" t="s">
        <v>19</v>
      </c>
      <c r="D92" s="25">
        <v>0.5</v>
      </c>
      <c r="E92" s="139">
        <v>0</v>
      </c>
      <c r="F92" s="25">
        <f t="shared" si="10"/>
        <v>0.5</v>
      </c>
      <c r="G92" s="143">
        <v>200</v>
      </c>
      <c r="H92" s="122">
        <f t="shared" si="11"/>
        <v>100</v>
      </c>
      <c r="I92" s="140">
        <f t="shared" si="12"/>
        <v>4.7619047619047616E-2</v>
      </c>
    </row>
    <row r="93" spans="1:9" s="119" customFormat="1" ht="18" x14ac:dyDescent="0.5">
      <c r="A93" s="26"/>
      <c r="B93" s="26" t="s">
        <v>622</v>
      </c>
      <c r="C93" s="24" t="s">
        <v>20</v>
      </c>
      <c r="D93" s="25">
        <v>0.05</v>
      </c>
      <c r="E93" s="139">
        <v>0</v>
      </c>
      <c r="F93" s="32">
        <f t="shared" si="10"/>
        <v>0.05</v>
      </c>
      <c r="G93" s="143">
        <v>24000</v>
      </c>
      <c r="H93" s="68">
        <f t="shared" si="11"/>
        <v>1200</v>
      </c>
      <c r="I93" s="140">
        <f t="shared" si="12"/>
        <v>0.5714285714285714</v>
      </c>
    </row>
    <row r="94" spans="1:9" s="119" customFormat="1" ht="18" x14ac:dyDescent="0.5">
      <c r="A94" s="26"/>
      <c r="B94" s="26" t="s">
        <v>623</v>
      </c>
      <c r="C94" s="24" t="s">
        <v>600</v>
      </c>
      <c r="D94" s="25">
        <v>0.01</v>
      </c>
      <c r="E94" s="139">
        <v>0</v>
      </c>
      <c r="F94" s="32">
        <f t="shared" si="10"/>
        <v>0.01</v>
      </c>
      <c r="G94" s="143">
        <v>3500</v>
      </c>
      <c r="H94" s="68">
        <f t="shared" si="11"/>
        <v>35</v>
      </c>
      <c r="I94" s="140">
        <f t="shared" si="12"/>
        <v>1.6666666666666666E-2</v>
      </c>
    </row>
    <row r="95" spans="1:9" s="119" customFormat="1" ht="18.75" thickBot="1" x14ac:dyDescent="0.55000000000000004">
      <c r="A95" s="146"/>
      <c r="B95" s="147"/>
      <c r="C95" s="147"/>
      <c r="D95" s="58"/>
      <c r="E95" s="58"/>
      <c r="F95" s="58"/>
      <c r="G95" s="58"/>
      <c r="H95" s="123"/>
      <c r="I95" s="164"/>
    </row>
    <row r="96" spans="1:9" s="119" customFormat="1" ht="18" x14ac:dyDescent="0.5">
      <c r="A96" s="124"/>
      <c r="B96" s="165" t="s">
        <v>4</v>
      </c>
      <c r="C96" s="166"/>
      <c r="D96" s="117"/>
      <c r="E96" s="117"/>
      <c r="F96" s="117"/>
      <c r="G96" s="117"/>
      <c r="H96" s="192">
        <f>SUM(H84:H95)</f>
        <v>3860.0092592592591</v>
      </c>
      <c r="I96" s="197">
        <f>SUM(I84:I95)</f>
        <v>1.8380996472663138</v>
      </c>
    </row>
    <row r="97" spans="1:10" s="119" customFormat="1" ht="18" x14ac:dyDescent="0.5">
      <c r="A97" s="124"/>
      <c r="B97" s="168" t="s">
        <v>14</v>
      </c>
      <c r="C97" s="43"/>
      <c r="D97" s="121"/>
      <c r="E97" s="121"/>
      <c r="F97" s="121"/>
      <c r="G97" s="121"/>
      <c r="H97" s="169">
        <f>H96/1</f>
        <v>3860.0092592592591</v>
      </c>
      <c r="I97" s="121"/>
    </row>
    <row r="98" spans="1:10" s="119" customFormat="1" ht="18" x14ac:dyDescent="0.5">
      <c r="A98" s="124"/>
      <c r="B98" s="168" t="s">
        <v>453</v>
      </c>
      <c r="C98" s="43"/>
      <c r="D98" s="121"/>
      <c r="E98" s="121"/>
      <c r="F98" s="121"/>
      <c r="G98" s="121"/>
      <c r="H98" s="104">
        <v>12000</v>
      </c>
      <c r="I98" s="104"/>
    </row>
    <row r="99" spans="1:10" s="119" customFormat="1" ht="18" x14ac:dyDescent="0.5">
      <c r="A99" s="124"/>
      <c r="B99" s="168" t="s">
        <v>455</v>
      </c>
      <c r="C99" s="43"/>
      <c r="D99" s="121"/>
      <c r="E99" s="121"/>
      <c r="F99" s="121"/>
      <c r="G99" s="121"/>
      <c r="H99" s="104">
        <f>H98/113.3%</f>
        <v>10591.35039717564</v>
      </c>
      <c r="I99" s="104"/>
    </row>
    <row r="100" spans="1:10" s="119" customFormat="1" ht="18" x14ac:dyDescent="0.5">
      <c r="A100" s="124"/>
      <c r="B100" s="168" t="s">
        <v>16</v>
      </c>
      <c r="C100" s="43"/>
      <c r="D100" s="121"/>
      <c r="E100" s="121"/>
      <c r="F100" s="121"/>
      <c r="G100" s="121"/>
      <c r="H100" s="489">
        <f>H97/H99</f>
        <v>0.36444920756172838</v>
      </c>
      <c r="I100" s="489"/>
    </row>
    <row r="101" spans="1:10" s="119" customFormat="1" ht="18" x14ac:dyDescent="0.5">
      <c r="A101" s="124"/>
      <c r="B101" s="168"/>
      <c r="C101" s="43"/>
      <c r="D101" s="121"/>
      <c r="E101" s="121"/>
      <c r="F101" s="121"/>
      <c r="G101" s="121"/>
      <c r="H101" s="169"/>
      <c r="I101" s="171"/>
    </row>
    <row r="102" spans="1:10" s="119" customFormat="1" ht="18.75" thickBot="1" x14ac:dyDescent="0.55000000000000004">
      <c r="A102" s="124"/>
      <c r="B102" s="172"/>
      <c r="C102" s="147"/>
      <c r="D102" s="58"/>
      <c r="E102" s="58"/>
      <c r="F102" s="58"/>
      <c r="G102" s="58"/>
      <c r="H102" s="173"/>
      <c r="I102" s="164"/>
    </row>
    <row r="103" spans="1:10" s="74" customFormat="1" ht="18" x14ac:dyDescent="0.5">
      <c r="D103" s="188"/>
      <c r="E103" s="188"/>
      <c r="F103" s="188"/>
      <c r="G103" s="189"/>
      <c r="H103" s="190"/>
    </row>
    <row r="104" spans="1:10" s="74" customFormat="1" ht="18" x14ac:dyDescent="0.5">
      <c r="D104" s="188"/>
      <c r="E104" s="188"/>
      <c r="F104" s="188"/>
      <c r="G104" s="189"/>
      <c r="H104" s="190"/>
    </row>
    <row r="105" spans="1:10" s="74" customFormat="1" ht="18" x14ac:dyDescent="0.5">
      <c r="D105" s="188"/>
      <c r="E105" s="188"/>
      <c r="F105" s="188"/>
      <c r="G105" s="189"/>
      <c r="H105" s="190"/>
    </row>
    <row r="106" spans="1:10" s="119" customFormat="1" ht="18.75" thickBot="1" x14ac:dyDescent="0.55000000000000004">
      <c r="A106" s="154"/>
      <c r="B106" s="154"/>
      <c r="C106" s="154"/>
      <c r="D106" s="155" t="s">
        <v>0</v>
      </c>
      <c r="E106" s="155"/>
      <c r="F106" s="155"/>
      <c r="G106" s="125"/>
      <c r="H106" s="126"/>
      <c r="I106" s="124"/>
    </row>
    <row r="107" spans="1:10" s="119" customFormat="1" ht="18" x14ac:dyDescent="0.5">
      <c r="A107" s="558" t="s">
        <v>665</v>
      </c>
      <c r="B107" s="547" t="s">
        <v>894</v>
      </c>
      <c r="C107" s="547"/>
      <c r="D107" s="548"/>
      <c r="E107" s="548"/>
      <c r="F107" s="548"/>
      <c r="G107" s="548" t="s">
        <v>1</v>
      </c>
      <c r="H107" s="541" t="s">
        <v>868</v>
      </c>
      <c r="I107" s="549" t="s">
        <v>2</v>
      </c>
      <c r="J107" s="119">
        <v>4</v>
      </c>
    </row>
    <row r="108" spans="1:10" s="119" customFormat="1" ht="18" x14ac:dyDescent="0.5">
      <c r="A108" s="550">
        <v>5</v>
      </c>
      <c r="B108" s="539" t="s">
        <v>5</v>
      </c>
      <c r="C108" s="539" t="s">
        <v>4</v>
      </c>
      <c r="D108" s="540" t="s">
        <v>3</v>
      </c>
      <c r="E108" s="540" t="s">
        <v>613</v>
      </c>
      <c r="F108" s="540" t="s">
        <v>614</v>
      </c>
      <c r="G108" s="540" t="s">
        <v>510</v>
      </c>
      <c r="H108" s="543" t="s">
        <v>7</v>
      </c>
      <c r="I108" s="636">
        <f>I80</f>
        <v>45574</v>
      </c>
    </row>
    <row r="109" spans="1:10" s="119" customFormat="1" ht="18.75" thickBot="1" x14ac:dyDescent="0.55000000000000004">
      <c r="A109" s="551"/>
      <c r="B109" s="552"/>
      <c r="C109" s="552"/>
      <c r="D109" s="553">
        <v>1</v>
      </c>
      <c r="E109" s="553"/>
      <c r="F109" s="553"/>
      <c r="G109" s="553">
        <f>Summary!J24</f>
        <v>13000</v>
      </c>
      <c r="H109" s="633">
        <f>H124</f>
        <v>0.30913904999999997</v>
      </c>
      <c r="I109" s="555"/>
    </row>
    <row r="110" spans="1:10" s="119" customFormat="1" ht="18.75" thickBot="1" x14ac:dyDescent="0.55000000000000004">
      <c r="A110" s="124"/>
      <c r="B110" s="124"/>
      <c r="C110" s="124"/>
      <c r="D110" s="125"/>
      <c r="E110" s="125"/>
      <c r="F110" s="125"/>
      <c r="G110" s="125"/>
      <c r="H110" s="126"/>
      <c r="I110" s="124"/>
    </row>
    <row r="111" spans="1:10" s="119" customFormat="1" ht="18" x14ac:dyDescent="0.5">
      <c r="A111" s="194" t="s">
        <v>605</v>
      </c>
      <c r="B111" s="166" t="s">
        <v>10</v>
      </c>
      <c r="C111" s="166" t="s">
        <v>9</v>
      </c>
      <c r="D111" s="117" t="s">
        <v>8</v>
      </c>
      <c r="E111" s="117" t="s">
        <v>613</v>
      </c>
      <c r="F111" s="117" t="s">
        <v>614</v>
      </c>
      <c r="G111" s="117" t="s">
        <v>11</v>
      </c>
      <c r="H111" s="118" t="s">
        <v>24</v>
      </c>
      <c r="I111" s="195" t="s">
        <v>25</v>
      </c>
    </row>
    <row r="112" spans="1:10" s="119" customFormat="1" ht="18" x14ac:dyDescent="0.5">
      <c r="A112" s="141" t="s">
        <v>520</v>
      </c>
      <c r="B112" s="23" t="s">
        <v>521</v>
      </c>
      <c r="C112" s="24" t="s">
        <v>471</v>
      </c>
      <c r="D112" s="25">
        <v>0.08</v>
      </c>
      <c r="E112" s="139">
        <v>0.15</v>
      </c>
      <c r="F112" s="32">
        <f t="shared" ref="F112:F118" si="16">D112+D112*E112</f>
        <v>9.1999999999999998E-2</v>
      </c>
      <c r="G112" s="35">
        <v>17000</v>
      </c>
      <c r="H112" s="68">
        <f t="shared" ref="H112:H118" si="17">F112*G112</f>
        <v>1564</v>
      </c>
      <c r="I112" s="140">
        <f t="shared" ref="I112:I118" si="18">H112/I$3</f>
        <v>0.74476190476190474</v>
      </c>
    </row>
    <row r="113" spans="1:9" s="119" customFormat="1" ht="18" x14ac:dyDescent="0.5">
      <c r="A113" s="141" t="s">
        <v>501</v>
      </c>
      <c r="B113" s="23" t="s">
        <v>502</v>
      </c>
      <c r="C113" s="24" t="s">
        <v>471</v>
      </c>
      <c r="D113" s="25">
        <v>0.02</v>
      </c>
      <c r="E113" s="139">
        <v>0.2</v>
      </c>
      <c r="F113" s="32">
        <f t="shared" si="16"/>
        <v>2.4E-2</v>
      </c>
      <c r="G113" s="143">
        <v>4500</v>
      </c>
      <c r="H113" s="68">
        <f t="shared" si="17"/>
        <v>108</v>
      </c>
      <c r="I113" s="140">
        <f t="shared" si="18"/>
        <v>5.1428571428571428E-2</v>
      </c>
    </row>
    <row r="114" spans="1:9" s="119" customFormat="1" ht="18" x14ac:dyDescent="0.5">
      <c r="A114" s="144" t="s">
        <v>532</v>
      </c>
      <c r="B114" s="26" t="s">
        <v>664</v>
      </c>
      <c r="C114" s="24" t="s">
        <v>463</v>
      </c>
      <c r="D114" s="25">
        <v>0.02</v>
      </c>
      <c r="E114" s="139">
        <v>0</v>
      </c>
      <c r="F114" s="32">
        <f t="shared" si="16"/>
        <v>0.02</v>
      </c>
      <c r="G114" s="35">
        <v>40000</v>
      </c>
      <c r="H114" s="68">
        <f t="shared" ref="H114" si="19">F114*G114</f>
        <v>800</v>
      </c>
      <c r="I114" s="140">
        <f t="shared" ref="I114" si="20">H114/I$3</f>
        <v>0.38095238095238093</v>
      </c>
    </row>
    <row r="115" spans="1:9" s="119" customFormat="1" ht="18" x14ac:dyDescent="0.5">
      <c r="A115" s="235" t="s">
        <v>702</v>
      </c>
      <c r="B115" s="184" t="s">
        <v>458</v>
      </c>
      <c r="C115" s="24" t="s">
        <v>21</v>
      </c>
      <c r="D115" s="25">
        <v>1</v>
      </c>
      <c r="E115" s="139">
        <v>0</v>
      </c>
      <c r="F115" s="25">
        <f t="shared" si="16"/>
        <v>1</v>
      </c>
      <c r="G115" s="143">
        <v>355</v>
      </c>
      <c r="H115" s="122">
        <f t="shared" si="17"/>
        <v>355</v>
      </c>
      <c r="I115" s="140">
        <f t="shared" si="18"/>
        <v>0.16904761904761906</v>
      </c>
    </row>
    <row r="116" spans="1:9" s="119" customFormat="1" ht="18" x14ac:dyDescent="0.5">
      <c r="A116" s="144" t="s">
        <v>530</v>
      </c>
      <c r="B116" s="26" t="s">
        <v>677</v>
      </c>
      <c r="C116" s="24" t="s">
        <v>23</v>
      </c>
      <c r="D116" s="25">
        <v>4.0000000000000001E-3</v>
      </c>
      <c r="E116" s="139">
        <v>0</v>
      </c>
      <c r="F116" s="32">
        <f t="shared" si="16"/>
        <v>4.0000000000000001E-3</v>
      </c>
      <c r="G116" s="143">
        <v>24000</v>
      </c>
      <c r="H116" s="68">
        <f>F116*G116</f>
        <v>96</v>
      </c>
      <c r="I116" s="140">
        <f t="shared" si="18"/>
        <v>4.5714285714285714E-2</v>
      </c>
    </row>
    <row r="117" spans="1:9" s="119" customFormat="1" ht="18" x14ac:dyDescent="0.5">
      <c r="A117" s="26"/>
      <c r="B117" s="23" t="s">
        <v>610</v>
      </c>
      <c r="C117" s="24" t="s">
        <v>27</v>
      </c>
      <c r="D117" s="25">
        <v>1E-3</v>
      </c>
      <c r="E117" s="139">
        <v>0</v>
      </c>
      <c r="F117" s="32">
        <f t="shared" si="16"/>
        <v>1E-3</v>
      </c>
      <c r="G117" s="143">
        <v>1200</v>
      </c>
      <c r="H117" s="68">
        <f t="shared" si="17"/>
        <v>1.2</v>
      </c>
      <c r="I117" s="140">
        <f t="shared" si="18"/>
        <v>5.7142857142857136E-4</v>
      </c>
    </row>
    <row r="118" spans="1:9" s="119" customFormat="1" ht="18" x14ac:dyDescent="0.5">
      <c r="A118" s="201">
        <v>11100028</v>
      </c>
      <c r="B118" s="23" t="s">
        <v>917</v>
      </c>
      <c r="C118" s="24" t="s">
        <v>471</v>
      </c>
      <c r="D118" s="25">
        <v>5.0000000000000001E-3</v>
      </c>
      <c r="E118" s="139">
        <v>0</v>
      </c>
      <c r="F118" s="32">
        <f t="shared" si="16"/>
        <v>5.0000000000000001E-3</v>
      </c>
      <c r="G118" s="143">
        <v>70000</v>
      </c>
      <c r="H118" s="68">
        <f t="shared" si="17"/>
        <v>350</v>
      </c>
      <c r="I118" s="140">
        <f t="shared" si="18"/>
        <v>0.16666666666666666</v>
      </c>
    </row>
    <row r="119" spans="1:9" s="119" customFormat="1" ht="18.75" thickBot="1" x14ac:dyDescent="0.55000000000000004">
      <c r="A119" s="146"/>
      <c r="B119" s="147"/>
      <c r="C119" s="147"/>
      <c r="D119" s="58"/>
      <c r="E119" s="58"/>
      <c r="F119" s="58"/>
      <c r="G119" s="58"/>
      <c r="H119" s="123"/>
      <c r="I119" s="164"/>
    </row>
    <row r="120" spans="1:9" s="119" customFormat="1" ht="18" x14ac:dyDescent="0.5">
      <c r="A120" s="124"/>
      <c r="B120" s="165" t="s">
        <v>4</v>
      </c>
      <c r="C120" s="166"/>
      <c r="D120" s="117"/>
      <c r="E120" s="117"/>
      <c r="F120" s="117"/>
      <c r="G120" s="117"/>
      <c r="H120" s="192">
        <f>SUM(H112:H119)</f>
        <v>3274.2</v>
      </c>
      <c r="I120" s="197">
        <f>SUM(I112:I119)</f>
        <v>1.5591428571428574</v>
      </c>
    </row>
    <row r="121" spans="1:9" s="119" customFormat="1" ht="18" x14ac:dyDescent="0.5">
      <c r="A121" s="124"/>
      <c r="B121" s="168" t="s">
        <v>14</v>
      </c>
      <c r="C121" s="43"/>
      <c r="D121" s="121"/>
      <c r="E121" s="121"/>
      <c r="F121" s="121"/>
      <c r="G121" s="121"/>
      <c r="H121" s="169">
        <f>H120/1</f>
        <v>3274.2</v>
      </c>
      <c r="I121" s="121"/>
    </row>
    <row r="122" spans="1:9" s="119" customFormat="1" ht="18" x14ac:dyDescent="0.5">
      <c r="A122" s="124"/>
      <c r="B122" s="168" t="s">
        <v>453</v>
      </c>
      <c r="C122" s="43"/>
      <c r="D122" s="121"/>
      <c r="E122" s="121"/>
      <c r="F122" s="121"/>
      <c r="G122" s="121"/>
      <c r="H122" s="104">
        <v>12000</v>
      </c>
      <c r="I122" s="104"/>
    </row>
    <row r="123" spans="1:9" s="119" customFormat="1" ht="18" x14ac:dyDescent="0.5">
      <c r="A123" s="124"/>
      <c r="B123" s="168" t="s">
        <v>455</v>
      </c>
      <c r="C123" s="43"/>
      <c r="D123" s="121"/>
      <c r="E123" s="121"/>
      <c r="F123" s="121"/>
      <c r="G123" s="121"/>
      <c r="H123" s="104">
        <f>H122/113.3%</f>
        <v>10591.35039717564</v>
      </c>
      <c r="I123" s="104"/>
    </row>
    <row r="124" spans="1:9" s="119" customFormat="1" ht="18" x14ac:dyDescent="0.5">
      <c r="A124" s="124"/>
      <c r="B124" s="168" t="s">
        <v>16</v>
      </c>
      <c r="C124" s="43"/>
      <c r="D124" s="121"/>
      <c r="E124" s="121"/>
      <c r="F124" s="121"/>
      <c r="G124" s="121"/>
      <c r="H124" s="489">
        <f>H121/H123</f>
        <v>0.30913904999999997</v>
      </c>
      <c r="I124" s="489"/>
    </row>
    <row r="125" spans="1:9" s="119" customFormat="1" ht="18" x14ac:dyDescent="0.5">
      <c r="A125" s="124"/>
      <c r="B125" s="168"/>
      <c r="C125" s="43"/>
      <c r="D125" s="121"/>
      <c r="E125" s="121"/>
      <c r="F125" s="121"/>
      <c r="G125" s="121"/>
      <c r="H125" s="169"/>
      <c r="I125" s="171"/>
    </row>
    <row r="126" spans="1:9" s="119" customFormat="1" ht="18.75" thickBot="1" x14ac:dyDescent="0.55000000000000004">
      <c r="A126" s="124"/>
      <c r="B126" s="172"/>
      <c r="C126" s="147"/>
      <c r="D126" s="58"/>
      <c r="E126" s="58"/>
      <c r="F126" s="58"/>
      <c r="G126" s="58"/>
      <c r="H126" s="173"/>
      <c r="I126" s="164"/>
    </row>
    <row r="127" spans="1:9" s="74" customFormat="1" ht="18" x14ac:dyDescent="0.5">
      <c r="D127" s="188"/>
      <c r="E127" s="188"/>
      <c r="F127" s="188"/>
      <c r="G127" s="189"/>
      <c r="H127" s="190"/>
    </row>
    <row r="128" spans="1:9" s="74" customFormat="1" ht="18.75" thickBot="1" x14ac:dyDescent="0.55000000000000004">
      <c r="A128" s="76"/>
      <c r="B128" s="76"/>
      <c r="C128" s="76"/>
      <c r="D128" s="116" t="s">
        <v>0</v>
      </c>
      <c r="E128" s="116"/>
      <c r="F128" s="116"/>
      <c r="G128" s="61"/>
      <c r="H128" s="62"/>
      <c r="I128" s="60"/>
    </row>
    <row r="129" spans="1:10" s="74" customFormat="1" ht="18" x14ac:dyDescent="0.5">
      <c r="A129" s="562" t="s">
        <v>722</v>
      </c>
      <c r="B129" s="563" t="s">
        <v>757</v>
      </c>
      <c r="C129" s="547"/>
      <c r="D129" s="548"/>
      <c r="E129" s="548"/>
      <c r="F129" s="548"/>
      <c r="G129" s="548" t="s">
        <v>1</v>
      </c>
      <c r="H129" s="541" t="s">
        <v>868</v>
      </c>
      <c r="I129" s="549" t="s">
        <v>2</v>
      </c>
      <c r="J129" s="74">
        <v>5</v>
      </c>
    </row>
    <row r="130" spans="1:10" s="74" customFormat="1" ht="18" x14ac:dyDescent="0.5">
      <c r="A130" s="565">
        <v>6</v>
      </c>
      <c r="B130" s="539" t="s">
        <v>5</v>
      </c>
      <c r="C130" s="539" t="s">
        <v>4</v>
      </c>
      <c r="D130" s="540" t="s">
        <v>3</v>
      </c>
      <c r="E130" s="540" t="s">
        <v>613</v>
      </c>
      <c r="F130" s="540" t="s">
        <v>614</v>
      </c>
      <c r="G130" s="540" t="s">
        <v>500</v>
      </c>
      <c r="H130" s="543" t="s">
        <v>7</v>
      </c>
      <c r="I130" s="636">
        <f>I108</f>
        <v>45574</v>
      </c>
    </row>
    <row r="131" spans="1:10" s="74" customFormat="1" ht="18.75" thickBot="1" x14ac:dyDescent="0.55000000000000004">
      <c r="A131" s="551"/>
      <c r="B131" s="552"/>
      <c r="C131" s="552"/>
      <c r="D131" s="553">
        <v>1</v>
      </c>
      <c r="E131" s="553"/>
      <c r="F131" s="553"/>
      <c r="G131" s="553">
        <f>Summary!J25</f>
        <v>13000</v>
      </c>
      <c r="H131" s="633">
        <f>H144</f>
        <v>0.30300662187210375</v>
      </c>
      <c r="I131" s="555"/>
    </row>
    <row r="132" spans="1:10" s="74" customFormat="1" ht="18.75" thickBot="1" x14ac:dyDescent="0.55000000000000004">
      <c r="A132" s="60"/>
      <c r="B132" s="60"/>
      <c r="C132" s="60"/>
      <c r="D132" s="61"/>
      <c r="E132" s="61"/>
      <c r="F132" s="61"/>
      <c r="G132" s="61"/>
      <c r="H132" s="62"/>
      <c r="I132" s="60"/>
    </row>
    <row r="133" spans="1:10" s="74" customFormat="1" ht="18" x14ac:dyDescent="0.5">
      <c r="A133" s="63" t="s">
        <v>605</v>
      </c>
      <c r="B133" s="64" t="s">
        <v>10</v>
      </c>
      <c r="C133" s="64" t="s">
        <v>9</v>
      </c>
      <c r="D133" s="52" t="s">
        <v>8</v>
      </c>
      <c r="E133" s="52" t="s">
        <v>613</v>
      </c>
      <c r="F133" s="52" t="s">
        <v>614</v>
      </c>
      <c r="G133" s="52" t="s">
        <v>11</v>
      </c>
      <c r="H133" s="53" t="s">
        <v>24</v>
      </c>
      <c r="I133" s="65" t="s">
        <v>25</v>
      </c>
    </row>
    <row r="134" spans="1:10" s="74" customFormat="1" ht="18" x14ac:dyDescent="0.5">
      <c r="A134" s="66" t="s">
        <v>484</v>
      </c>
      <c r="B134" s="23" t="s">
        <v>625</v>
      </c>
      <c r="C134" s="19" t="s">
        <v>471</v>
      </c>
      <c r="D134" s="20">
        <v>0.1</v>
      </c>
      <c r="E134" s="86">
        <v>0.3</v>
      </c>
      <c r="F134" s="67">
        <f>D134+D134*E134</f>
        <v>0.13</v>
      </c>
      <c r="G134" s="91">
        <v>7000</v>
      </c>
      <c r="H134" s="46">
        <f t="shared" ref="H134:H139" si="21">F134*G134</f>
        <v>910</v>
      </c>
      <c r="I134" s="87">
        <f t="shared" ref="I134:I139" si="22">H134/I$3</f>
        <v>0.43333333333333335</v>
      </c>
    </row>
    <row r="135" spans="1:10" s="74" customFormat="1" ht="18" x14ac:dyDescent="0.5">
      <c r="A135" s="66" t="s">
        <v>501</v>
      </c>
      <c r="B135" s="89" t="s">
        <v>502</v>
      </c>
      <c r="C135" s="19" t="s">
        <v>471</v>
      </c>
      <c r="D135" s="20">
        <v>0.03</v>
      </c>
      <c r="E135" s="86">
        <v>0.2</v>
      </c>
      <c r="F135" s="67">
        <v>0.05</v>
      </c>
      <c r="G135" s="91">
        <v>4500</v>
      </c>
      <c r="H135" s="46">
        <f t="shared" si="21"/>
        <v>225</v>
      </c>
      <c r="I135" s="87">
        <f t="shared" si="22"/>
        <v>0.10714285714285714</v>
      </c>
    </row>
    <row r="136" spans="1:10" s="74" customFormat="1" ht="18" x14ac:dyDescent="0.5">
      <c r="A136" s="236">
        <v>10300135</v>
      </c>
      <c r="B136" s="23" t="s">
        <v>713</v>
      </c>
      <c r="C136" s="19" t="s">
        <v>26</v>
      </c>
      <c r="D136" s="20">
        <v>0.05</v>
      </c>
      <c r="E136" s="86">
        <v>0</v>
      </c>
      <c r="F136" s="67">
        <f>D136+D136*E136</f>
        <v>0.05</v>
      </c>
      <c r="G136" s="34">
        <f>35000/4.15</f>
        <v>8433.7349397590351</v>
      </c>
      <c r="H136" s="46">
        <f t="shared" si="21"/>
        <v>421.68674698795178</v>
      </c>
      <c r="I136" s="87">
        <f t="shared" si="22"/>
        <v>0.20080321285140562</v>
      </c>
    </row>
    <row r="137" spans="1:10" s="74" customFormat="1" ht="18" x14ac:dyDescent="0.5">
      <c r="A137" s="236" t="s">
        <v>532</v>
      </c>
      <c r="B137" s="21" t="s">
        <v>664</v>
      </c>
      <c r="C137" s="19" t="s">
        <v>463</v>
      </c>
      <c r="D137" s="20">
        <v>0.02</v>
      </c>
      <c r="E137" s="86">
        <v>0</v>
      </c>
      <c r="F137" s="67">
        <f>D137+D137*E137</f>
        <v>0.02</v>
      </c>
      <c r="G137" s="34">
        <v>40000</v>
      </c>
      <c r="H137" s="46">
        <f t="shared" si="21"/>
        <v>800</v>
      </c>
      <c r="I137" s="87">
        <f t="shared" si="22"/>
        <v>0.38095238095238093</v>
      </c>
    </row>
    <row r="138" spans="1:10" s="74" customFormat="1" ht="18" x14ac:dyDescent="0.5">
      <c r="A138" s="237"/>
      <c r="B138" s="85" t="s">
        <v>689</v>
      </c>
      <c r="C138" s="19" t="s">
        <v>21</v>
      </c>
      <c r="D138" s="20">
        <v>1</v>
      </c>
      <c r="E138" s="86">
        <v>0</v>
      </c>
      <c r="F138" s="20">
        <f>D138+D138*E138</f>
        <v>1</v>
      </c>
      <c r="G138" s="91">
        <v>1000</v>
      </c>
      <c r="H138" s="55">
        <f t="shared" si="21"/>
        <v>1000</v>
      </c>
      <c r="I138" s="87">
        <f t="shared" si="22"/>
        <v>0.47619047619047616</v>
      </c>
    </row>
    <row r="139" spans="1:10" s="74" customFormat="1" ht="18" x14ac:dyDescent="0.5">
      <c r="A139" s="236" t="s">
        <v>530</v>
      </c>
      <c r="B139" s="21" t="s">
        <v>529</v>
      </c>
      <c r="C139" s="19" t="s">
        <v>23</v>
      </c>
      <c r="D139" s="20">
        <v>5.0000000000000001E-3</v>
      </c>
      <c r="E139" s="86">
        <v>0</v>
      </c>
      <c r="F139" s="67">
        <f>D139+D139*E139</f>
        <v>5.0000000000000001E-3</v>
      </c>
      <c r="G139" s="91">
        <v>24000</v>
      </c>
      <c r="H139" s="46">
        <f t="shared" si="21"/>
        <v>120</v>
      </c>
      <c r="I139" s="87">
        <f t="shared" si="22"/>
        <v>5.7142857142857141E-2</v>
      </c>
    </row>
    <row r="140" spans="1:10" s="74" customFormat="1" ht="18" x14ac:dyDescent="0.5">
      <c r="A140" s="60"/>
      <c r="B140" s="101" t="s">
        <v>4</v>
      </c>
      <c r="C140" s="22"/>
      <c r="D140" s="54"/>
      <c r="E140" s="54"/>
      <c r="F140" s="54"/>
      <c r="G140" s="54"/>
      <c r="H140" s="106">
        <f>SUM(H134:H139)</f>
        <v>3476.6867469879517</v>
      </c>
      <c r="I140" s="142">
        <f>SUM(I134:I139)</f>
        <v>1.6555651176133102</v>
      </c>
    </row>
    <row r="141" spans="1:10" s="74" customFormat="1" ht="18" x14ac:dyDescent="0.5">
      <c r="A141" s="60"/>
      <c r="B141" s="101" t="s">
        <v>14</v>
      </c>
      <c r="C141" s="22"/>
      <c r="D141" s="54"/>
      <c r="E141" s="54"/>
      <c r="F141" s="54"/>
      <c r="G141" s="54"/>
      <c r="H141" s="106">
        <f>H140/1</f>
        <v>3476.6867469879517</v>
      </c>
      <c r="I141" s="121"/>
    </row>
    <row r="142" spans="1:10" s="74" customFormat="1" ht="18" x14ac:dyDescent="0.5">
      <c r="A142" s="60"/>
      <c r="B142" s="101" t="s">
        <v>453</v>
      </c>
      <c r="C142" s="22"/>
      <c r="D142" s="54"/>
      <c r="E142" s="54"/>
      <c r="F142" s="54"/>
      <c r="G142" s="54"/>
      <c r="H142" s="485">
        <f>G131</f>
        <v>13000</v>
      </c>
      <c r="I142" s="485"/>
    </row>
    <row r="143" spans="1:10" s="74" customFormat="1" ht="18" x14ac:dyDescent="0.5">
      <c r="A143" s="60"/>
      <c r="B143" s="101" t="s">
        <v>455</v>
      </c>
      <c r="C143" s="22"/>
      <c r="D143" s="54"/>
      <c r="E143" s="54"/>
      <c r="F143" s="54"/>
      <c r="G143" s="54"/>
      <c r="H143" s="104">
        <f>H142/113.3%</f>
        <v>11473.96293027361</v>
      </c>
      <c r="I143" s="104"/>
    </row>
    <row r="144" spans="1:10" s="74" customFormat="1" ht="18" x14ac:dyDescent="0.5">
      <c r="A144" s="60"/>
      <c r="B144" s="101" t="s">
        <v>16</v>
      </c>
      <c r="C144" s="22"/>
      <c r="D144" s="54"/>
      <c r="E144" s="54"/>
      <c r="F144" s="54"/>
      <c r="G144" s="54"/>
      <c r="H144" s="584">
        <f>H141/H143</f>
        <v>0.30300662187210375</v>
      </c>
      <c r="I144" s="584"/>
    </row>
    <row r="145" spans="1:9" s="74" customFormat="1" ht="18" x14ac:dyDescent="0.5">
      <c r="A145" s="60"/>
      <c r="B145" s="101"/>
      <c r="C145" s="22"/>
      <c r="D145" s="54"/>
      <c r="E145" s="54"/>
      <c r="F145" s="54"/>
      <c r="G145" s="54"/>
      <c r="H145" s="106"/>
      <c r="I145" s="486"/>
    </row>
    <row r="146" spans="1:9" s="74" customFormat="1" ht="18.75" thickBot="1" x14ac:dyDescent="0.55000000000000004">
      <c r="A146" s="60"/>
      <c r="B146" s="150"/>
      <c r="C146" s="151"/>
      <c r="D146" s="57"/>
      <c r="E146" s="57"/>
      <c r="F146" s="57"/>
      <c r="G146" s="57"/>
      <c r="H146" s="239"/>
      <c r="I146" s="487"/>
    </row>
    <row r="147" spans="1:9" x14ac:dyDescent="0.6">
      <c r="D147" s="74"/>
    </row>
    <row r="148" spans="1:9" x14ac:dyDescent="0.6">
      <c r="D148" s="74"/>
    </row>
    <row r="149" spans="1:9" x14ac:dyDescent="0.6">
      <c r="D149" s="74"/>
    </row>
  </sheetData>
  <mergeCells count="1">
    <mergeCell ref="A2:I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>
    <tabColor theme="3" tint="0.39997558519241921"/>
  </sheetPr>
  <dimension ref="A2:J302"/>
  <sheetViews>
    <sheetView topLeftCell="A76" zoomScale="91" zoomScaleNormal="91" workbookViewId="0">
      <selection activeCell="A39" sqref="A39:I39"/>
    </sheetView>
  </sheetViews>
  <sheetFormatPr defaultColWidth="9.140625" defaultRowHeight="21.75" x14ac:dyDescent="0.6"/>
  <cols>
    <col min="1" max="1" width="17.7109375" style="74" customWidth="1"/>
    <col min="2" max="2" width="32.140625" style="74" customWidth="1"/>
    <col min="3" max="6" width="13.140625" style="74" customWidth="1"/>
    <col min="7" max="7" width="13.28515625" style="189" customWidth="1"/>
    <col min="8" max="8" width="17.5703125" style="189" customWidth="1"/>
    <col min="9" max="9" width="20" style="74" customWidth="1"/>
    <col min="10" max="16384" width="9.140625" style="241"/>
  </cols>
  <sheetData>
    <row r="2" spans="1:9" x14ac:dyDescent="0.6">
      <c r="A2" s="933" t="s">
        <v>758</v>
      </c>
      <c r="B2" s="933"/>
      <c r="C2" s="933"/>
      <c r="D2" s="933"/>
      <c r="E2" s="933"/>
      <c r="F2" s="933"/>
      <c r="G2" s="933"/>
      <c r="H2" s="933"/>
      <c r="I2" s="933"/>
    </row>
    <row r="3" spans="1:9" ht="23.45" customHeight="1" x14ac:dyDescent="0.6">
      <c r="A3" s="773"/>
      <c r="B3" s="773"/>
      <c r="C3" s="773"/>
      <c r="D3" s="773"/>
      <c r="E3" s="773"/>
      <c r="F3" s="773"/>
      <c r="G3" s="773"/>
      <c r="H3" s="773"/>
      <c r="I3" s="774">
        <v>2100</v>
      </c>
    </row>
    <row r="4" spans="1:9" s="246" customFormat="1" ht="22.5" thickBot="1" x14ac:dyDescent="0.65">
      <c r="A4" s="937" t="s">
        <v>0</v>
      </c>
      <c r="B4" s="937"/>
      <c r="C4" s="937"/>
      <c r="D4" s="937"/>
      <c r="E4" s="937"/>
      <c r="F4" s="937"/>
      <c r="G4" s="937"/>
      <c r="H4" s="937"/>
      <c r="I4" s="937"/>
    </row>
    <row r="5" spans="1:9" s="246" customFormat="1" x14ac:dyDescent="0.6">
      <c r="A5" s="558" t="s">
        <v>720</v>
      </c>
      <c r="B5" s="547" t="s">
        <v>462</v>
      </c>
      <c r="C5" s="547"/>
      <c r="D5" s="548"/>
      <c r="E5" s="548"/>
      <c r="F5" s="548"/>
      <c r="G5" s="548" t="s">
        <v>1</v>
      </c>
      <c r="H5" s="541" t="s">
        <v>868</v>
      </c>
      <c r="I5" s="564" t="s">
        <v>922</v>
      </c>
    </row>
    <row r="6" spans="1:9" s="246" customFormat="1" x14ac:dyDescent="0.6">
      <c r="A6" s="550">
        <v>1</v>
      </c>
      <c r="B6" s="539" t="s">
        <v>5</v>
      </c>
      <c r="C6" s="539" t="s">
        <v>4</v>
      </c>
      <c r="D6" s="540" t="s">
        <v>3</v>
      </c>
      <c r="E6" s="540" t="s">
        <v>613</v>
      </c>
      <c r="F6" s="540" t="s">
        <v>614</v>
      </c>
      <c r="G6" s="540" t="s">
        <v>510</v>
      </c>
      <c r="H6" s="543" t="s">
        <v>7</v>
      </c>
      <c r="I6" s="636">
        <v>45574</v>
      </c>
    </row>
    <row r="7" spans="1:9" s="246" customFormat="1" ht="22.5" thickBot="1" x14ac:dyDescent="0.65">
      <c r="A7" s="551"/>
      <c r="B7" s="552"/>
      <c r="C7" s="552"/>
      <c r="D7" s="553">
        <v>1</v>
      </c>
      <c r="E7" s="553"/>
      <c r="F7" s="553"/>
      <c r="G7" s="553">
        <f>Summary!J28</f>
        <v>12000</v>
      </c>
      <c r="H7" s="633">
        <f>H28</f>
        <v>0.2833544881990927</v>
      </c>
      <c r="I7" s="555"/>
    </row>
    <row r="8" spans="1:9" s="246" customFormat="1" ht="22.5" thickBot="1" x14ac:dyDescent="0.65">
      <c r="A8" s="124"/>
      <c r="B8" s="124"/>
      <c r="C8" s="124"/>
      <c r="D8" s="125"/>
      <c r="E8" s="125"/>
      <c r="F8" s="125"/>
      <c r="G8" s="125"/>
      <c r="H8" s="126"/>
      <c r="I8" s="124"/>
    </row>
    <row r="9" spans="1:9" s="246" customFormat="1" x14ac:dyDescent="0.6">
      <c r="A9" s="194" t="s">
        <v>605</v>
      </c>
      <c r="B9" s="166" t="s">
        <v>10</v>
      </c>
      <c r="C9" s="166" t="s">
        <v>9</v>
      </c>
      <c r="D9" s="300" t="s">
        <v>8</v>
      </c>
      <c r="E9" s="117" t="s">
        <v>613</v>
      </c>
      <c r="F9" s="117" t="s">
        <v>614</v>
      </c>
      <c r="G9" s="117" t="s">
        <v>11</v>
      </c>
      <c r="H9" s="192" t="s">
        <v>24</v>
      </c>
      <c r="I9" s="195" t="s">
        <v>25</v>
      </c>
    </row>
    <row r="10" spans="1:9" s="246" customFormat="1" x14ac:dyDescent="0.6">
      <c r="A10" s="141" t="s">
        <v>469</v>
      </c>
      <c r="B10" s="184" t="s">
        <v>464</v>
      </c>
      <c r="C10" s="24" t="s">
        <v>23</v>
      </c>
      <c r="D10" s="25">
        <v>0.06</v>
      </c>
      <c r="E10" s="139">
        <v>0.34</v>
      </c>
      <c r="F10" s="32">
        <f t="shared" ref="F10:F22" si="0">D10+D10*E10</f>
        <v>8.0399999999999999E-2</v>
      </c>
      <c r="G10" s="35">
        <f>22000/1.62</f>
        <v>13580.246913580246</v>
      </c>
      <c r="H10" s="68">
        <f t="shared" ref="H10:H22" si="1">F10*G10</f>
        <v>1091.8518518518517</v>
      </c>
      <c r="I10" s="161">
        <f t="shared" ref="I10:I22" si="2">H10/I$3</f>
        <v>0.5199294532627865</v>
      </c>
    </row>
    <row r="11" spans="1:9" s="246" customFormat="1" x14ac:dyDescent="0.6">
      <c r="A11" s="141" t="s">
        <v>472</v>
      </c>
      <c r="B11" s="26" t="s">
        <v>495</v>
      </c>
      <c r="C11" s="24" t="s">
        <v>463</v>
      </c>
      <c r="D11" s="775">
        <v>0.25</v>
      </c>
      <c r="E11" s="776">
        <v>0</v>
      </c>
      <c r="F11" s="32">
        <f t="shared" si="0"/>
        <v>0.25</v>
      </c>
      <c r="G11" s="143">
        <v>1750</v>
      </c>
      <c r="H11" s="68">
        <f t="shared" si="1"/>
        <v>437.5</v>
      </c>
      <c r="I11" s="161">
        <f t="shared" si="2"/>
        <v>0.20833333333333334</v>
      </c>
    </row>
    <row r="12" spans="1:9" s="246" customFormat="1" x14ac:dyDescent="0.6">
      <c r="A12" s="141" t="s">
        <v>473</v>
      </c>
      <c r="B12" s="23" t="s">
        <v>615</v>
      </c>
      <c r="C12" s="777" t="s">
        <v>19</v>
      </c>
      <c r="D12" s="775">
        <v>0.05</v>
      </c>
      <c r="E12" s="776">
        <v>0.15</v>
      </c>
      <c r="F12" s="32">
        <f t="shared" si="0"/>
        <v>5.7500000000000002E-2</v>
      </c>
      <c r="G12" s="143">
        <v>3000</v>
      </c>
      <c r="H12" s="68">
        <f t="shared" si="1"/>
        <v>172.5</v>
      </c>
      <c r="I12" s="161">
        <f t="shared" si="2"/>
        <v>8.2142857142857142E-2</v>
      </c>
    </row>
    <row r="13" spans="1:9" s="246" customFormat="1" x14ac:dyDescent="0.6">
      <c r="A13" s="141" t="s">
        <v>556</v>
      </c>
      <c r="B13" s="23" t="s">
        <v>474</v>
      </c>
      <c r="C13" s="24" t="s">
        <v>471</v>
      </c>
      <c r="D13" s="775">
        <v>0.02</v>
      </c>
      <c r="E13" s="776">
        <v>0.1</v>
      </c>
      <c r="F13" s="32">
        <f t="shared" si="0"/>
        <v>2.1999999999999999E-2</v>
      </c>
      <c r="G13" s="143">
        <v>10000</v>
      </c>
      <c r="H13" s="68">
        <f t="shared" si="1"/>
        <v>220</v>
      </c>
      <c r="I13" s="161">
        <f t="shared" si="2"/>
        <v>0.10476190476190476</v>
      </c>
    </row>
    <row r="14" spans="1:9" s="246" customFormat="1" x14ac:dyDescent="0.6">
      <c r="A14" s="141" t="s">
        <v>556</v>
      </c>
      <c r="B14" s="23" t="s">
        <v>557</v>
      </c>
      <c r="C14" s="24" t="s">
        <v>20</v>
      </c>
      <c r="D14" s="775">
        <v>0.25</v>
      </c>
      <c r="E14" s="776">
        <v>0.2</v>
      </c>
      <c r="F14" s="32">
        <f t="shared" si="0"/>
        <v>0.3</v>
      </c>
      <c r="G14" s="143">
        <v>600</v>
      </c>
      <c r="H14" s="68">
        <f t="shared" si="1"/>
        <v>180</v>
      </c>
      <c r="I14" s="161">
        <f t="shared" si="2"/>
        <v>8.5714285714285715E-2</v>
      </c>
    </row>
    <row r="15" spans="1:9" s="246" customFormat="1" x14ac:dyDescent="0.6">
      <c r="A15" s="141" t="s">
        <v>499</v>
      </c>
      <c r="B15" s="26" t="s">
        <v>494</v>
      </c>
      <c r="C15" s="24" t="s">
        <v>459</v>
      </c>
      <c r="D15" s="775">
        <v>0.02</v>
      </c>
      <c r="E15" s="776">
        <v>0</v>
      </c>
      <c r="F15" s="32">
        <f t="shared" si="0"/>
        <v>0.02</v>
      </c>
      <c r="G15" s="35">
        <f>21000/4.15</f>
        <v>5060.2409638554209</v>
      </c>
      <c r="H15" s="68">
        <f t="shared" si="1"/>
        <v>101.20481927710841</v>
      </c>
      <c r="I15" s="161">
        <f t="shared" si="2"/>
        <v>4.8192771084337338E-2</v>
      </c>
    </row>
    <row r="16" spans="1:9" s="246" customFormat="1" x14ac:dyDescent="0.6">
      <c r="A16" s="141" t="s">
        <v>566</v>
      </c>
      <c r="B16" s="23" t="s">
        <v>646</v>
      </c>
      <c r="C16" s="777" t="s">
        <v>459</v>
      </c>
      <c r="D16" s="775">
        <v>0.01</v>
      </c>
      <c r="E16" s="776">
        <v>0</v>
      </c>
      <c r="F16" s="32">
        <f t="shared" si="0"/>
        <v>0.01</v>
      </c>
      <c r="G16" s="178">
        <v>3500</v>
      </c>
      <c r="H16" s="68">
        <f t="shared" si="1"/>
        <v>35</v>
      </c>
      <c r="I16" s="161">
        <f t="shared" si="2"/>
        <v>1.6666666666666666E-2</v>
      </c>
    </row>
    <row r="17" spans="1:9" s="246" customFormat="1" x14ac:dyDescent="0.6">
      <c r="A17" s="141" t="s">
        <v>535</v>
      </c>
      <c r="B17" s="23" t="s">
        <v>647</v>
      </c>
      <c r="C17" s="777" t="s">
        <v>459</v>
      </c>
      <c r="D17" s="775">
        <v>0.01</v>
      </c>
      <c r="E17" s="776">
        <v>0</v>
      </c>
      <c r="F17" s="32">
        <f t="shared" si="0"/>
        <v>0.01</v>
      </c>
      <c r="G17" s="35">
        <v>8500</v>
      </c>
      <c r="H17" s="68">
        <f t="shared" si="1"/>
        <v>85</v>
      </c>
      <c r="I17" s="161">
        <f t="shared" si="2"/>
        <v>4.0476190476190478E-2</v>
      </c>
    </row>
    <row r="18" spans="1:9" s="246" customFormat="1" x14ac:dyDescent="0.6">
      <c r="A18" s="144" t="s">
        <v>542</v>
      </c>
      <c r="B18" s="26" t="s">
        <v>612</v>
      </c>
      <c r="C18" s="24" t="s">
        <v>471</v>
      </c>
      <c r="D18" s="775">
        <v>0.01</v>
      </c>
      <c r="E18" s="776">
        <v>0</v>
      </c>
      <c r="F18" s="32">
        <f t="shared" si="0"/>
        <v>0.01</v>
      </c>
      <c r="G18" s="35">
        <v>5800</v>
      </c>
      <c r="H18" s="68">
        <f t="shared" si="1"/>
        <v>58</v>
      </c>
      <c r="I18" s="161">
        <f t="shared" si="2"/>
        <v>2.7619047619047619E-2</v>
      </c>
    </row>
    <row r="19" spans="1:9" s="246" customFormat="1" x14ac:dyDescent="0.6">
      <c r="A19" s="141" t="s">
        <v>535</v>
      </c>
      <c r="B19" s="26" t="s">
        <v>609</v>
      </c>
      <c r="C19" s="24" t="s">
        <v>463</v>
      </c>
      <c r="D19" s="233">
        <f>10/1000</f>
        <v>0.01</v>
      </c>
      <c r="E19" s="776">
        <v>0</v>
      </c>
      <c r="F19" s="32">
        <f t="shared" si="0"/>
        <v>0.01</v>
      </c>
      <c r="G19" s="162">
        <v>14000</v>
      </c>
      <c r="H19" s="68">
        <f t="shared" si="1"/>
        <v>140</v>
      </c>
      <c r="I19" s="161">
        <f t="shared" si="2"/>
        <v>6.6666666666666666E-2</v>
      </c>
    </row>
    <row r="20" spans="1:9" s="246" customFormat="1" x14ac:dyDescent="0.6">
      <c r="A20" s="144" t="s">
        <v>587</v>
      </c>
      <c r="B20" s="26" t="s">
        <v>496</v>
      </c>
      <c r="C20" s="778" t="s">
        <v>20</v>
      </c>
      <c r="D20" s="233">
        <v>0.03</v>
      </c>
      <c r="E20" s="776">
        <v>0.05</v>
      </c>
      <c r="F20" s="32">
        <f t="shared" si="0"/>
        <v>3.15E-2</v>
      </c>
      <c r="G20" s="143">
        <v>700</v>
      </c>
      <c r="H20" s="68">
        <f t="shared" si="1"/>
        <v>22.05</v>
      </c>
      <c r="I20" s="161">
        <f t="shared" si="2"/>
        <v>1.0500000000000001E-2</v>
      </c>
    </row>
    <row r="21" spans="1:9" s="246" customFormat="1" x14ac:dyDescent="0.6">
      <c r="A21" s="141" t="s">
        <v>499</v>
      </c>
      <c r="B21" s="23" t="s">
        <v>655</v>
      </c>
      <c r="C21" s="24" t="s">
        <v>471</v>
      </c>
      <c r="D21" s="233">
        <v>0.01</v>
      </c>
      <c r="E21" s="776">
        <v>0</v>
      </c>
      <c r="F21" s="32">
        <f t="shared" si="0"/>
        <v>0.01</v>
      </c>
      <c r="G21" s="143">
        <v>7800</v>
      </c>
      <c r="H21" s="68">
        <f t="shared" si="1"/>
        <v>78</v>
      </c>
      <c r="I21" s="161">
        <f t="shared" si="2"/>
        <v>3.7142857142857144E-2</v>
      </c>
    </row>
    <row r="22" spans="1:9" s="246" customFormat="1" x14ac:dyDescent="0.6">
      <c r="A22" s="141" t="s">
        <v>472</v>
      </c>
      <c r="B22" s="26" t="s">
        <v>603</v>
      </c>
      <c r="C22" s="24" t="s">
        <v>19</v>
      </c>
      <c r="D22" s="779">
        <v>1</v>
      </c>
      <c r="E22" s="776">
        <v>0</v>
      </c>
      <c r="F22" s="32">
        <f t="shared" si="0"/>
        <v>1</v>
      </c>
      <c r="G22" s="35">
        <v>380</v>
      </c>
      <c r="H22" s="68">
        <f t="shared" si="1"/>
        <v>380</v>
      </c>
      <c r="I22" s="161">
        <f t="shared" si="2"/>
        <v>0.18095238095238095</v>
      </c>
    </row>
    <row r="23" spans="1:9" s="246" customFormat="1" ht="22.5" thickBot="1" x14ac:dyDescent="0.65">
      <c r="A23" s="146"/>
      <c r="B23" s="739"/>
      <c r="C23" s="147"/>
      <c r="D23" s="780"/>
      <c r="E23" s="270"/>
      <c r="F23" s="270"/>
      <c r="G23" s="58"/>
      <c r="H23" s="173"/>
      <c r="I23" s="196"/>
    </row>
    <row r="24" spans="1:9" s="246" customFormat="1" x14ac:dyDescent="0.6">
      <c r="A24" s="124"/>
      <c r="B24" s="165" t="s">
        <v>4</v>
      </c>
      <c r="C24" s="166"/>
      <c r="D24" s="117"/>
      <c r="E24" s="781"/>
      <c r="F24" s="781"/>
      <c r="G24" s="782"/>
      <c r="H24" s="783">
        <f>SUM(H10:H23)</f>
        <v>3001.1066711289604</v>
      </c>
      <c r="I24" s="160">
        <f>SUM(I10:I23)</f>
        <v>1.4290984148233143</v>
      </c>
    </row>
    <row r="25" spans="1:9" s="246" customFormat="1" x14ac:dyDescent="0.6">
      <c r="A25" s="124"/>
      <c r="B25" s="168" t="s">
        <v>14</v>
      </c>
      <c r="C25" s="43"/>
      <c r="D25" s="121"/>
      <c r="E25" s="784"/>
      <c r="F25" s="784"/>
      <c r="G25" s="104"/>
      <c r="H25" s="785">
        <f>H24/1</f>
        <v>3001.1066711289604</v>
      </c>
      <c r="I25" s="104"/>
    </row>
    <row r="26" spans="1:9" s="246" customFormat="1" x14ac:dyDescent="0.6">
      <c r="A26" s="124"/>
      <c r="B26" s="168" t="s">
        <v>453</v>
      </c>
      <c r="C26" s="43"/>
      <c r="D26" s="121"/>
      <c r="E26" s="784"/>
      <c r="F26" s="784"/>
      <c r="G26" s="104"/>
      <c r="H26" s="104">
        <f>G7</f>
        <v>12000</v>
      </c>
      <c r="I26" s="104"/>
    </row>
    <row r="27" spans="1:9" s="246" customFormat="1" x14ac:dyDescent="0.6">
      <c r="A27" s="124"/>
      <c r="B27" s="168" t="s">
        <v>455</v>
      </c>
      <c r="C27" s="43"/>
      <c r="D27" s="121"/>
      <c r="E27" s="784"/>
      <c r="F27" s="784"/>
      <c r="G27" s="104"/>
      <c r="H27" s="104">
        <f>H26/113.3%</f>
        <v>10591.35039717564</v>
      </c>
      <c r="I27" s="104"/>
    </row>
    <row r="28" spans="1:9" s="246" customFormat="1" x14ac:dyDescent="0.6">
      <c r="A28" s="124"/>
      <c r="B28" s="168" t="s">
        <v>16</v>
      </c>
      <c r="C28" s="43"/>
      <c r="D28" s="121"/>
      <c r="E28" s="784"/>
      <c r="F28" s="784"/>
      <c r="G28" s="104"/>
      <c r="H28" s="489">
        <f>H25/H27</f>
        <v>0.2833544881990927</v>
      </c>
      <c r="I28" s="489"/>
    </row>
    <row r="29" spans="1:9" s="246" customFormat="1" x14ac:dyDescent="0.6">
      <c r="A29" s="124"/>
      <c r="B29" s="168"/>
      <c r="C29" s="43"/>
      <c r="D29" s="121"/>
      <c r="E29" s="784"/>
      <c r="F29" s="784"/>
      <c r="G29" s="104"/>
      <c r="H29" s="785"/>
      <c r="I29" s="171"/>
    </row>
    <row r="30" spans="1:9" s="246" customFormat="1" ht="22.5" thickBot="1" x14ac:dyDescent="0.65">
      <c r="A30" s="124"/>
      <c r="B30" s="172"/>
      <c r="C30" s="147"/>
      <c r="D30" s="58"/>
      <c r="E30" s="786"/>
      <c r="F30" s="786"/>
      <c r="G30" s="268"/>
      <c r="H30" s="787"/>
      <c r="I30" s="164"/>
    </row>
    <row r="31" spans="1:9" x14ac:dyDescent="0.6">
      <c r="D31" s="77"/>
      <c r="E31" s="77"/>
      <c r="F31" s="77"/>
      <c r="G31" s="114"/>
      <c r="H31" s="115"/>
    </row>
    <row r="32" spans="1:9" x14ac:dyDescent="0.6">
      <c r="D32" s="77"/>
      <c r="E32" s="77"/>
      <c r="F32" s="77"/>
      <c r="G32" s="114"/>
      <c r="H32" s="115"/>
    </row>
    <row r="33" spans="1:10" s="246" customFormat="1" ht="22.5" thickBot="1" x14ac:dyDescent="0.65">
      <c r="A33" s="936" t="s">
        <v>0</v>
      </c>
      <c r="B33" s="936"/>
      <c r="C33" s="936"/>
      <c r="D33" s="936"/>
      <c r="E33" s="936"/>
      <c r="F33" s="936"/>
      <c r="G33" s="936"/>
      <c r="H33" s="936"/>
      <c r="I33" s="936"/>
    </row>
    <row r="34" spans="1:10" s="246" customFormat="1" x14ac:dyDescent="0.6">
      <c r="A34" s="558" t="s">
        <v>722</v>
      </c>
      <c r="B34" s="547" t="s">
        <v>895</v>
      </c>
      <c r="C34" s="547"/>
      <c r="D34" s="548"/>
      <c r="E34" s="548"/>
      <c r="F34" s="548"/>
      <c r="G34" s="548" t="s">
        <v>1</v>
      </c>
      <c r="H34" s="541" t="s">
        <v>868</v>
      </c>
      <c r="I34" s="564" t="s">
        <v>595</v>
      </c>
      <c r="J34" s="246">
        <v>4</v>
      </c>
    </row>
    <row r="35" spans="1:10" s="246" customFormat="1" x14ac:dyDescent="0.6">
      <c r="A35" s="550">
        <v>2</v>
      </c>
      <c r="B35" s="539" t="s">
        <v>5</v>
      </c>
      <c r="C35" s="539" t="s">
        <v>4</v>
      </c>
      <c r="D35" s="540" t="s">
        <v>3</v>
      </c>
      <c r="E35" s="540" t="s">
        <v>613</v>
      </c>
      <c r="F35" s="540" t="s">
        <v>614</v>
      </c>
      <c r="G35" s="540" t="s">
        <v>510</v>
      </c>
      <c r="H35" s="543" t="s">
        <v>7</v>
      </c>
      <c r="I35" s="636">
        <f>I6</f>
        <v>45574</v>
      </c>
    </row>
    <row r="36" spans="1:10" s="246" customFormat="1" ht="22.5" thickBot="1" x14ac:dyDescent="0.65">
      <c r="A36" s="551"/>
      <c r="B36" s="552"/>
      <c r="C36" s="552"/>
      <c r="D36" s="553">
        <v>1</v>
      </c>
      <c r="E36" s="553"/>
      <c r="F36" s="553"/>
      <c r="G36" s="553">
        <f>Summary!J29</f>
        <v>12000</v>
      </c>
      <c r="H36" s="633">
        <f>H57</f>
        <v>0.35115964252008036</v>
      </c>
      <c r="I36" s="555"/>
    </row>
    <row r="37" spans="1:10" s="246" customFormat="1" ht="22.5" thickBot="1" x14ac:dyDescent="0.65">
      <c r="A37" s="124"/>
      <c r="B37" s="124"/>
      <c r="C37" s="124"/>
      <c r="D37" s="125"/>
      <c r="E37" s="125"/>
      <c r="F37" s="125"/>
      <c r="G37" s="125"/>
      <c r="H37" s="126"/>
      <c r="I37" s="124"/>
    </row>
    <row r="38" spans="1:10" s="246" customFormat="1" x14ac:dyDescent="0.6">
      <c r="A38" s="194" t="s">
        <v>605</v>
      </c>
      <c r="B38" s="166" t="s">
        <v>10</v>
      </c>
      <c r="C38" s="166" t="s">
        <v>9</v>
      </c>
      <c r="D38" s="117" t="s">
        <v>8</v>
      </c>
      <c r="E38" s="117" t="s">
        <v>613</v>
      </c>
      <c r="F38" s="117" t="s">
        <v>614</v>
      </c>
      <c r="G38" s="117" t="s">
        <v>11</v>
      </c>
      <c r="H38" s="118" t="s">
        <v>12</v>
      </c>
      <c r="I38" s="195" t="s">
        <v>12</v>
      </c>
    </row>
    <row r="39" spans="1:10" s="246" customFormat="1" x14ac:dyDescent="0.6">
      <c r="A39" s="976" t="s">
        <v>584</v>
      </c>
      <c r="B39" s="977" t="s">
        <v>640</v>
      </c>
      <c r="C39" s="978" t="s">
        <v>23</v>
      </c>
      <c r="D39" s="979">
        <v>0.06</v>
      </c>
      <c r="E39" s="957">
        <v>0.28000000000000003</v>
      </c>
      <c r="F39" s="956">
        <f>D39+D39*E39</f>
        <v>7.6800000000000007E-2</v>
      </c>
      <c r="G39" s="967">
        <f>33000/1.6</f>
        <v>20625</v>
      </c>
      <c r="H39" s="959">
        <f t="shared" ref="H39:H51" si="3">F39*G39</f>
        <v>1584.0000000000002</v>
      </c>
      <c r="I39" s="980">
        <f t="shared" ref="I39:I51" si="4">H39/I$3</f>
        <v>0.75428571428571445</v>
      </c>
      <c r="J39" s="246">
        <f>+F39*1.6</f>
        <v>0.12288000000000002</v>
      </c>
    </row>
    <row r="40" spans="1:10" s="246" customFormat="1" x14ac:dyDescent="0.6">
      <c r="A40" s="144" t="s">
        <v>543</v>
      </c>
      <c r="B40" s="26" t="s">
        <v>495</v>
      </c>
      <c r="C40" s="24" t="s">
        <v>463</v>
      </c>
      <c r="D40" s="775">
        <v>0.25</v>
      </c>
      <c r="E40" s="776">
        <v>0</v>
      </c>
      <c r="F40" s="32">
        <f t="shared" ref="F40:F51" si="5">D40+D40*E40</f>
        <v>0.25</v>
      </c>
      <c r="G40" s="143">
        <v>1750</v>
      </c>
      <c r="H40" s="68">
        <f t="shared" si="3"/>
        <v>437.5</v>
      </c>
      <c r="I40" s="161">
        <f t="shared" si="4"/>
        <v>0.20833333333333334</v>
      </c>
    </row>
    <row r="41" spans="1:10" s="246" customFormat="1" x14ac:dyDescent="0.6">
      <c r="A41" s="144" t="s">
        <v>586</v>
      </c>
      <c r="B41" s="23" t="s">
        <v>615</v>
      </c>
      <c r="C41" s="777" t="s">
        <v>19</v>
      </c>
      <c r="D41" s="775">
        <v>0.05</v>
      </c>
      <c r="E41" s="776">
        <v>0.15</v>
      </c>
      <c r="F41" s="32">
        <f t="shared" si="5"/>
        <v>5.7500000000000002E-2</v>
      </c>
      <c r="G41" s="143">
        <v>3000</v>
      </c>
      <c r="H41" s="68">
        <f t="shared" si="3"/>
        <v>172.5</v>
      </c>
      <c r="I41" s="161">
        <f t="shared" si="4"/>
        <v>8.2142857142857142E-2</v>
      </c>
    </row>
    <row r="42" spans="1:10" s="246" customFormat="1" x14ac:dyDescent="0.6">
      <c r="A42" s="141" t="s">
        <v>473</v>
      </c>
      <c r="B42" s="23" t="s">
        <v>474</v>
      </c>
      <c r="C42" s="24" t="s">
        <v>471</v>
      </c>
      <c r="D42" s="775">
        <v>0.02</v>
      </c>
      <c r="E42" s="776">
        <v>0.1</v>
      </c>
      <c r="F42" s="32">
        <f t="shared" si="5"/>
        <v>2.1999999999999999E-2</v>
      </c>
      <c r="G42" s="143">
        <v>10000</v>
      </c>
      <c r="H42" s="68">
        <f t="shared" si="3"/>
        <v>220</v>
      </c>
      <c r="I42" s="161">
        <f t="shared" si="4"/>
        <v>0.10476190476190476</v>
      </c>
    </row>
    <row r="43" spans="1:10" s="246" customFormat="1" x14ac:dyDescent="0.6">
      <c r="A43" s="141" t="s">
        <v>556</v>
      </c>
      <c r="B43" s="23" t="s">
        <v>557</v>
      </c>
      <c r="C43" s="24" t="s">
        <v>20</v>
      </c>
      <c r="D43" s="775">
        <v>0.25</v>
      </c>
      <c r="E43" s="776">
        <v>0.2</v>
      </c>
      <c r="F43" s="32">
        <f t="shared" si="5"/>
        <v>0.3</v>
      </c>
      <c r="G43" s="143">
        <v>600</v>
      </c>
      <c r="H43" s="68">
        <f t="shared" si="3"/>
        <v>180</v>
      </c>
      <c r="I43" s="161">
        <f t="shared" si="4"/>
        <v>8.5714285714285715E-2</v>
      </c>
    </row>
    <row r="44" spans="1:10" s="246" customFormat="1" x14ac:dyDescent="0.6">
      <c r="A44" s="144" t="s">
        <v>568</v>
      </c>
      <c r="B44" s="26" t="s">
        <v>494</v>
      </c>
      <c r="C44" s="24" t="s">
        <v>459</v>
      </c>
      <c r="D44" s="775">
        <v>0.02</v>
      </c>
      <c r="E44" s="776">
        <v>0</v>
      </c>
      <c r="F44" s="32">
        <f t="shared" si="5"/>
        <v>0.02</v>
      </c>
      <c r="G44" s="35">
        <f>21000/4.15</f>
        <v>5060.2409638554209</v>
      </c>
      <c r="H44" s="68">
        <f t="shared" si="3"/>
        <v>101.20481927710841</v>
      </c>
      <c r="I44" s="161">
        <f t="shared" si="4"/>
        <v>4.8192771084337338E-2</v>
      </c>
    </row>
    <row r="45" spans="1:10" s="246" customFormat="1" x14ac:dyDescent="0.6">
      <c r="A45" s="141" t="s">
        <v>566</v>
      </c>
      <c r="B45" s="23" t="s">
        <v>646</v>
      </c>
      <c r="C45" s="777" t="s">
        <v>459</v>
      </c>
      <c r="D45" s="775">
        <v>0.05</v>
      </c>
      <c r="E45" s="776">
        <v>0</v>
      </c>
      <c r="F45" s="32">
        <f t="shared" si="5"/>
        <v>0.05</v>
      </c>
      <c r="G45" s="178">
        <v>3500</v>
      </c>
      <c r="H45" s="68">
        <f t="shared" si="3"/>
        <v>175</v>
      </c>
      <c r="I45" s="161">
        <f t="shared" si="4"/>
        <v>8.3333333333333329E-2</v>
      </c>
    </row>
    <row r="46" spans="1:10" s="246" customFormat="1" x14ac:dyDescent="0.6">
      <c r="A46" s="144" t="s">
        <v>570</v>
      </c>
      <c r="B46" s="23" t="s">
        <v>647</v>
      </c>
      <c r="C46" s="777" t="s">
        <v>459</v>
      </c>
      <c r="D46" s="775">
        <v>0.01</v>
      </c>
      <c r="E46" s="776">
        <v>0</v>
      </c>
      <c r="F46" s="32">
        <f t="shared" si="5"/>
        <v>0.01</v>
      </c>
      <c r="G46" s="35">
        <v>8500</v>
      </c>
      <c r="H46" s="68">
        <f t="shared" si="3"/>
        <v>85</v>
      </c>
      <c r="I46" s="161">
        <f t="shared" si="4"/>
        <v>4.0476190476190478E-2</v>
      </c>
    </row>
    <row r="47" spans="1:10" s="246" customFormat="1" x14ac:dyDescent="0.6">
      <c r="A47" s="144" t="s">
        <v>542</v>
      </c>
      <c r="B47" s="26" t="s">
        <v>612</v>
      </c>
      <c r="C47" s="24" t="s">
        <v>471</v>
      </c>
      <c r="D47" s="775">
        <f>0.01/1</f>
        <v>0.01</v>
      </c>
      <c r="E47" s="776">
        <v>0</v>
      </c>
      <c r="F47" s="32">
        <f t="shared" si="5"/>
        <v>0.01</v>
      </c>
      <c r="G47" s="35">
        <v>5800</v>
      </c>
      <c r="H47" s="68">
        <f t="shared" si="3"/>
        <v>58</v>
      </c>
      <c r="I47" s="161">
        <f t="shared" si="4"/>
        <v>2.7619047619047619E-2</v>
      </c>
    </row>
    <row r="48" spans="1:10" s="246" customFormat="1" x14ac:dyDescent="0.6">
      <c r="A48" s="141" t="s">
        <v>535</v>
      </c>
      <c r="B48" s="26" t="s">
        <v>609</v>
      </c>
      <c r="C48" s="24" t="s">
        <v>463</v>
      </c>
      <c r="D48" s="233">
        <f>5/1000</f>
        <v>5.0000000000000001E-3</v>
      </c>
      <c r="E48" s="776">
        <v>0</v>
      </c>
      <c r="F48" s="32">
        <f t="shared" si="5"/>
        <v>5.0000000000000001E-3</v>
      </c>
      <c r="G48" s="162">
        <v>14000</v>
      </c>
      <c r="H48" s="68">
        <f t="shared" si="3"/>
        <v>70</v>
      </c>
      <c r="I48" s="161">
        <f t="shared" si="4"/>
        <v>3.3333333333333333E-2</v>
      </c>
    </row>
    <row r="49" spans="1:9" s="246" customFormat="1" x14ac:dyDescent="0.6">
      <c r="A49" s="144" t="s">
        <v>587</v>
      </c>
      <c r="B49" s="26" t="s">
        <v>496</v>
      </c>
      <c r="C49" s="778" t="s">
        <v>20</v>
      </c>
      <c r="D49" s="233">
        <v>0.03</v>
      </c>
      <c r="E49" s="776">
        <v>0.05</v>
      </c>
      <c r="F49" s="32">
        <f t="shared" si="5"/>
        <v>3.15E-2</v>
      </c>
      <c r="G49" s="143">
        <v>700</v>
      </c>
      <c r="H49" s="68">
        <f t="shared" si="3"/>
        <v>22.05</v>
      </c>
      <c r="I49" s="161">
        <f t="shared" si="4"/>
        <v>1.0500000000000001E-2</v>
      </c>
    </row>
    <row r="50" spans="1:9" s="246" customFormat="1" x14ac:dyDescent="0.6">
      <c r="A50" s="141" t="s">
        <v>499</v>
      </c>
      <c r="B50" s="23" t="s">
        <v>655</v>
      </c>
      <c r="C50" s="24" t="s">
        <v>471</v>
      </c>
      <c r="D50" s="233">
        <v>0.03</v>
      </c>
      <c r="E50" s="776">
        <v>0</v>
      </c>
      <c r="F50" s="32">
        <f t="shared" si="5"/>
        <v>0.03</v>
      </c>
      <c r="G50" s="143">
        <v>7800</v>
      </c>
      <c r="H50" s="68">
        <f t="shared" si="3"/>
        <v>234</v>
      </c>
      <c r="I50" s="161">
        <f t="shared" si="4"/>
        <v>0.11142857142857143</v>
      </c>
    </row>
    <row r="51" spans="1:9" s="246" customFormat="1" x14ac:dyDescent="0.6">
      <c r="A51" s="141" t="s">
        <v>472</v>
      </c>
      <c r="B51" s="26" t="s">
        <v>603</v>
      </c>
      <c r="C51" s="24" t="s">
        <v>19</v>
      </c>
      <c r="D51" s="779">
        <v>1</v>
      </c>
      <c r="E51" s="776">
        <v>0</v>
      </c>
      <c r="F51" s="32">
        <f t="shared" si="5"/>
        <v>1</v>
      </c>
      <c r="G51" s="35">
        <v>380</v>
      </c>
      <c r="H51" s="68">
        <f t="shared" si="3"/>
        <v>380</v>
      </c>
      <c r="I51" s="161">
        <f t="shared" si="4"/>
        <v>0.18095238095238095</v>
      </c>
    </row>
    <row r="52" spans="1:9" s="246" customFormat="1" ht="22.5" thickBot="1" x14ac:dyDescent="0.65">
      <c r="A52" s="788"/>
      <c r="B52" s="184"/>
      <c r="C52" s="24"/>
      <c r="D52" s="25"/>
      <c r="E52" s="25"/>
      <c r="F52" s="32"/>
      <c r="G52" s="35"/>
      <c r="H52" s="68"/>
      <c r="I52" s="789"/>
    </row>
    <row r="53" spans="1:9" s="246" customFormat="1" x14ac:dyDescent="0.6">
      <c r="A53" s="124"/>
      <c r="B53" s="165" t="s">
        <v>4</v>
      </c>
      <c r="C53" s="166"/>
      <c r="D53" s="117"/>
      <c r="E53" s="117"/>
      <c r="F53" s="117"/>
      <c r="G53" s="117"/>
      <c r="H53" s="192">
        <f>SUM(H39:H51)</f>
        <v>3719.2548192771087</v>
      </c>
      <c r="I53" s="160">
        <f>SUM(I39:I51)</f>
        <v>1.77107372346529</v>
      </c>
    </row>
    <row r="54" spans="1:9" s="246" customFormat="1" x14ac:dyDescent="0.6">
      <c r="A54" s="124"/>
      <c r="B54" s="168" t="s">
        <v>14</v>
      </c>
      <c r="C54" s="43"/>
      <c r="D54" s="121"/>
      <c r="E54" s="121"/>
      <c r="F54" s="121"/>
      <c r="G54" s="121"/>
      <c r="H54" s="169">
        <f>H53/1</f>
        <v>3719.2548192771087</v>
      </c>
      <c r="I54" s="104"/>
    </row>
    <row r="55" spans="1:9" s="246" customFormat="1" x14ac:dyDescent="0.6">
      <c r="A55" s="124"/>
      <c r="B55" s="168" t="s">
        <v>453</v>
      </c>
      <c r="C55" s="43"/>
      <c r="D55" s="121"/>
      <c r="E55" s="121"/>
      <c r="F55" s="121"/>
      <c r="G55" s="121"/>
      <c r="H55" s="104">
        <f>G36</f>
        <v>12000</v>
      </c>
      <c r="I55" s="104"/>
    </row>
    <row r="56" spans="1:9" s="246" customFormat="1" x14ac:dyDescent="0.6">
      <c r="A56" s="124"/>
      <c r="B56" s="168" t="s">
        <v>455</v>
      </c>
      <c r="C56" s="43"/>
      <c r="D56" s="121"/>
      <c r="E56" s="121"/>
      <c r="F56" s="121"/>
      <c r="G56" s="121"/>
      <c r="H56" s="104">
        <f>H55/113.3%</f>
        <v>10591.35039717564</v>
      </c>
      <c r="I56" s="104"/>
    </row>
    <row r="57" spans="1:9" s="246" customFormat="1" x14ac:dyDescent="0.6">
      <c r="A57" s="124"/>
      <c r="B57" s="168" t="s">
        <v>16</v>
      </c>
      <c r="C57" s="43"/>
      <c r="D57" s="121"/>
      <c r="E57" s="121"/>
      <c r="F57" s="121"/>
      <c r="G57" s="121"/>
      <c r="H57" s="489">
        <f>H54/H56</f>
        <v>0.35115964252008036</v>
      </c>
      <c r="I57" s="489"/>
    </row>
    <row r="58" spans="1:9" s="246" customFormat="1" x14ac:dyDescent="0.6">
      <c r="A58" s="124"/>
      <c r="B58" s="168"/>
      <c r="C58" s="43"/>
      <c r="D58" s="121"/>
      <c r="E58" s="121"/>
      <c r="F58" s="121"/>
      <c r="G58" s="121"/>
      <c r="H58" s="169"/>
      <c r="I58" s="171"/>
    </row>
    <row r="59" spans="1:9" s="246" customFormat="1" ht="22.5" thickBot="1" x14ac:dyDescent="0.65">
      <c r="A59" s="124"/>
      <c r="B59" s="172"/>
      <c r="C59" s="147"/>
      <c r="D59" s="58"/>
      <c r="E59" s="58"/>
      <c r="F59" s="58"/>
      <c r="G59" s="58"/>
      <c r="H59" s="173"/>
      <c r="I59" s="164"/>
    </row>
    <row r="60" spans="1:9" x14ac:dyDescent="0.6">
      <c r="D60" s="77"/>
      <c r="E60" s="77"/>
      <c r="F60" s="77"/>
      <c r="G60" s="114"/>
      <c r="H60" s="115"/>
    </row>
    <row r="61" spans="1:9" x14ac:dyDescent="0.6">
      <c r="A61" s="790"/>
      <c r="D61" s="188"/>
      <c r="E61" s="188"/>
      <c r="F61" s="188"/>
      <c r="H61" s="190"/>
    </row>
    <row r="62" spans="1:9" x14ac:dyDescent="0.6">
      <c r="D62" s="77"/>
      <c r="E62" s="77"/>
      <c r="F62" s="77"/>
      <c r="G62" s="114"/>
      <c r="H62" s="115"/>
    </row>
    <row r="63" spans="1:9" s="246" customFormat="1" ht="22.5" thickBot="1" x14ac:dyDescent="0.65">
      <c r="A63" s="119"/>
      <c r="B63" s="124"/>
      <c r="C63" s="124"/>
      <c r="D63" s="125" t="s">
        <v>0</v>
      </c>
      <c r="E63" s="125"/>
      <c r="F63" s="125"/>
      <c r="G63" s="125"/>
      <c r="H63" s="126"/>
      <c r="I63" s="124"/>
    </row>
    <row r="64" spans="1:9" s="246" customFormat="1" x14ac:dyDescent="0.6">
      <c r="A64" s="558" t="s">
        <v>722</v>
      </c>
      <c r="B64" s="547" t="s">
        <v>896</v>
      </c>
      <c r="C64" s="547"/>
      <c r="D64" s="548"/>
      <c r="E64" s="548"/>
      <c r="F64" s="548"/>
      <c r="G64" s="548" t="s">
        <v>1</v>
      </c>
      <c r="H64" s="541" t="s">
        <v>868</v>
      </c>
      <c r="I64" s="564" t="s">
        <v>595</v>
      </c>
    </row>
    <row r="65" spans="1:9" s="246" customFormat="1" x14ac:dyDescent="0.6">
      <c r="A65" s="791">
        <v>3</v>
      </c>
      <c r="B65" s="539" t="s">
        <v>5</v>
      </c>
      <c r="C65" s="539" t="s">
        <v>4</v>
      </c>
      <c r="D65" s="540" t="s">
        <v>3</v>
      </c>
      <c r="E65" s="540" t="s">
        <v>613</v>
      </c>
      <c r="F65" s="540" t="s">
        <v>614</v>
      </c>
      <c r="G65" s="540" t="s">
        <v>510</v>
      </c>
      <c r="H65" s="543" t="s">
        <v>7</v>
      </c>
      <c r="I65" s="636">
        <f>I35</f>
        <v>45574</v>
      </c>
    </row>
    <row r="66" spans="1:9" s="246" customFormat="1" ht="22.5" thickBot="1" x14ac:dyDescent="0.65">
      <c r="A66" s="589"/>
      <c r="B66" s="602"/>
      <c r="C66" s="602"/>
      <c r="D66" s="553">
        <v>1</v>
      </c>
      <c r="E66" s="553"/>
      <c r="F66" s="553"/>
      <c r="G66" s="553">
        <f>Summary!J30</f>
        <v>12000</v>
      </c>
      <c r="H66" s="633">
        <f>H86</f>
        <v>0.38673010737115121</v>
      </c>
      <c r="I66" s="603"/>
    </row>
    <row r="67" spans="1:9" s="246" customFormat="1" ht="22.5" thickBot="1" x14ac:dyDescent="0.65">
      <c r="A67" s="792"/>
      <c r="B67" s="124"/>
      <c r="C67" s="124"/>
      <c r="D67" s="125"/>
      <c r="E67" s="125"/>
      <c r="F67" s="125"/>
      <c r="G67" s="125"/>
      <c r="H67" s="126"/>
      <c r="I67" s="124"/>
    </row>
    <row r="68" spans="1:9" s="246" customFormat="1" x14ac:dyDescent="0.6">
      <c r="A68" s="194" t="s">
        <v>605</v>
      </c>
      <c r="B68" s="166" t="s">
        <v>10</v>
      </c>
      <c r="C68" s="166" t="s">
        <v>9</v>
      </c>
      <c r="D68" s="117" t="s">
        <v>8</v>
      </c>
      <c r="E68" s="117" t="s">
        <v>613</v>
      </c>
      <c r="F68" s="117" t="s">
        <v>614</v>
      </c>
      <c r="G68" s="117" t="s">
        <v>11</v>
      </c>
      <c r="H68" s="118" t="s">
        <v>24</v>
      </c>
      <c r="I68" s="195" t="s">
        <v>25</v>
      </c>
    </row>
    <row r="69" spans="1:9" s="246" customFormat="1" x14ac:dyDescent="0.6">
      <c r="A69" s="144" t="s">
        <v>584</v>
      </c>
      <c r="B69" s="23" t="s">
        <v>640</v>
      </c>
      <c r="C69" s="777" t="s">
        <v>23</v>
      </c>
      <c r="D69" s="25">
        <v>0.05</v>
      </c>
      <c r="E69" s="139">
        <v>0.28000000000000003</v>
      </c>
      <c r="F69" s="32">
        <f t="shared" ref="F69:F75" si="6">D69+D69*E69</f>
        <v>6.4000000000000001E-2</v>
      </c>
      <c r="G69" s="35">
        <f>33000/1.6</f>
        <v>20625</v>
      </c>
      <c r="H69" s="68">
        <f t="shared" ref="H69:H80" si="7">F69*G69</f>
        <v>1320</v>
      </c>
      <c r="I69" s="161">
        <f t="shared" ref="I69:I80" si="8">H69/I$3</f>
        <v>0.62857142857142856</v>
      </c>
    </row>
    <row r="70" spans="1:9" s="246" customFormat="1" x14ac:dyDescent="0.6">
      <c r="A70" s="141" t="s">
        <v>472</v>
      </c>
      <c r="B70" s="26" t="s">
        <v>603</v>
      </c>
      <c r="C70" s="24" t="s">
        <v>19</v>
      </c>
      <c r="D70" s="743">
        <v>2</v>
      </c>
      <c r="E70" s="139">
        <v>0</v>
      </c>
      <c r="F70" s="32">
        <f t="shared" si="6"/>
        <v>2</v>
      </c>
      <c r="G70" s="35">
        <v>380</v>
      </c>
      <c r="H70" s="68">
        <f t="shared" si="7"/>
        <v>760</v>
      </c>
      <c r="I70" s="161">
        <f t="shared" si="8"/>
        <v>0.3619047619047619</v>
      </c>
    </row>
    <row r="71" spans="1:9" s="246" customFormat="1" x14ac:dyDescent="0.6">
      <c r="A71" s="144" t="s">
        <v>588</v>
      </c>
      <c r="B71" s="26" t="s">
        <v>493</v>
      </c>
      <c r="C71" s="24" t="s">
        <v>471</v>
      </c>
      <c r="D71" s="793">
        <v>0.01</v>
      </c>
      <c r="E71" s="139">
        <v>0.2</v>
      </c>
      <c r="F71" s="32">
        <f t="shared" si="6"/>
        <v>1.2E-2</v>
      </c>
      <c r="G71" s="143">
        <v>21000</v>
      </c>
      <c r="H71" s="68">
        <f t="shared" si="7"/>
        <v>252</v>
      </c>
      <c r="I71" s="161">
        <f t="shared" si="8"/>
        <v>0.12</v>
      </c>
    </row>
    <row r="72" spans="1:9" s="246" customFormat="1" x14ac:dyDescent="0.6">
      <c r="A72" s="144" t="s">
        <v>546</v>
      </c>
      <c r="B72" s="26" t="s">
        <v>594</v>
      </c>
      <c r="C72" s="810" t="s">
        <v>463</v>
      </c>
      <c r="D72" s="793">
        <v>0.01</v>
      </c>
      <c r="E72" s="139">
        <v>0</v>
      </c>
      <c r="F72" s="32">
        <f t="shared" si="6"/>
        <v>0.01</v>
      </c>
      <c r="G72" s="35">
        <v>6000</v>
      </c>
      <c r="H72" s="68">
        <f t="shared" si="7"/>
        <v>60</v>
      </c>
      <c r="I72" s="161">
        <f t="shared" si="8"/>
        <v>2.8571428571428571E-2</v>
      </c>
    </row>
    <row r="73" spans="1:9" s="246" customFormat="1" x14ac:dyDescent="0.6">
      <c r="A73" s="141" t="s">
        <v>473</v>
      </c>
      <c r="B73" s="23" t="s">
        <v>474</v>
      </c>
      <c r="C73" s="24" t="s">
        <v>471</v>
      </c>
      <c r="D73" s="793">
        <v>0.02</v>
      </c>
      <c r="E73" s="139">
        <v>0.1</v>
      </c>
      <c r="F73" s="32">
        <f t="shared" si="6"/>
        <v>2.1999999999999999E-2</v>
      </c>
      <c r="G73" s="143">
        <v>10000</v>
      </c>
      <c r="H73" s="68">
        <f t="shared" si="7"/>
        <v>220</v>
      </c>
      <c r="I73" s="161">
        <f t="shared" si="8"/>
        <v>0.10476190476190476</v>
      </c>
    </row>
    <row r="74" spans="1:9" s="246" customFormat="1" x14ac:dyDescent="0.6">
      <c r="A74" s="141" t="s">
        <v>475</v>
      </c>
      <c r="B74" s="23" t="s">
        <v>653</v>
      </c>
      <c r="C74" s="24" t="s">
        <v>471</v>
      </c>
      <c r="D74" s="793">
        <v>0.02</v>
      </c>
      <c r="E74" s="139">
        <v>0.08</v>
      </c>
      <c r="F74" s="32">
        <f t="shared" si="6"/>
        <v>2.1600000000000001E-2</v>
      </c>
      <c r="G74" s="143">
        <v>6000</v>
      </c>
      <c r="H74" s="68">
        <f t="shared" si="7"/>
        <v>129.6</v>
      </c>
      <c r="I74" s="161">
        <f t="shared" si="8"/>
        <v>6.1714285714285715E-2</v>
      </c>
    </row>
    <row r="75" spans="1:9" s="246" customFormat="1" x14ac:dyDescent="0.6">
      <c r="A75" s="144" t="s">
        <v>580</v>
      </c>
      <c r="B75" s="26" t="s">
        <v>488</v>
      </c>
      <c r="C75" s="24" t="s">
        <v>710</v>
      </c>
      <c r="D75" s="25">
        <v>0.5</v>
      </c>
      <c r="E75" s="139">
        <v>0</v>
      </c>
      <c r="F75" s="32">
        <f t="shared" si="6"/>
        <v>0.5</v>
      </c>
      <c r="G75" s="35">
        <f>190000/24/8</f>
        <v>989.58333333333337</v>
      </c>
      <c r="H75" s="68">
        <f t="shared" si="7"/>
        <v>494.79166666666669</v>
      </c>
      <c r="I75" s="161">
        <f t="shared" si="8"/>
        <v>0.23561507936507936</v>
      </c>
    </row>
    <row r="76" spans="1:9" s="246" customFormat="1" x14ac:dyDescent="0.6">
      <c r="A76" s="141" t="s">
        <v>499</v>
      </c>
      <c r="B76" s="23" t="s">
        <v>672</v>
      </c>
      <c r="C76" s="24" t="s">
        <v>471</v>
      </c>
      <c r="D76" s="793">
        <v>0.03</v>
      </c>
      <c r="E76" s="139">
        <v>0</v>
      </c>
      <c r="F76" s="32">
        <f t="shared" ref="F76" si="9">D76+D76*E76</f>
        <v>0.03</v>
      </c>
      <c r="G76" s="143">
        <v>7800</v>
      </c>
      <c r="H76" s="68">
        <f t="shared" ref="H76" si="10">F76*G76</f>
        <v>234</v>
      </c>
      <c r="I76" s="161">
        <f t="shared" ref="I76" si="11">H76/I$3</f>
        <v>0.11142857142857143</v>
      </c>
    </row>
    <row r="77" spans="1:9" s="246" customFormat="1" x14ac:dyDescent="0.6">
      <c r="A77" s="144" t="s">
        <v>568</v>
      </c>
      <c r="B77" s="26" t="s">
        <v>494</v>
      </c>
      <c r="C77" s="24" t="s">
        <v>459</v>
      </c>
      <c r="D77" s="25">
        <v>0.01</v>
      </c>
      <c r="E77" s="139">
        <v>0</v>
      </c>
      <c r="F77" s="32">
        <f>D77+D77*E77</f>
        <v>0.01</v>
      </c>
      <c r="G77" s="35">
        <f>21000/4.15</f>
        <v>5060.2409638554209</v>
      </c>
      <c r="H77" s="68">
        <f t="shared" si="7"/>
        <v>50.602409638554207</v>
      </c>
      <c r="I77" s="161">
        <f t="shared" si="8"/>
        <v>2.4096385542168669E-2</v>
      </c>
    </row>
    <row r="78" spans="1:9" s="246" customFormat="1" x14ac:dyDescent="0.6">
      <c r="A78" s="141" t="s">
        <v>535</v>
      </c>
      <c r="B78" s="23" t="s">
        <v>647</v>
      </c>
      <c r="C78" s="24" t="s">
        <v>459</v>
      </c>
      <c r="D78" s="25">
        <v>0.01</v>
      </c>
      <c r="E78" s="139">
        <v>0</v>
      </c>
      <c r="F78" s="32">
        <f>D78+D78*E78</f>
        <v>0.01</v>
      </c>
      <c r="G78" s="35">
        <v>8500</v>
      </c>
      <c r="H78" s="68">
        <f t="shared" si="7"/>
        <v>85</v>
      </c>
      <c r="I78" s="161">
        <f t="shared" si="8"/>
        <v>4.0476190476190478E-2</v>
      </c>
    </row>
    <row r="79" spans="1:9" s="246" customFormat="1" x14ac:dyDescent="0.6">
      <c r="A79" s="141" t="s">
        <v>535</v>
      </c>
      <c r="B79" s="26" t="s">
        <v>609</v>
      </c>
      <c r="C79" s="24" t="s">
        <v>471</v>
      </c>
      <c r="D79" s="25">
        <v>0.01</v>
      </c>
      <c r="E79" s="139">
        <v>0</v>
      </c>
      <c r="F79" s="32">
        <f>D79+D79*E79</f>
        <v>0.01</v>
      </c>
      <c r="G79" s="162">
        <v>14000</v>
      </c>
      <c r="H79" s="68">
        <f t="shared" si="7"/>
        <v>140</v>
      </c>
      <c r="I79" s="161">
        <f t="shared" si="8"/>
        <v>6.6666666666666666E-2</v>
      </c>
    </row>
    <row r="80" spans="1:9" s="246" customFormat="1" x14ac:dyDescent="0.6">
      <c r="A80" s="201">
        <v>11100028</v>
      </c>
      <c r="B80" s="26" t="s">
        <v>918</v>
      </c>
      <c r="C80" s="24" t="s">
        <v>471</v>
      </c>
      <c r="D80" s="25">
        <v>5.0000000000000001E-3</v>
      </c>
      <c r="E80" s="139">
        <v>0</v>
      </c>
      <c r="F80" s="32">
        <f>D80+D80*E80</f>
        <v>5.0000000000000001E-3</v>
      </c>
      <c r="G80" s="35">
        <v>70000</v>
      </c>
      <c r="H80" s="68">
        <f t="shared" si="7"/>
        <v>350</v>
      </c>
      <c r="I80" s="161">
        <f t="shared" si="8"/>
        <v>0.16666666666666666</v>
      </c>
    </row>
    <row r="81" spans="1:9" s="246" customFormat="1" ht="22.5" thickBot="1" x14ac:dyDescent="0.65">
      <c r="A81" s="794"/>
      <c r="B81" s="696"/>
      <c r="C81" s="695"/>
      <c r="D81" s="697"/>
      <c r="E81" s="697"/>
      <c r="F81" s="697"/>
      <c r="G81" s="697"/>
      <c r="H81" s="795"/>
      <c r="I81" s="796"/>
    </row>
    <row r="82" spans="1:9" s="246" customFormat="1" x14ac:dyDescent="0.6">
      <c r="A82" s="124"/>
      <c r="B82" s="165" t="s">
        <v>4</v>
      </c>
      <c r="C82" s="166"/>
      <c r="D82" s="117"/>
      <c r="E82" s="117"/>
      <c r="F82" s="117"/>
      <c r="G82" s="117"/>
      <c r="H82" s="207">
        <f>SUM(H69:H81)</f>
        <v>4095.9940763052205</v>
      </c>
      <c r="I82" s="208">
        <f>SUM(I69:I81)</f>
        <v>1.950473369669153</v>
      </c>
    </row>
    <row r="83" spans="1:9" s="246" customFormat="1" x14ac:dyDescent="0.6">
      <c r="A83" s="124"/>
      <c r="B83" s="168" t="s">
        <v>14</v>
      </c>
      <c r="C83" s="43"/>
      <c r="D83" s="121"/>
      <c r="E83" s="121"/>
      <c r="F83" s="121"/>
      <c r="G83" s="121"/>
      <c r="H83" s="214">
        <f>H82/1</f>
        <v>4095.9940763052205</v>
      </c>
      <c r="I83" s="104"/>
    </row>
    <row r="84" spans="1:9" s="246" customFormat="1" x14ac:dyDescent="0.6">
      <c r="A84" s="124"/>
      <c r="B84" s="168" t="s">
        <v>453</v>
      </c>
      <c r="C84" s="43"/>
      <c r="D84" s="121"/>
      <c r="E84" s="121"/>
      <c r="F84" s="121"/>
      <c r="G84" s="121"/>
      <c r="H84" s="476">
        <f>G66</f>
        <v>12000</v>
      </c>
      <c r="I84" s="476"/>
    </row>
    <row r="85" spans="1:9" s="246" customFormat="1" x14ac:dyDescent="0.6">
      <c r="A85" s="124"/>
      <c r="B85" s="168" t="s">
        <v>455</v>
      </c>
      <c r="C85" s="43"/>
      <c r="D85" s="121"/>
      <c r="E85" s="121"/>
      <c r="F85" s="121"/>
      <c r="G85" s="121"/>
      <c r="H85" s="104">
        <f>H84/113.3%</f>
        <v>10591.35039717564</v>
      </c>
      <c r="I85" s="104"/>
    </row>
    <row r="86" spans="1:9" s="246" customFormat="1" x14ac:dyDescent="0.6">
      <c r="A86" s="124"/>
      <c r="B86" s="168" t="s">
        <v>16</v>
      </c>
      <c r="C86" s="43"/>
      <c r="D86" s="121"/>
      <c r="E86" s="121"/>
      <c r="F86" s="121"/>
      <c r="G86" s="121"/>
      <c r="H86" s="566">
        <f>H83/H85</f>
        <v>0.38673010737115121</v>
      </c>
      <c r="I86" s="566"/>
    </row>
    <row r="87" spans="1:9" s="246" customFormat="1" x14ac:dyDescent="0.6">
      <c r="A87" s="124"/>
      <c r="B87" s="168"/>
      <c r="C87" s="43"/>
      <c r="D87" s="121"/>
      <c r="E87" s="121"/>
      <c r="F87" s="121"/>
      <c r="G87" s="121"/>
      <c r="H87" s="169"/>
      <c r="I87" s="171"/>
    </row>
    <row r="88" spans="1:9" s="246" customFormat="1" ht="22.5" thickBot="1" x14ac:dyDescent="0.65">
      <c r="A88" s="124"/>
      <c r="B88" s="172"/>
      <c r="C88" s="147"/>
      <c r="D88" s="58"/>
      <c r="E88" s="58"/>
      <c r="F88" s="58"/>
      <c r="G88" s="58"/>
      <c r="H88" s="173"/>
      <c r="I88" s="164"/>
    </row>
    <row r="89" spans="1:9" s="246" customFormat="1" x14ac:dyDescent="0.6">
      <c r="A89" s="124"/>
      <c r="B89" s="119"/>
      <c r="C89" s="119"/>
      <c r="D89" s="797"/>
      <c r="E89" s="797"/>
      <c r="F89" s="797"/>
      <c r="G89" s="798"/>
      <c r="H89" s="799"/>
      <c r="I89" s="119"/>
    </row>
    <row r="90" spans="1:9" s="246" customFormat="1" ht="22.5" thickBot="1" x14ac:dyDescent="0.65">
      <c r="A90" s="119"/>
      <c r="B90" s="154"/>
      <c r="C90" s="154"/>
      <c r="D90" s="155" t="s">
        <v>0</v>
      </c>
      <c r="E90" s="155"/>
      <c r="F90" s="155"/>
      <c r="G90" s="125"/>
      <c r="H90" s="126"/>
      <c r="I90" s="124"/>
    </row>
    <row r="91" spans="1:9" s="246" customFormat="1" x14ac:dyDescent="0.6">
      <c r="A91" s="537" t="s">
        <v>722</v>
      </c>
      <c r="B91" s="539" t="s">
        <v>897</v>
      </c>
      <c r="C91" s="539"/>
      <c r="D91" s="540"/>
      <c r="E91" s="540"/>
      <c r="F91" s="540"/>
      <c r="G91" s="540" t="s">
        <v>1</v>
      </c>
      <c r="H91" s="541" t="s">
        <v>868</v>
      </c>
      <c r="I91" s="564" t="s">
        <v>595</v>
      </c>
    </row>
    <row r="92" spans="1:9" s="246" customFormat="1" x14ac:dyDescent="0.6">
      <c r="A92" s="542">
        <v>4</v>
      </c>
      <c r="B92" s="542" t="s">
        <v>5</v>
      </c>
      <c r="C92" s="542" t="s">
        <v>4</v>
      </c>
      <c r="D92" s="540" t="s">
        <v>3</v>
      </c>
      <c r="E92" s="540" t="s">
        <v>613</v>
      </c>
      <c r="F92" s="540" t="s">
        <v>614</v>
      </c>
      <c r="G92" s="540" t="s">
        <v>6</v>
      </c>
      <c r="H92" s="543" t="s">
        <v>7</v>
      </c>
      <c r="I92" s="639">
        <f>I65</f>
        <v>45574</v>
      </c>
    </row>
    <row r="93" spans="1:9" s="246" customFormat="1" x14ac:dyDescent="0.6">
      <c r="A93" s="542"/>
      <c r="B93" s="544"/>
      <c r="C93" s="544"/>
      <c r="D93" s="540">
        <v>1</v>
      </c>
      <c r="E93" s="540"/>
      <c r="F93" s="540"/>
      <c r="G93" s="540">
        <f>Summary!J31</f>
        <v>12000</v>
      </c>
      <c r="H93" s="640">
        <f>H116</f>
        <v>0.39187149722687042</v>
      </c>
      <c r="I93" s="545"/>
    </row>
    <row r="94" spans="1:9" s="246" customFormat="1" ht="22.5" thickBot="1" x14ac:dyDescent="0.65">
      <c r="A94" s="800"/>
      <c r="B94" s="801"/>
      <c r="C94" s="801"/>
      <c r="D94" s="802"/>
      <c r="E94" s="802"/>
      <c r="F94" s="802"/>
      <c r="G94" s="802"/>
      <c r="H94" s="803"/>
      <c r="I94" s="801"/>
    </row>
    <row r="95" spans="1:9" s="246" customFormat="1" x14ac:dyDescent="0.6">
      <c r="A95" s="194" t="s">
        <v>605</v>
      </c>
      <c r="B95" s="166" t="s">
        <v>10</v>
      </c>
      <c r="C95" s="166" t="s">
        <v>9</v>
      </c>
      <c r="D95" s="117" t="s">
        <v>8</v>
      </c>
      <c r="E95" s="117" t="s">
        <v>613</v>
      </c>
      <c r="F95" s="117" t="s">
        <v>614</v>
      </c>
      <c r="G95" s="117" t="s">
        <v>11</v>
      </c>
      <c r="H95" s="118" t="s">
        <v>24</v>
      </c>
      <c r="I95" s="195" t="s">
        <v>25</v>
      </c>
    </row>
    <row r="96" spans="1:9" s="246" customFormat="1" x14ac:dyDescent="0.6">
      <c r="A96" s="141" t="s">
        <v>469</v>
      </c>
      <c r="B96" s="184" t="s">
        <v>464</v>
      </c>
      <c r="C96" s="24" t="s">
        <v>23</v>
      </c>
      <c r="D96" s="25">
        <v>0.06</v>
      </c>
      <c r="E96" s="139">
        <v>0.34</v>
      </c>
      <c r="F96" s="32">
        <f t="shared" ref="F96:F101" si="12">D96+D96*E96</f>
        <v>8.0399999999999999E-2</v>
      </c>
      <c r="G96" s="35">
        <f>22000/1.62</f>
        <v>13580.246913580246</v>
      </c>
      <c r="H96" s="68">
        <f t="shared" ref="H96:H110" si="13">F96*G96</f>
        <v>1091.8518518518517</v>
      </c>
      <c r="I96" s="161">
        <f t="shared" ref="I96:I110" si="14">H96/I$3</f>
        <v>0.5199294532627865</v>
      </c>
    </row>
    <row r="97" spans="1:9" s="246" customFormat="1" x14ac:dyDescent="0.6">
      <c r="A97" s="141" t="s">
        <v>472</v>
      </c>
      <c r="B97" s="26" t="s">
        <v>603</v>
      </c>
      <c r="C97" s="24" t="s">
        <v>19</v>
      </c>
      <c r="D97" s="743">
        <v>2</v>
      </c>
      <c r="E97" s="139">
        <v>0</v>
      </c>
      <c r="F97" s="32">
        <f t="shared" si="12"/>
        <v>2</v>
      </c>
      <c r="G97" s="35">
        <v>380</v>
      </c>
      <c r="H97" s="68">
        <f t="shared" si="13"/>
        <v>760</v>
      </c>
      <c r="I97" s="161">
        <f t="shared" si="14"/>
        <v>0.3619047619047619</v>
      </c>
    </row>
    <row r="98" spans="1:9" s="246" customFormat="1" x14ac:dyDescent="0.6">
      <c r="A98" s="144" t="s">
        <v>588</v>
      </c>
      <c r="B98" s="26" t="s">
        <v>493</v>
      </c>
      <c r="C98" s="24" t="s">
        <v>471</v>
      </c>
      <c r="D98" s="793">
        <v>0.01</v>
      </c>
      <c r="E98" s="139">
        <v>0.2</v>
      </c>
      <c r="F98" s="32">
        <f t="shared" si="12"/>
        <v>1.2E-2</v>
      </c>
      <c r="G98" s="143">
        <v>21000</v>
      </c>
      <c r="H98" s="68">
        <f t="shared" si="13"/>
        <v>252</v>
      </c>
      <c r="I98" s="161">
        <f t="shared" si="14"/>
        <v>0.12</v>
      </c>
    </row>
    <row r="99" spans="1:9" s="246" customFormat="1" x14ac:dyDescent="0.6">
      <c r="A99" s="141" t="s">
        <v>473</v>
      </c>
      <c r="B99" s="23" t="s">
        <v>474</v>
      </c>
      <c r="C99" s="24" t="s">
        <v>471</v>
      </c>
      <c r="D99" s="793">
        <v>0.02</v>
      </c>
      <c r="E99" s="139">
        <v>0.1</v>
      </c>
      <c r="F99" s="32">
        <f t="shared" si="12"/>
        <v>2.1999999999999999E-2</v>
      </c>
      <c r="G99" s="143">
        <v>10000</v>
      </c>
      <c r="H99" s="68">
        <f t="shared" si="13"/>
        <v>220</v>
      </c>
      <c r="I99" s="161">
        <f t="shared" si="14"/>
        <v>0.10476190476190476</v>
      </c>
    </row>
    <row r="100" spans="1:9" s="246" customFormat="1" x14ac:dyDescent="0.6">
      <c r="A100" s="141" t="s">
        <v>475</v>
      </c>
      <c r="B100" s="23" t="s">
        <v>653</v>
      </c>
      <c r="C100" s="24" t="s">
        <v>471</v>
      </c>
      <c r="D100" s="793">
        <v>0.02</v>
      </c>
      <c r="E100" s="139">
        <v>0.08</v>
      </c>
      <c r="F100" s="32">
        <f t="shared" si="12"/>
        <v>2.1600000000000001E-2</v>
      </c>
      <c r="G100" s="143">
        <v>6000</v>
      </c>
      <c r="H100" s="68">
        <f t="shared" si="13"/>
        <v>129.6</v>
      </c>
      <c r="I100" s="161">
        <f t="shared" si="14"/>
        <v>6.1714285714285715E-2</v>
      </c>
    </row>
    <row r="101" spans="1:9" s="246" customFormat="1" x14ac:dyDescent="0.6">
      <c r="A101" s="144" t="s">
        <v>580</v>
      </c>
      <c r="B101" s="26" t="s">
        <v>488</v>
      </c>
      <c r="C101" s="24" t="s">
        <v>598</v>
      </c>
      <c r="D101" s="25">
        <v>0.5</v>
      </c>
      <c r="E101" s="139">
        <v>0</v>
      </c>
      <c r="F101" s="32">
        <f t="shared" si="12"/>
        <v>0.5</v>
      </c>
      <c r="G101" s="35">
        <f>190000/24/8</f>
        <v>989.58333333333337</v>
      </c>
      <c r="H101" s="68">
        <f t="shared" si="13"/>
        <v>494.79166666666669</v>
      </c>
      <c r="I101" s="161">
        <f t="shared" si="14"/>
        <v>0.23561507936507936</v>
      </c>
    </row>
    <row r="102" spans="1:9" s="246" customFormat="1" x14ac:dyDescent="0.6">
      <c r="A102" s="141" t="s">
        <v>499</v>
      </c>
      <c r="B102" s="23" t="s">
        <v>655</v>
      </c>
      <c r="C102" s="24" t="s">
        <v>471</v>
      </c>
      <c r="D102" s="793">
        <v>0.02</v>
      </c>
      <c r="E102" s="139">
        <v>0</v>
      </c>
      <c r="F102" s="32">
        <v>0.02</v>
      </c>
      <c r="G102" s="143">
        <v>7800</v>
      </c>
      <c r="H102" s="68">
        <f t="shared" si="13"/>
        <v>156</v>
      </c>
      <c r="I102" s="161">
        <f t="shared" si="14"/>
        <v>7.4285714285714288E-2</v>
      </c>
    </row>
    <row r="103" spans="1:9" s="246" customFormat="1" x14ac:dyDescent="0.6">
      <c r="A103" s="144" t="s">
        <v>568</v>
      </c>
      <c r="B103" s="26" t="s">
        <v>494</v>
      </c>
      <c r="C103" s="24" t="s">
        <v>459</v>
      </c>
      <c r="D103" s="25">
        <v>0.02</v>
      </c>
      <c r="E103" s="139">
        <v>0</v>
      </c>
      <c r="F103" s="32">
        <f t="shared" ref="F103:F110" si="15">D103+D103*E103</f>
        <v>0.02</v>
      </c>
      <c r="G103" s="35">
        <f>21000/4.15</f>
        <v>5060.2409638554209</v>
      </c>
      <c r="H103" s="68">
        <f t="shared" si="13"/>
        <v>101.20481927710841</v>
      </c>
      <c r="I103" s="161">
        <f t="shared" si="14"/>
        <v>4.8192771084337338E-2</v>
      </c>
    </row>
    <row r="104" spans="1:9" s="246" customFormat="1" x14ac:dyDescent="0.6">
      <c r="A104" s="141" t="s">
        <v>535</v>
      </c>
      <c r="B104" s="23" t="s">
        <v>647</v>
      </c>
      <c r="C104" s="24" t="s">
        <v>471</v>
      </c>
      <c r="D104" s="25">
        <v>0.01</v>
      </c>
      <c r="E104" s="139">
        <v>0</v>
      </c>
      <c r="F104" s="32">
        <f t="shared" si="15"/>
        <v>0.01</v>
      </c>
      <c r="G104" s="35">
        <v>8500</v>
      </c>
      <c r="H104" s="68">
        <f t="shared" si="13"/>
        <v>85</v>
      </c>
      <c r="I104" s="161">
        <f t="shared" si="14"/>
        <v>4.0476190476190478E-2</v>
      </c>
    </row>
    <row r="105" spans="1:9" s="246" customFormat="1" x14ac:dyDescent="0.6">
      <c r="A105" s="141" t="s">
        <v>535</v>
      </c>
      <c r="B105" s="26" t="s">
        <v>609</v>
      </c>
      <c r="C105" s="24" t="s">
        <v>471</v>
      </c>
      <c r="D105" s="25">
        <v>0.01</v>
      </c>
      <c r="E105" s="139">
        <v>0</v>
      </c>
      <c r="F105" s="32">
        <f t="shared" si="15"/>
        <v>0.01</v>
      </c>
      <c r="G105" s="162">
        <v>14000</v>
      </c>
      <c r="H105" s="68">
        <f t="shared" si="13"/>
        <v>140</v>
      </c>
      <c r="I105" s="161">
        <f t="shared" si="14"/>
        <v>6.6666666666666666E-2</v>
      </c>
    </row>
    <row r="106" spans="1:9" s="246" customFormat="1" x14ac:dyDescent="0.6">
      <c r="A106" s="201">
        <v>11100028</v>
      </c>
      <c r="B106" s="26" t="s">
        <v>917</v>
      </c>
      <c r="C106" s="24" t="s">
        <v>471</v>
      </c>
      <c r="D106" s="25">
        <v>5.0000000000000001E-3</v>
      </c>
      <c r="E106" s="139">
        <v>0</v>
      </c>
      <c r="F106" s="32">
        <f t="shared" si="15"/>
        <v>5.0000000000000001E-3</v>
      </c>
      <c r="G106" s="35">
        <v>70000</v>
      </c>
      <c r="H106" s="68">
        <f t="shared" si="13"/>
        <v>350</v>
      </c>
      <c r="I106" s="161">
        <f t="shared" si="14"/>
        <v>0.16666666666666666</v>
      </c>
    </row>
    <row r="107" spans="1:9" s="246" customFormat="1" x14ac:dyDescent="0.6">
      <c r="A107" s="804"/>
      <c r="B107" s="23" t="s">
        <v>637</v>
      </c>
      <c r="C107" s="24" t="s">
        <v>20</v>
      </c>
      <c r="D107" s="32">
        <v>0.02</v>
      </c>
      <c r="E107" s="136">
        <v>0</v>
      </c>
      <c r="F107" s="32">
        <f t="shared" si="15"/>
        <v>0.02</v>
      </c>
      <c r="G107" s="39">
        <v>500</v>
      </c>
      <c r="H107" s="68">
        <f t="shared" si="13"/>
        <v>10</v>
      </c>
      <c r="I107" s="160">
        <f t="shared" si="14"/>
        <v>4.7619047619047623E-3</v>
      </c>
    </row>
    <row r="108" spans="1:9" s="246" customFormat="1" x14ac:dyDescent="0.6">
      <c r="A108" s="141" t="s">
        <v>484</v>
      </c>
      <c r="B108" s="23" t="s">
        <v>625</v>
      </c>
      <c r="C108" s="24" t="s">
        <v>471</v>
      </c>
      <c r="D108" s="25">
        <v>0.03</v>
      </c>
      <c r="E108" s="139">
        <v>0</v>
      </c>
      <c r="F108" s="32">
        <f t="shared" si="15"/>
        <v>0.03</v>
      </c>
      <c r="G108" s="143">
        <v>7000</v>
      </c>
      <c r="H108" s="68">
        <f t="shared" si="13"/>
        <v>210</v>
      </c>
      <c r="I108" s="161">
        <f t="shared" si="14"/>
        <v>0.1</v>
      </c>
    </row>
    <row r="109" spans="1:9" s="246" customFormat="1" x14ac:dyDescent="0.6">
      <c r="A109" s="138"/>
      <c r="B109" s="23" t="s">
        <v>601</v>
      </c>
      <c r="C109" s="24" t="s">
        <v>19</v>
      </c>
      <c r="D109" s="25">
        <v>0.1</v>
      </c>
      <c r="E109" s="139">
        <v>0</v>
      </c>
      <c r="F109" s="32">
        <f t="shared" si="15"/>
        <v>0.1</v>
      </c>
      <c r="G109" s="35">
        <v>800</v>
      </c>
      <c r="H109" s="68">
        <f t="shared" si="13"/>
        <v>80</v>
      </c>
      <c r="I109" s="161">
        <f t="shared" si="14"/>
        <v>3.8095238095238099E-2</v>
      </c>
    </row>
    <row r="110" spans="1:9" s="246" customFormat="1" x14ac:dyDescent="0.6">
      <c r="A110" s="184"/>
      <c r="B110" s="805" t="s">
        <v>652</v>
      </c>
      <c r="C110" s="24" t="s">
        <v>471</v>
      </c>
      <c r="D110" s="25">
        <v>0.01</v>
      </c>
      <c r="E110" s="139">
        <v>0</v>
      </c>
      <c r="F110" s="32">
        <f t="shared" si="15"/>
        <v>0.01</v>
      </c>
      <c r="G110" s="35">
        <v>7000</v>
      </c>
      <c r="H110" s="68">
        <f t="shared" si="13"/>
        <v>70</v>
      </c>
      <c r="I110" s="161">
        <f t="shared" si="14"/>
        <v>3.3333333333333333E-2</v>
      </c>
    </row>
    <row r="111" spans="1:9" s="246" customFormat="1" ht="22.5" thickBot="1" x14ac:dyDescent="0.65">
      <c r="A111" s="119"/>
      <c r="B111" s="806"/>
      <c r="C111" s="31"/>
      <c r="D111" s="32"/>
      <c r="E111" s="136"/>
      <c r="F111" s="32"/>
      <c r="G111" s="39"/>
      <c r="H111" s="202"/>
      <c r="I111" s="160"/>
    </row>
    <row r="112" spans="1:9" s="246" customFormat="1" x14ac:dyDescent="0.6">
      <c r="A112" s="203"/>
      <c r="B112" s="204" t="s">
        <v>4</v>
      </c>
      <c r="C112" s="205"/>
      <c r="D112" s="206"/>
      <c r="E112" s="206"/>
      <c r="F112" s="206"/>
      <c r="G112" s="206"/>
      <c r="H112" s="207">
        <f>SUM(H96:H110)</f>
        <v>4150.4483377956267</v>
      </c>
      <c r="I112" s="208">
        <f>SUM(I96:I110)</f>
        <v>1.9764039703788701</v>
      </c>
    </row>
    <row r="113" spans="1:9" s="246" customFormat="1" x14ac:dyDescent="0.6">
      <c r="A113" s="209"/>
      <c r="B113" s="210" t="s">
        <v>14</v>
      </c>
      <c r="C113" s="211"/>
      <c r="D113" s="212"/>
      <c r="E113" s="212"/>
      <c r="F113" s="213"/>
      <c r="G113" s="212"/>
      <c r="H113" s="214">
        <f>H112/1</f>
        <v>4150.4483377956267</v>
      </c>
      <c r="I113" s="104"/>
    </row>
    <row r="114" spans="1:9" s="246" customFormat="1" x14ac:dyDescent="0.6">
      <c r="A114" s="209"/>
      <c r="B114" s="210" t="s">
        <v>453</v>
      </c>
      <c r="C114" s="211"/>
      <c r="D114" s="212"/>
      <c r="E114" s="212"/>
      <c r="F114" s="212"/>
      <c r="G114" s="212"/>
      <c r="H114" s="476">
        <f>G93</f>
        <v>12000</v>
      </c>
      <c r="I114" s="476"/>
    </row>
    <row r="115" spans="1:9" s="246" customFormat="1" x14ac:dyDescent="0.6">
      <c r="A115" s="209"/>
      <c r="B115" s="168" t="s">
        <v>455</v>
      </c>
      <c r="C115" s="211"/>
      <c r="D115" s="212"/>
      <c r="E115" s="212"/>
      <c r="F115" s="212"/>
      <c r="G115" s="212"/>
      <c r="H115" s="104">
        <f>H114/113.3%</f>
        <v>10591.35039717564</v>
      </c>
      <c r="I115" s="104"/>
    </row>
    <row r="116" spans="1:9" s="246" customFormat="1" x14ac:dyDescent="0.6">
      <c r="A116" s="209"/>
      <c r="B116" s="210" t="s">
        <v>16</v>
      </c>
      <c r="C116" s="211"/>
      <c r="D116" s="212"/>
      <c r="E116" s="212"/>
      <c r="F116" s="212"/>
      <c r="G116" s="212"/>
      <c r="H116" s="566">
        <f>H113/H115</f>
        <v>0.39187149722687042</v>
      </c>
      <c r="I116" s="566"/>
    </row>
    <row r="117" spans="1:9" s="246" customFormat="1" x14ac:dyDescent="0.6">
      <c r="A117" s="209"/>
      <c r="B117" s="210"/>
      <c r="C117" s="211"/>
      <c r="D117" s="212"/>
      <c r="E117" s="212"/>
      <c r="F117" s="212"/>
      <c r="G117" s="212"/>
      <c r="H117" s="214"/>
      <c r="I117" s="215"/>
    </row>
    <row r="118" spans="1:9" s="246" customFormat="1" ht="22.5" thickBot="1" x14ac:dyDescent="0.65">
      <c r="A118" s="209"/>
      <c r="B118" s="216"/>
      <c r="C118" s="217"/>
      <c r="D118" s="218"/>
      <c r="E118" s="218"/>
      <c r="F118" s="218"/>
      <c r="G118" s="218"/>
      <c r="H118" s="219"/>
      <c r="I118" s="220"/>
    </row>
    <row r="119" spans="1:9" ht="22.5" thickBot="1" x14ac:dyDescent="0.65">
      <c r="A119" s="302"/>
      <c r="D119" s="77"/>
      <c r="E119" s="77"/>
      <c r="G119" s="114"/>
      <c r="H119" s="115"/>
    </row>
    <row r="120" spans="1:9" s="246" customFormat="1" x14ac:dyDescent="0.6">
      <c r="A120" s="558" t="s">
        <v>720</v>
      </c>
      <c r="B120" s="547" t="s">
        <v>898</v>
      </c>
      <c r="C120" s="547"/>
      <c r="D120" s="548"/>
      <c r="E120" s="548"/>
      <c r="F120" s="548"/>
      <c r="G120" s="548" t="s">
        <v>1</v>
      </c>
      <c r="H120" s="541" t="s">
        <v>868</v>
      </c>
      <c r="I120" s="564" t="s">
        <v>595</v>
      </c>
    </row>
    <row r="121" spans="1:9" s="246" customFormat="1" x14ac:dyDescent="0.6">
      <c r="A121" s="550">
        <v>5</v>
      </c>
      <c r="B121" s="539" t="s">
        <v>5</v>
      </c>
      <c r="C121" s="539" t="s">
        <v>4</v>
      </c>
      <c r="D121" s="540" t="s">
        <v>3</v>
      </c>
      <c r="E121" s="540" t="s">
        <v>613</v>
      </c>
      <c r="F121" s="540" t="s">
        <v>614</v>
      </c>
      <c r="G121" s="540" t="s">
        <v>510</v>
      </c>
      <c r="H121" s="543" t="s">
        <v>7</v>
      </c>
      <c r="I121" s="636">
        <f>I92</f>
        <v>45574</v>
      </c>
    </row>
    <row r="122" spans="1:9" s="246" customFormat="1" ht="22.5" thickBot="1" x14ac:dyDescent="0.65">
      <c r="A122" s="551"/>
      <c r="B122" s="552"/>
      <c r="C122" s="552"/>
      <c r="D122" s="553">
        <v>1</v>
      </c>
      <c r="E122" s="553"/>
      <c r="F122" s="553"/>
      <c r="G122" s="553">
        <f>Summary!J32</f>
        <v>12000</v>
      </c>
      <c r="H122" s="633">
        <f>H143</f>
        <v>0.38428169171686749</v>
      </c>
      <c r="I122" s="555"/>
    </row>
    <row r="123" spans="1:9" s="246" customFormat="1" ht="22.5" thickBot="1" x14ac:dyDescent="0.65">
      <c r="A123" s="124"/>
      <c r="B123" s="124"/>
      <c r="C123" s="124"/>
      <c r="D123" s="125"/>
      <c r="E123" s="125"/>
      <c r="F123" s="125"/>
      <c r="G123" s="125"/>
      <c r="H123" s="126"/>
      <c r="I123" s="124"/>
    </row>
    <row r="124" spans="1:9" s="246" customFormat="1" x14ac:dyDescent="0.6">
      <c r="A124" s="194" t="s">
        <v>605</v>
      </c>
      <c r="B124" s="166" t="s">
        <v>10</v>
      </c>
      <c r="C124" s="166" t="s">
        <v>9</v>
      </c>
      <c r="D124" s="117" t="s">
        <v>8</v>
      </c>
      <c r="E124" s="117" t="s">
        <v>613</v>
      </c>
      <c r="F124" s="117" t="s">
        <v>614</v>
      </c>
      <c r="G124" s="117" t="s">
        <v>11</v>
      </c>
      <c r="H124" s="118" t="s">
        <v>12</v>
      </c>
      <c r="I124" s="195" t="s">
        <v>12</v>
      </c>
    </row>
    <row r="125" spans="1:9" s="246" customFormat="1" x14ac:dyDescent="0.6">
      <c r="A125" s="144" t="s">
        <v>584</v>
      </c>
      <c r="B125" s="23" t="s">
        <v>670</v>
      </c>
      <c r="C125" s="777" t="s">
        <v>471</v>
      </c>
      <c r="D125" s="775">
        <v>0.05</v>
      </c>
      <c r="E125" s="139">
        <v>0.35</v>
      </c>
      <c r="F125" s="32">
        <f t="shared" ref="F125:F137" si="16">D125+D125*E125</f>
        <v>6.7500000000000004E-2</v>
      </c>
      <c r="G125" s="143">
        <v>22000</v>
      </c>
      <c r="H125" s="68">
        <f t="shared" ref="H125:H137" si="17">F125*G125</f>
        <v>1485</v>
      </c>
      <c r="I125" s="161">
        <f t="shared" ref="I125:I137" si="18">H125/I$3</f>
        <v>0.70714285714285718</v>
      </c>
    </row>
    <row r="126" spans="1:9" s="246" customFormat="1" x14ac:dyDescent="0.6">
      <c r="A126" s="144" t="s">
        <v>543</v>
      </c>
      <c r="B126" s="26" t="s">
        <v>676</v>
      </c>
      <c r="C126" s="24" t="s">
        <v>463</v>
      </c>
      <c r="D126" s="775">
        <v>0.5</v>
      </c>
      <c r="E126" s="776">
        <v>0</v>
      </c>
      <c r="F126" s="32">
        <f t="shared" si="16"/>
        <v>0.5</v>
      </c>
      <c r="G126" s="143">
        <v>1500</v>
      </c>
      <c r="H126" s="68">
        <f t="shared" si="17"/>
        <v>750</v>
      </c>
      <c r="I126" s="161">
        <f t="shared" si="18"/>
        <v>0.35714285714285715</v>
      </c>
    </row>
    <row r="127" spans="1:9" s="246" customFormat="1" x14ac:dyDescent="0.6">
      <c r="A127" s="144" t="s">
        <v>586</v>
      </c>
      <c r="B127" s="23" t="s">
        <v>615</v>
      </c>
      <c r="C127" s="777" t="s">
        <v>19</v>
      </c>
      <c r="D127" s="775">
        <v>0.1</v>
      </c>
      <c r="E127" s="776">
        <v>0.15</v>
      </c>
      <c r="F127" s="32">
        <f t="shared" si="16"/>
        <v>0.115</v>
      </c>
      <c r="G127" s="143">
        <v>3000</v>
      </c>
      <c r="H127" s="68">
        <f t="shared" si="17"/>
        <v>345</v>
      </c>
      <c r="I127" s="161">
        <f t="shared" si="18"/>
        <v>0.16428571428571428</v>
      </c>
    </row>
    <row r="128" spans="1:9" s="246" customFormat="1" x14ac:dyDescent="0.6">
      <c r="A128" s="141" t="s">
        <v>473</v>
      </c>
      <c r="B128" s="23" t="s">
        <v>474</v>
      </c>
      <c r="C128" s="24" t="s">
        <v>471</v>
      </c>
      <c r="D128" s="775">
        <v>0.01</v>
      </c>
      <c r="E128" s="776">
        <v>0.1</v>
      </c>
      <c r="F128" s="32">
        <f t="shared" si="16"/>
        <v>1.0999999999999999E-2</v>
      </c>
      <c r="G128" s="143">
        <v>10000</v>
      </c>
      <c r="H128" s="68">
        <f t="shared" si="17"/>
        <v>110</v>
      </c>
      <c r="I128" s="161">
        <f t="shared" si="18"/>
        <v>5.2380952380952382E-2</v>
      </c>
    </row>
    <row r="129" spans="1:9" s="246" customFormat="1" x14ac:dyDescent="0.6">
      <c r="A129" s="141" t="s">
        <v>556</v>
      </c>
      <c r="B129" s="23" t="s">
        <v>557</v>
      </c>
      <c r="C129" s="24" t="s">
        <v>20</v>
      </c>
      <c r="D129" s="775">
        <v>0.5</v>
      </c>
      <c r="E129" s="776">
        <v>0.2</v>
      </c>
      <c r="F129" s="32">
        <f t="shared" si="16"/>
        <v>0.6</v>
      </c>
      <c r="G129" s="143">
        <v>600</v>
      </c>
      <c r="H129" s="68">
        <f t="shared" si="17"/>
        <v>360</v>
      </c>
      <c r="I129" s="161">
        <f t="shared" si="18"/>
        <v>0.17142857142857143</v>
      </c>
    </row>
    <row r="130" spans="1:9" s="246" customFormat="1" x14ac:dyDescent="0.6">
      <c r="A130" s="144" t="s">
        <v>568</v>
      </c>
      <c r="B130" s="26" t="s">
        <v>494</v>
      </c>
      <c r="C130" s="24" t="s">
        <v>459</v>
      </c>
      <c r="D130" s="775">
        <v>0.05</v>
      </c>
      <c r="E130" s="776">
        <v>0</v>
      </c>
      <c r="F130" s="32">
        <f t="shared" si="16"/>
        <v>0.05</v>
      </c>
      <c r="G130" s="35">
        <f>21000/4.15</f>
        <v>5060.2409638554209</v>
      </c>
      <c r="H130" s="68">
        <f t="shared" si="17"/>
        <v>253.01204819277106</v>
      </c>
      <c r="I130" s="161">
        <f t="shared" si="18"/>
        <v>0.12048192771084336</v>
      </c>
    </row>
    <row r="131" spans="1:9" s="246" customFormat="1" x14ac:dyDescent="0.6">
      <c r="A131" s="141" t="s">
        <v>566</v>
      </c>
      <c r="B131" s="23" t="s">
        <v>646</v>
      </c>
      <c r="C131" s="777" t="s">
        <v>459</v>
      </c>
      <c r="D131" s="775">
        <v>0.01</v>
      </c>
      <c r="E131" s="776">
        <v>0</v>
      </c>
      <c r="F131" s="32">
        <f t="shared" si="16"/>
        <v>0.01</v>
      </c>
      <c r="G131" s="178">
        <v>3500</v>
      </c>
      <c r="H131" s="68">
        <f t="shared" si="17"/>
        <v>35</v>
      </c>
      <c r="I131" s="161">
        <f t="shared" si="18"/>
        <v>1.6666666666666666E-2</v>
      </c>
    </row>
    <row r="132" spans="1:9" s="246" customFormat="1" x14ac:dyDescent="0.6">
      <c r="A132" s="144" t="s">
        <v>570</v>
      </c>
      <c r="B132" s="23" t="s">
        <v>647</v>
      </c>
      <c r="C132" s="777" t="s">
        <v>459</v>
      </c>
      <c r="D132" s="775">
        <v>0.01</v>
      </c>
      <c r="E132" s="776">
        <v>0</v>
      </c>
      <c r="F132" s="32">
        <f t="shared" si="16"/>
        <v>0.01</v>
      </c>
      <c r="G132" s="35">
        <v>8500</v>
      </c>
      <c r="H132" s="68">
        <f t="shared" si="17"/>
        <v>85</v>
      </c>
      <c r="I132" s="161">
        <f t="shared" si="18"/>
        <v>4.0476190476190478E-2</v>
      </c>
    </row>
    <row r="133" spans="1:9" s="246" customFormat="1" x14ac:dyDescent="0.6">
      <c r="A133" s="144" t="s">
        <v>542</v>
      </c>
      <c r="B133" s="26" t="s">
        <v>612</v>
      </c>
      <c r="C133" s="24" t="s">
        <v>471</v>
      </c>
      <c r="D133" s="775">
        <f>0.01/1</f>
        <v>0.01</v>
      </c>
      <c r="E133" s="776">
        <v>0</v>
      </c>
      <c r="F133" s="32">
        <f t="shared" si="16"/>
        <v>0.01</v>
      </c>
      <c r="G133" s="35">
        <v>5800</v>
      </c>
      <c r="H133" s="68">
        <f t="shared" si="17"/>
        <v>58</v>
      </c>
      <c r="I133" s="161">
        <f t="shared" si="18"/>
        <v>2.7619047619047619E-2</v>
      </c>
    </row>
    <row r="134" spans="1:9" s="246" customFormat="1" x14ac:dyDescent="0.6">
      <c r="A134" s="141" t="s">
        <v>535</v>
      </c>
      <c r="B134" s="26" t="s">
        <v>609</v>
      </c>
      <c r="C134" s="24" t="s">
        <v>463</v>
      </c>
      <c r="D134" s="233">
        <f>5/1000</f>
        <v>5.0000000000000001E-3</v>
      </c>
      <c r="E134" s="776">
        <v>0</v>
      </c>
      <c r="F134" s="32">
        <f t="shared" si="16"/>
        <v>5.0000000000000001E-3</v>
      </c>
      <c r="G134" s="162">
        <v>14000</v>
      </c>
      <c r="H134" s="68">
        <f t="shared" si="17"/>
        <v>70</v>
      </c>
      <c r="I134" s="161">
        <f t="shared" si="18"/>
        <v>3.3333333333333333E-2</v>
      </c>
    </row>
    <row r="135" spans="1:9" s="246" customFormat="1" x14ac:dyDescent="0.6">
      <c r="A135" s="144" t="s">
        <v>587</v>
      </c>
      <c r="B135" s="26" t="s">
        <v>496</v>
      </c>
      <c r="C135" s="778" t="s">
        <v>20</v>
      </c>
      <c r="D135" s="233">
        <v>0.03</v>
      </c>
      <c r="E135" s="776">
        <v>0.05</v>
      </c>
      <c r="F135" s="32">
        <f t="shared" si="16"/>
        <v>3.15E-2</v>
      </c>
      <c r="G135" s="143">
        <v>700</v>
      </c>
      <c r="H135" s="68">
        <f t="shared" si="17"/>
        <v>22.05</v>
      </c>
      <c r="I135" s="161">
        <f t="shared" si="18"/>
        <v>1.0500000000000001E-2</v>
      </c>
    </row>
    <row r="136" spans="1:9" s="246" customFormat="1" x14ac:dyDescent="0.6">
      <c r="A136" s="141" t="s">
        <v>499</v>
      </c>
      <c r="B136" s="23" t="s">
        <v>655</v>
      </c>
      <c r="C136" s="24" t="s">
        <v>471</v>
      </c>
      <c r="D136" s="233">
        <f>15/1000</f>
        <v>1.4999999999999999E-2</v>
      </c>
      <c r="E136" s="776">
        <v>0</v>
      </c>
      <c r="F136" s="32">
        <f t="shared" si="16"/>
        <v>1.4999999999999999E-2</v>
      </c>
      <c r="G136" s="143">
        <v>7800</v>
      </c>
      <c r="H136" s="68">
        <f t="shared" si="17"/>
        <v>117</v>
      </c>
      <c r="I136" s="161">
        <f t="shared" si="18"/>
        <v>5.5714285714285716E-2</v>
      </c>
    </row>
    <row r="137" spans="1:9" s="246" customFormat="1" x14ac:dyDescent="0.6">
      <c r="A137" s="141" t="s">
        <v>472</v>
      </c>
      <c r="B137" s="26" t="s">
        <v>603</v>
      </c>
      <c r="C137" s="24" t="s">
        <v>19</v>
      </c>
      <c r="D137" s="779">
        <v>1</v>
      </c>
      <c r="E137" s="776">
        <v>0</v>
      </c>
      <c r="F137" s="32">
        <f t="shared" si="16"/>
        <v>1</v>
      </c>
      <c r="G137" s="35">
        <v>380</v>
      </c>
      <c r="H137" s="68">
        <f t="shared" si="17"/>
        <v>380</v>
      </c>
      <c r="I137" s="161">
        <f t="shared" si="18"/>
        <v>0.18095238095238095</v>
      </c>
    </row>
    <row r="138" spans="1:9" s="246" customFormat="1" ht="22.5" thickBot="1" x14ac:dyDescent="0.65">
      <c r="A138" s="788"/>
      <c r="B138" s="184"/>
      <c r="C138" s="24"/>
      <c r="D138" s="25"/>
      <c r="E138" s="25"/>
      <c r="F138" s="32"/>
      <c r="G138" s="35"/>
      <c r="H138" s="68"/>
      <c r="I138" s="196"/>
    </row>
    <row r="139" spans="1:9" s="246" customFormat="1" x14ac:dyDescent="0.6">
      <c r="A139" s="124"/>
      <c r="B139" s="165" t="s">
        <v>4</v>
      </c>
      <c r="C139" s="166"/>
      <c r="D139" s="117"/>
      <c r="E139" s="117"/>
      <c r="F139" s="117"/>
      <c r="G139" s="117"/>
      <c r="H139" s="192">
        <f>SUM(H125:H137)</f>
        <v>4070.0620481927713</v>
      </c>
      <c r="I139" s="160">
        <f>SUM(I125:I137)</f>
        <v>1.9381247848537007</v>
      </c>
    </row>
    <row r="140" spans="1:9" s="246" customFormat="1" x14ac:dyDescent="0.6">
      <c r="A140" s="124"/>
      <c r="B140" s="168" t="s">
        <v>14</v>
      </c>
      <c r="C140" s="43"/>
      <c r="D140" s="121"/>
      <c r="E140" s="121"/>
      <c r="F140" s="121"/>
      <c r="G140" s="121"/>
      <c r="H140" s="169">
        <f>H139/1</f>
        <v>4070.0620481927713</v>
      </c>
      <c r="I140" s="104"/>
    </row>
    <row r="141" spans="1:9" s="246" customFormat="1" x14ac:dyDescent="0.6">
      <c r="A141" s="124"/>
      <c r="B141" s="168" t="s">
        <v>453</v>
      </c>
      <c r="C141" s="43"/>
      <c r="D141" s="121"/>
      <c r="E141" s="121"/>
      <c r="F141" s="121"/>
      <c r="G141" s="121"/>
      <c r="H141" s="104">
        <f>G122</f>
        <v>12000</v>
      </c>
      <c r="I141" s="104"/>
    </row>
    <row r="142" spans="1:9" s="246" customFormat="1" x14ac:dyDescent="0.6">
      <c r="A142" s="124"/>
      <c r="B142" s="168" t="s">
        <v>455</v>
      </c>
      <c r="C142" s="43"/>
      <c r="D142" s="121"/>
      <c r="E142" s="121"/>
      <c r="F142" s="121"/>
      <c r="G142" s="121"/>
      <c r="H142" s="104">
        <f>H141/113.3%</f>
        <v>10591.35039717564</v>
      </c>
      <c r="I142" s="104"/>
    </row>
    <row r="143" spans="1:9" s="246" customFormat="1" x14ac:dyDescent="0.6">
      <c r="A143" s="124"/>
      <c r="B143" s="168" t="s">
        <v>16</v>
      </c>
      <c r="C143" s="43"/>
      <c r="D143" s="121"/>
      <c r="E143" s="121"/>
      <c r="F143" s="121"/>
      <c r="G143" s="121"/>
      <c r="H143" s="489">
        <f>H140/H142</f>
        <v>0.38428169171686749</v>
      </c>
      <c r="I143" s="489"/>
    </row>
    <row r="144" spans="1:9" s="246" customFormat="1" x14ac:dyDescent="0.6">
      <c r="A144" s="124"/>
      <c r="B144" s="168"/>
      <c r="C144" s="43"/>
      <c r="D144" s="121"/>
      <c r="E144" s="121"/>
      <c r="F144" s="121"/>
      <c r="G144" s="121"/>
      <c r="H144" s="169"/>
      <c r="I144" s="171"/>
    </row>
    <row r="145" spans="1:9" s="246" customFormat="1" ht="22.5" thickBot="1" x14ac:dyDescent="0.65">
      <c r="A145" s="124"/>
      <c r="B145" s="172"/>
      <c r="C145" s="147"/>
      <c r="D145" s="58"/>
      <c r="E145" s="58"/>
      <c r="F145" s="58"/>
      <c r="G145" s="58"/>
      <c r="H145" s="173"/>
      <c r="I145" s="164"/>
    </row>
    <row r="146" spans="1:9" x14ac:dyDescent="0.6">
      <c r="F146" s="188"/>
    </row>
    <row r="148" spans="1:9" s="246" customFormat="1" ht="22.5" thickBot="1" x14ac:dyDescent="0.65">
      <c r="A148" s="936" t="s">
        <v>0</v>
      </c>
      <c r="B148" s="936"/>
      <c r="C148" s="936"/>
      <c r="D148" s="936"/>
      <c r="E148" s="936"/>
      <c r="F148" s="936"/>
      <c r="G148" s="936"/>
      <c r="H148" s="936"/>
      <c r="I148" s="936"/>
    </row>
    <row r="149" spans="1:9" s="246" customFormat="1" x14ac:dyDescent="0.6">
      <c r="A149" s="558" t="s">
        <v>722</v>
      </c>
      <c r="B149" s="547" t="s">
        <v>899</v>
      </c>
      <c r="C149" s="547"/>
      <c r="D149" s="548"/>
      <c r="E149" s="548"/>
      <c r="F149" s="548"/>
      <c r="G149" s="548" t="s">
        <v>1</v>
      </c>
      <c r="H149" s="541" t="s">
        <v>868</v>
      </c>
      <c r="I149" s="564" t="s">
        <v>595</v>
      </c>
    </row>
    <row r="150" spans="1:9" s="246" customFormat="1" x14ac:dyDescent="0.6">
      <c r="A150" s="550">
        <v>6</v>
      </c>
      <c r="B150" s="539" t="s">
        <v>5</v>
      </c>
      <c r="C150" s="539" t="s">
        <v>4</v>
      </c>
      <c r="D150" s="540" t="s">
        <v>3</v>
      </c>
      <c r="E150" s="540" t="s">
        <v>613</v>
      </c>
      <c r="F150" s="540" t="s">
        <v>614</v>
      </c>
      <c r="G150" s="540" t="s">
        <v>510</v>
      </c>
      <c r="H150" s="543" t="s">
        <v>7</v>
      </c>
      <c r="I150" s="636">
        <f>I121</f>
        <v>45574</v>
      </c>
    </row>
    <row r="151" spans="1:9" s="246" customFormat="1" ht="22.5" thickBot="1" x14ac:dyDescent="0.65">
      <c r="A151" s="551"/>
      <c r="B151" s="552"/>
      <c r="C151" s="552"/>
      <c r="D151" s="553">
        <v>1</v>
      </c>
      <c r="E151" s="553"/>
      <c r="F151" s="553"/>
      <c r="G151" s="553">
        <f>Summary!J33</f>
        <v>12000</v>
      </c>
      <c r="H151" s="633">
        <f>H172</f>
        <v>0.35436980918674699</v>
      </c>
      <c r="I151" s="555"/>
    </row>
    <row r="152" spans="1:9" s="246" customFormat="1" ht="22.5" thickBot="1" x14ac:dyDescent="0.65">
      <c r="A152" s="124"/>
      <c r="B152" s="124"/>
      <c r="C152" s="124"/>
      <c r="D152" s="125"/>
      <c r="E152" s="125"/>
      <c r="F152" s="125"/>
      <c r="G152" s="125"/>
      <c r="H152" s="126"/>
      <c r="I152" s="124"/>
    </row>
    <row r="153" spans="1:9" s="246" customFormat="1" x14ac:dyDescent="0.6">
      <c r="A153" s="194" t="s">
        <v>605</v>
      </c>
      <c r="B153" s="166" t="s">
        <v>10</v>
      </c>
      <c r="C153" s="166" t="s">
        <v>9</v>
      </c>
      <c r="D153" s="117" t="s">
        <v>8</v>
      </c>
      <c r="E153" s="117" t="s">
        <v>613</v>
      </c>
      <c r="F153" s="117" t="s">
        <v>614</v>
      </c>
      <c r="G153" s="117" t="s">
        <v>11</v>
      </c>
      <c r="H153" s="118" t="s">
        <v>12</v>
      </c>
      <c r="I153" s="195" t="s">
        <v>12</v>
      </c>
    </row>
    <row r="154" spans="1:9" s="246" customFormat="1" x14ac:dyDescent="0.6">
      <c r="A154" s="144" t="s">
        <v>584</v>
      </c>
      <c r="B154" s="23" t="s">
        <v>640</v>
      </c>
      <c r="C154" s="777" t="s">
        <v>23</v>
      </c>
      <c r="D154" s="775">
        <v>0.05</v>
      </c>
      <c r="E154" s="139">
        <v>0.28000000000000003</v>
      </c>
      <c r="F154" s="32">
        <f t="shared" ref="F154:F166" si="19">D154+D154*E154</f>
        <v>6.4000000000000001E-2</v>
      </c>
      <c r="G154" s="35">
        <f>33000/1.6</f>
        <v>20625</v>
      </c>
      <c r="H154" s="68">
        <f t="shared" ref="H154:H166" si="20">F154*G154</f>
        <v>1320</v>
      </c>
      <c r="I154" s="161">
        <f t="shared" ref="I154:I166" si="21">H154/I$3</f>
        <v>0.62857142857142856</v>
      </c>
    </row>
    <row r="155" spans="1:9" s="246" customFormat="1" x14ac:dyDescent="0.6">
      <c r="A155" s="144" t="s">
        <v>543</v>
      </c>
      <c r="B155" s="26" t="s">
        <v>676</v>
      </c>
      <c r="C155" s="24" t="s">
        <v>463</v>
      </c>
      <c r="D155" s="775">
        <v>0.5</v>
      </c>
      <c r="E155" s="776">
        <v>0</v>
      </c>
      <c r="F155" s="32">
        <f t="shared" si="19"/>
        <v>0.5</v>
      </c>
      <c r="G155" s="143">
        <v>1500</v>
      </c>
      <c r="H155" s="68">
        <f t="shared" si="20"/>
        <v>750</v>
      </c>
      <c r="I155" s="161">
        <f t="shared" si="21"/>
        <v>0.35714285714285715</v>
      </c>
    </row>
    <row r="156" spans="1:9" s="246" customFormat="1" x14ac:dyDescent="0.6">
      <c r="A156" s="144" t="s">
        <v>586</v>
      </c>
      <c r="B156" s="23" t="s">
        <v>615</v>
      </c>
      <c r="C156" s="777" t="s">
        <v>19</v>
      </c>
      <c r="D156" s="775">
        <v>0.1</v>
      </c>
      <c r="E156" s="776">
        <v>0.15</v>
      </c>
      <c r="F156" s="32">
        <f t="shared" si="19"/>
        <v>0.115</v>
      </c>
      <c r="G156" s="143">
        <v>3000</v>
      </c>
      <c r="H156" s="68">
        <f t="shared" si="20"/>
        <v>345</v>
      </c>
      <c r="I156" s="161">
        <f t="shared" si="21"/>
        <v>0.16428571428571428</v>
      </c>
    </row>
    <row r="157" spans="1:9" s="246" customFormat="1" x14ac:dyDescent="0.6">
      <c r="A157" s="141" t="s">
        <v>473</v>
      </c>
      <c r="B157" s="23" t="s">
        <v>474</v>
      </c>
      <c r="C157" s="24" t="s">
        <v>471</v>
      </c>
      <c r="D157" s="775">
        <v>0.01</v>
      </c>
      <c r="E157" s="776">
        <v>0.1</v>
      </c>
      <c r="F157" s="32">
        <f t="shared" si="19"/>
        <v>1.0999999999999999E-2</v>
      </c>
      <c r="G157" s="143">
        <v>10000</v>
      </c>
      <c r="H157" s="68">
        <f t="shared" si="20"/>
        <v>110</v>
      </c>
      <c r="I157" s="161">
        <f t="shared" si="21"/>
        <v>5.2380952380952382E-2</v>
      </c>
    </row>
    <row r="158" spans="1:9" s="246" customFormat="1" x14ac:dyDescent="0.6">
      <c r="A158" s="141" t="s">
        <v>556</v>
      </c>
      <c r="B158" s="23" t="s">
        <v>557</v>
      </c>
      <c r="C158" s="24" t="s">
        <v>20</v>
      </c>
      <c r="D158" s="775">
        <v>0.5</v>
      </c>
      <c r="E158" s="776">
        <v>0.2</v>
      </c>
      <c r="F158" s="32">
        <f t="shared" si="19"/>
        <v>0.6</v>
      </c>
      <c r="G158" s="143">
        <v>600</v>
      </c>
      <c r="H158" s="68">
        <f t="shared" si="20"/>
        <v>360</v>
      </c>
      <c r="I158" s="161">
        <f t="shared" si="21"/>
        <v>0.17142857142857143</v>
      </c>
    </row>
    <row r="159" spans="1:9" s="246" customFormat="1" x14ac:dyDescent="0.6">
      <c r="A159" s="144" t="s">
        <v>568</v>
      </c>
      <c r="B159" s="26" t="s">
        <v>494</v>
      </c>
      <c r="C159" s="24" t="s">
        <v>459</v>
      </c>
      <c r="D159" s="775">
        <v>0.02</v>
      </c>
      <c r="E159" s="776">
        <v>0</v>
      </c>
      <c r="F159" s="32">
        <f t="shared" si="19"/>
        <v>0.02</v>
      </c>
      <c r="G159" s="35">
        <f>21000/4.15</f>
        <v>5060.2409638554209</v>
      </c>
      <c r="H159" s="68">
        <f t="shared" si="20"/>
        <v>101.20481927710841</v>
      </c>
      <c r="I159" s="161">
        <f t="shared" si="21"/>
        <v>4.8192771084337338E-2</v>
      </c>
    </row>
    <row r="160" spans="1:9" s="246" customFormat="1" x14ac:dyDescent="0.6">
      <c r="A160" s="141" t="s">
        <v>566</v>
      </c>
      <c r="B160" s="23" t="s">
        <v>646</v>
      </c>
      <c r="C160" s="777" t="s">
        <v>459</v>
      </c>
      <c r="D160" s="775">
        <v>0.01</v>
      </c>
      <c r="E160" s="776">
        <v>0</v>
      </c>
      <c r="F160" s="32">
        <f t="shared" si="19"/>
        <v>0.01</v>
      </c>
      <c r="G160" s="178">
        <v>3500</v>
      </c>
      <c r="H160" s="68">
        <f t="shared" si="20"/>
        <v>35</v>
      </c>
      <c r="I160" s="161">
        <f t="shared" si="21"/>
        <v>1.6666666666666666E-2</v>
      </c>
    </row>
    <row r="161" spans="1:9" s="246" customFormat="1" x14ac:dyDescent="0.6">
      <c r="A161" s="144" t="s">
        <v>570</v>
      </c>
      <c r="B161" s="23" t="s">
        <v>647</v>
      </c>
      <c r="C161" s="777" t="s">
        <v>459</v>
      </c>
      <c r="D161" s="775">
        <v>0.01</v>
      </c>
      <c r="E161" s="776">
        <v>0</v>
      </c>
      <c r="F161" s="32">
        <f t="shared" si="19"/>
        <v>0.01</v>
      </c>
      <c r="G161" s="35">
        <v>8500</v>
      </c>
      <c r="H161" s="68">
        <f t="shared" si="20"/>
        <v>85</v>
      </c>
      <c r="I161" s="161">
        <f t="shared" si="21"/>
        <v>4.0476190476190478E-2</v>
      </c>
    </row>
    <row r="162" spans="1:9" s="246" customFormat="1" x14ac:dyDescent="0.6">
      <c r="A162" s="144" t="s">
        <v>542</v>
      </c>
      <c r="B162" s="26" t="s">
        <v>612</v>
      </c>
      <c r="C162" s="24" t="s">
        <v>471</v>
      </c>
      <c r="D162" s="775">
        <f>0.01/1</f>
        <v>0.01</v>
      </c>
      <c r="E162" s="776">
        <v>0</v>
      </c>
      <c r="F162" s="32">
        <f t="shared" si="19"/>
        <v>0.01</v>
      </c>
      <c r="G162" s="35">
        <v>5800</v>
      </c>
      <c r="H162" s="68">
        <f t="shared" si="20"/>
        <v>58</v>
      </c>
      <c r="I162" s="161">
        <f t="shared" si="21"/>
        <v>2.7619047619047619E-2</v>
      </c>
    </row>
    <row r="163" spans="1:9" s="246" customFormat="1" x14ac:dyDescent="0.6">
      <c r="A163" s="141" t="s">
        <v>535</v>
      </c>
      <c r="B163" s="26" t="s">
        <v>609</v>
      </c>
      <c r="C163" s="24" t="s">
        <v>463</v>
      </c>
      <c r="D163" s="233">
        <f>5/1000</f>
        <v>5.0000000000000001E-3</v>
      </c>
      <c r="E163" s="776">
        <v>0</v>
      </c>
      <c r="F163" s="32">
        <f t="shared" si="19"/>
        <v>5.0000000000000001E-3</v>
      </c>
      <c r="G163" s="162">
        <v>14000</v>
      </c>
      <c r="H163" s="68">
        <f t="shared" si="20"/>
        <v>70</v>
      </c>
      <c r="I163" s="161">
        <f t="shared" si="21"/>
        <v>3.3333333333333333E-2</v>
      </c>
    </row>
    <row r="164" spans="1:9" s="246" customFormat="1" x14ac:dyDescent="0.6">
      <c r="A164" s="144" t="s">
        <v>587</v>
      </c>
      <c r="B164" s="26" t="s">
        <v>496</v>
      </c>
      <c r="C164" s="778" t="s">
        <v>20</v>
      </c>
      <c r="D164" s="233">
        <v>0.03</v>
      </c>
      <c r="E164" s="776">
        <v>0.05</v>
      </c>
      <c r="F164" s="32">
        <f t="shared" si="19"/>
        <v>3.15E-2</v>
      </c>
      <c r="G164" s="143">
        <v>700</v>
      </c>
      <c r="H164" s="68">
        <f t="shared" si="20"/>
        <v>22.05</v>
      </c>
      <c r="I164" s="161">
        <f t="shared" si="21"/>
        <v>1.0500000000000001E-2</v>
      </c>
    </row>
    <row r="165" spans="1:9" s="246" customFormat="1" x14ac:dyDescent="0.6">
      <c r="A165" s="141" t="s">
        <v>499</v>
      </c>
      <c r="B165" s="23" t="s">
        <v>655</v>
      </c>
      <c r="C165" s="24" t="s">
        <v>471</v>
      </c>
      <c r="D165" s="233">
        <f>15/1000</f>
        <v>1.4999999999999999E-2</v>
      </c>
      <c r="E165" s="776">
        <v>0</v>
      </c>
      <c r="F165" s="32">
        <f t="shared" si="19"/>
        <v>1.4999999999999999E-2</v>
      </c>
      <c r="G165" s="143">
        <v>7800</v>
      </c>
      <c r="H165" s="68">
        <f t="shared" si="20"/>
        <v>117</v>
      </c>
      <c r="I165" s="161">
        <f t="shared" si="21"/>
        <v>5.5714285714285716E-2</v>
      </c>
    </row>
    <row r="166" spans="1:9" s="246" customFormat="1" x14ac:dyDescent="0.6">
      <c r="A166" s="141" t="s">
        <v>472</v>
      </c>
      <c r="B166" s="26" t="s">
        <v>603</v>
      </c>
      <c r="C166" s="24" t="s">
        <v>19</v>
      </c>
      <c r="D166" s="807">
        <v>1</v>
      </c>
      <c r="E166" s="776">
        <v>0</v>
      </c>
      <c r="F166" s="32">
        <f t="shared" si="19"/>
        <v>1</v>
      </c>
      <c r="G166" s="35">
        <v>380</v>
      </c>
      <c r="H166" s="68">
        <f t="shared" si="20"/>
        <v>380</v>
      </c>
      <c r="I166" s="161">
        <f t="shared" si="21"/>
        <v>0.18095238095238095</v>
      </c>
    </row>
    <row r="167" spans="1:9" s="246" customFormat="1" ht="22.5" thickBot="1" x14ac:dyDescent="0.65">
      <c r="A167" s="788"/>
      <c r="B167" s="184"/>
      <c r="C167" s="24"/>
      <c r="D167" s="25"/>
      <c r="E167" s="25"/>
      <c r="F167" s="32"/>
      <c r="G167" s="35"/>
      <c r="H167" s="68"/>
      <c r="I167" s="789"/>
    </row>
    <row r="168" spans="1:9" s="246" customFormat="1" x14ac:dyDescent="0.6">
      <c r="A168" s="124"/>
      <c r="B168" s="165" t="s">
        <v>4</v>
      </c>
      <c r="C168" s="166"/>
      <c r="D168" s="117"/>
      <c r="E168" s="117"/>
      <c r="F168" s="117"/>
      <c r="G168" s="117"/>
      <c r="H168" s="192">
        <f>SUM(H154:H166)</f>
        <v>3753.2548192771087</v>
      </c>
      <c r="I168" s="160">
        <f>SUM(I154:I166)</f>
        <v>1.7872641996557663</v>
      </c>
    </row>
    <row r="169" spans="1:9" s="246" customFormat="1" x14ac:dyDescent="0.6">
      <c r="A169" s="124"/>
      <c r="B169" s="168" t="s">
        <v>14</v>
      </c>
      <c r="C169" s="43"/>
      <c r="D169" s="121"/>
      <c r="E169" s="121"/>
      <c r="F169" s="121"/>
      <c r="G169" s="121"/>
      <c r="H169" s="169">
        <f>H168/1</f>
        <v>3753.2548192771087</v>
      </c>
      <c r="I169" s="104"/>
    </row>
    <row r="170" spans="1:9" s="246" customFormat="1" x14ac:dyDescent="0.6">
      <c r="A170" s="124"/>
      <c r="B170" s="168" t="s">
        <v>453</v>
      </c>
      <c r="C170" s="43"/>
      <c r="D170" s="121"/>
      <c r="E170" s="121"/>
      <c r="F170" s="121"/>
      <c r="G170" s="121"/>
      <c r="H170" s="104">
        <f>G151</f>
        <v>12000</v>
      </c>
      <c r="I170" s="104"/>
    </row>
    <row r="171" spans="1:9" s="246" customFormat="1" x14ac:dyDescent="0.6">
      <c r="A171" s="124"/>
      <c r="B171" s="168" t="s">
        <v>455</v>
      </c>
      <c r="C171" s="43"/>
      <c r="D171" s="121"/>
      <c r="E171" s="121"/>
      <c r="F171" s="121"/>
      <c r="G171" s="121"/>
      <c r="H171" s="104">
        <f>H170/113.3%</f>
        <v>10591.35039717564</v>
      </c>
      <c r="I171" s="104"/>
    </row>
    <row r="172" spans="1:9" s="246" customFormat="1" x14ac:dyDescent="0.6">
      <c r="A172" s="124"/>
      <c r="B172" s="168" t="s">
        <v>16</v>
      </c>
      <c r="C172" s="43"/>
      <c r="D172" s="121"/>
      <c r="E172" s="121"/>
      <c r="F172" s="121"/>
      <c r="G172" s="121"/>
      <c r="H172" s="808">
        <f>H169/H171</f>
        <v>0.35436980918674699</v>
      </c>
      <c r="I172" s="808"/>
    </row>
    <row r="173" spans="1:9" s="246" customFormat="1" x14ac:dyDescent="0.6">
      <c r="A173" s="124"/>
      <c r="B173" s="168"/>
      <c r="C173" s="43"/>
      <c r="D173" s="121"/>
      <c r="E173" s="121"/>
      <c r="F173" s="121"/>
      <c r="G173" s="121"/>
      <c r="H173" s="169"/>
      <c r="I173" s="171"/>
    </row>
    <row r="174" spans="1:9" s="246" customFormat="1" ht="22.5" thickBot="1" x14ac:dyDescent="0.65">
      <c r="A174" s="124"/>
      <c r="B174" s="172"/>
      <c r="C174" s="147"/>
      <c r="D174" s="58"/>
      <c r="E174" s="58"/>
      <c r="F174" s="58"/>
      <c r="G174" s="58"/>
      <c r="H174" s="173"/>
      <c r="I174" s="164"/>
    </row>
    <row r="176" spans="1:9" ht="22.5" thickBot="1" x14ac:dyDescent="0.65">
      <c r="B176" s="76"/>
      <c r="C176" s="76"/>
      <c r="D176" s="116" t="s">
        <v>0</v>
      </c>
      <c r="E176" s="116"/>
      <c r="F176" s="116"/>
      <c r="G176" s="61"/>
      <c r="H176" s="62"/>
      <c r="I176" s="60"/>
    </row>
    <row r="177" spans="1:9" x14ac:dyDescent="0.6">
      <c r="A177" s="537" t="s">
        <v>722</v>
      </c>
      <c r="B177" s="539" t="s">
        <v>900</v>
      </c>
      <c r="C177" s="539"/>
      <c r="D177" s="540"/>
      <c r="E177" s="540"/>
      <c r="F177" s="540"/>
      <c r="G177" s="540" t="s">
        <v>1</v>
      </c>
      <c r="H177" s="541" t="s">
        <v>868</v>
      </c>
      <c r="I177" s="542" t="s">
        <v>595</v>
      </c>
    </row>
    <row r="178" spans="1:9" x14ac:dyDescent="0.6">
      <c r="A178" s="542">
        <v>7</v>
      </c>
      <c r="B178" s="542" t="s">
        <v>5</v>
      </c>
      <c r="C178" s="542" t="s">
        <v>4</v>
      </c>
      <c r="D178" s="540" t="s">
        <v>3</v>
      </c>
      <c r="E178" s="540" t="s">
        <v>613</v>
      </c>
      <c r="F178" s="540" t="s">
        <v>614</v>
      </c>
      <c r="G178" s="540" t="s">
        <v>6</v>
      </c>
      <c r="H178" s="543" t="s">
        <v>7</v>
      </c>
      <c r="I178" s="639">
        <f>I150</f>
        <v>45574</v>
      </c>
    </row>
    <row r="179" spans="1:9" x14ac:dyDescent="0.6">
      <c r="A179" s="542"/>
      <c r="B179" s="544"/>
      <c r="C179" s="544"/>
      <c r="D179" s="540">
        <v>1</v>
      </c>
      <c r="E179" s="540"/>
      <c r="F179" s="540"/>
      <c r="G179" s="540">
        <f>Summary!J34</f>
        <v>12000</v>
      </c>
      <c r="H179" s="640">
        <f>H203</f>
        <v>0.38396392654785805</v>
      </c>
      <c r="I179" s="545"/>
    </row>
    <row r="180" spans="1:9" ht="22.5" thickBot="1" x14ac:dyDescent="0.65">
      <c r="A180" s="809"/>
      <c r="B180" s="124"/>
      <c r="C180" s="124"/>
      <c r="D180" s="125"/>
      <c r="E180" s="125"/>
      <c r="F180" s="125"/>
      <c r="G180" s="125"/>
      <c r="H180" s="126"/>
      <c r="I180" s="124"/>
    </row>
    <row r="181" spans="1:9" x14ac:dyDescent="0.6">
      <c r="A181" s="194" t="s">
        <v>605</v>
      </c>
      <c r="B181" s="166" t="s">
        <v>10</v>
      </c>
      <c r="C181" s="166" t="s">
        <v>9</v>
      </c>
      <c r="D181" s="117" t="s">
        <v>8</v>
      </c>
      <c r="E181" s="117" t="s">
        <v>613</v>
      </c>
      <c r="F181" s="117" t="s">
        <v>614</v>
      </c>
      <c r="G181" s="117" t="s">
        <v>11</v>
      </c>
      <c r="H181" s="118" t="s">
        <v>24</v>
      </c>
      <c r="I181" s="195" t="s">
        <v>25</v>
      </c>
    </row>
    <row r="182" spans="1:9" x14ac:dyDescent="0.6">
      <c r="A182" s="141" t="s">
        <v>469</v>
      </c>
      <c r="B182" s="184" t="s">
        <v>464</v>
      </c>
      <c r="C182" s="24" t="s">
        <v>471</v>
      </c>
      <c r="D182" s="25">
        <v>0.04</v>
      </c>
      <c r="E182" s="139">
        <v>0.12</v>
      </c>
      <c r="F182" s="32">
        <f t="shared" ref="F182:F187" si="22">D182+D182*E182</f>
        <v>4.48E-2</v>
      </c>
      <c r="G182" s="35">
        <v>22000</v>
      </c>
      <c r="H182" s="68">
        <f t="shared" ref="H182:H198" si="23">F182*G182</f>
        <v>985.6</v>
      </c>
      <c r="I182" s="161">
        <f t="shared" ref="I182:I197" si="24">H182/I$3</f>
        <v>0.46933333333333332</v>
      </c>
    </row>
    <row r="183" spans="1:9" x14ac:dyDescent="0.6">
      <c r="A183" s="141" t="s">
        <v>472</v>
      </c>
      <c r="B183" s="26" t="s">
        <v>603</v>
      </c>
      <c r="C183" s="24" t="s">
        <v>19</v>
      </c>
      <c r="D183" s="743">
        <v>2</v>
      </c>
      <c r="E183" s="139">
        <v>0</v>
      </c>
      <c r="F183" s="32">
        <f t="shared" si="22"/>
        <v>2</v>
      </c>
      <c r="G183" s="35">
        <v>380</v>
      </c>
      <c r="H183" s="68">
        <f t="shared" si="23"/>
        <v>760</v>
      </c>
      <c r="I183" s="161">
        <f t="shared" si="24"/>
        <v>0.3619047619047619</v>
      </c>
    </row>
    <row r="184" spans="1:9" x14ac:dyDescent="0.6">
      <c r="A184" s="144" t="s">
        <v>588</v>
      </c>
      <c r="B184" s="26" t="s">
        <v>493</v>
      </c>
      <c r="C184" s="24" t="s">
        <v>471</v>
      </c>
      <c r="D184" s="793">
        <v>0.01</v>
      </c>
      <c r="E184" s="139">
        <v>0.2</v>
      </c>
      <c r="F184" s="32">
        <f t="shared" si="22"/>
        <v>1.2E-2</v>
      </c>
      <c r="G184" s="143">
        <v>21000</v>
      </c>
      <c r="H184" s="68">
        <f t="shared" si="23"/>
        <v>252</v>
      </c>
      <c r="I184" s="161">
        <f t="shared" si="24"/>
        <v>0.12</v>
      </c>
    </row>
    <row r="185" spans="1:9" x14ac:dyDescent="0.6">
      <c r="A185" s="141" t="s">
        <v>473</v>
      </c>
      <c r="B185" s="23" t="s">
        <v>474</v>
      </c>
      <c r="C185" s="24" t="s">
        <v>471</v>
      </c>
      <c r="D185" s="793">
        <v>0.02</v>
      </c>
      <c r="E185" s="139">
        <v>0.1</v>
      </c>
      <c r="F185" s="32">
        <f t="shared" si="22"/>
        <v>2.1999999999999999E-2</v>
      </c>
      <c r="G185" s="143">
        <v>10000</v>
      </c>
      <c r="H185" s="68">
        <f t="shared" si="23"/>
        <v>220</v>
      </c>
      <c r="I185" s="161">
        <f t="shared" si="24"/>
        <v>0.10476190476190476</v>
      </c>
    </row>
    <row r="186" spans="1:9" x14ac:dyDescent="0.6">
      <c r="A186" s="141" t="s">
        <v>475</v>
      </c>
      <c r="B186" s="23" t="s">
        <v>653</v>
      </c>
      <c r="C186" s="24" t="s">
        <v>471</v>
      </c>
      <c r="D186" s="793">
        <v>0.02</v>
      </c>
      <c r="E186" s="139">
        <v>0.08</v>
      </c>
      <c r="F186" s="32">
        <f t="shared" si="22"/>
        <v>2.1600000000000001E-2</v>
      </c>
      <c r="G186" s="143">
        <v>6000</v>
      </c>
      <c r="H186" s="68">
        <f t="shared" si="23"/>
        <v>129.6</v>
      </c>
      <c r="I186" s="161">
        <f t="shared" si="24"/>
        <v>6.1714285714285715E-2</v>
      </c>
    </row>
    <row r="187" spans="1:9" x14ac:dyDescent="0.6">
      <c r="A187" s="144" t="s">
        <v>580</v>
      </c>
      <c r="B187" s="26" t="s">
        <v>488</v>
      </c>
      <c r="C187" s="24" t="s">
        <v>907</v>
      </c>
      <c r="D187" s="25">
        <v>0.5</v>
      </c>
      <c r="E187" s="139">
        <v>0</v>
      </c>
      <c r="F187" s="32">
        <f t="shared" si="22"/>
        <v>0.5</v>
      </c>
      <c r="G187" s="35">
        <f>190000/24/8</f>
        <v>989.58333333333337</v>
      </c>
      <c r="H187" s="68">
        <f t="shared" si="23"/>
        <v>494.79166666666669</v>
      </c>
      <c r="I187" s="161">
        <f t="shared" si="24"/>
        <v>0.23561507936507936</v>
      </c>
    </row>
    <row r="188" spans="1:9" x14ac:dyDescent="0.6">
      <c r="A188" s="141" t="s">
        <v>499</v>
      </c>
      <c r="B188" s="23" t="s">
        <v>655</v>
      </c>
      <c r="C188" s="24" t="s">
        <v>471</v>
      </c>
      <c r="D188" s="793">
        <v>0.03</v>
      </c>
      <c r="E188" s="139">
        <v>0</v>
      </c>
      <c r="F188" s="32">
        <v>0.02</v>
      </c>
      <c r="G188" s="143">
        <v>7800</v>
      </c>
      <c r="H188" s="68">
        <f t="shared" si="23"/>
        <v>156</v>
      </c>
      <c r="I188" s="161">
        <f t="shared" si="24"/>
        <v>7.4285714285714288E-2</v>
      </c>
    </row>
    <row r="189" spans="1:9" x14ac:dyDescent="0.6">
      <c r="A189" s="144" t="s">
        <v>568</v>
      </c>
      <c r="B189" s="26" t="s">
        <v>494</v>
      </c>
      <c r="C189" s="24" t="s">
        <v>459</v>
      </c>
      <c r="D189" s="25">
        <v>0.02</v>
      </c>
      <c r="E189" s="139">
        <v>0</v>
      </c>
      <c r="F189" s="32">
        <f t="shared" ref="F189:F197" si="25">D189+D189*E189</f>
        <v>0.02</v>
      </c>
      <c r="G189" s="35">
        <f>21000/4.15</f>
        <v>5060.2409638554209</v>
      </c>
      <c r="H189" s="68">
        <f t="shared" si="23"/>
        <v>101.20481927710841</v>
      </c>
      <c r="I189" s="161">
        <f t="shared" si="24"/>
        <v>4.8192771084337338E-2</v>
      </c>
    </row>
    <row r="190" spans="1:9" x14ac:dyDescent="0.6">
      <c r="A190" s="141" t="s">
        <v>535</v>
      </c>
      <c r="B190" s="23" t="s">
        <v>647</v>
      </c>
      <c r="C190" s="24" t="s">
        <v>471</v>
      </c>
      <c r="D190" s="25">
        <v>0.01</v>
      </c>
      <c r="E190" s="139">
        <v>0</v>
      </c>
      <c r="F190" s="32">
        <f t="shared" si="25"/>
        <v>0.01</v>
      </c>
      <c r="G190" s="35">
        <v>8500</v>
      </c>
      <c r="H190" s="68">
        <f t="shared" si="23"/>
        <v>85</v>
      </c>
      <c r="I190" s="161">
        <f t="shared" si="24"/>
        <v>4.0476190476190478E-2</v>
      </c>
    </row>
    <row r="191" spans="1:9" x14ac:dyDescent="0.6">
      <c r="A191" s="141" t="s">
        <v>535</v>
      </c>
      <c r="B191" s="26" t="s">
        <v>609</v>
      </c>
      <c r="C191" s="24" t="s">
        <v>471</v>
      </c>
      <c r="D191" s="25">
        <v>0.01</v>
      </c>
      <c r="E191" s="139">
        <v>0</v>
      </c>
      <c r="F191" s="32">
        <f t="shared" si="25"/>
        <v>0.01</v>
      </c>
      <c r="G191" s="162">
        <v>14000</v>
      </c>
      <c r="H191" s="68">
        <f t="shared" si="23"/>
        <v>140</v>
      </c>
      <c r="I191" s="161">
        <f t="shared" si="24"/>
        <v>6.6666666666666666E-2</v>
      </c>
    </row>
    <row r="192" spans="1:9" s="246" customFormat="1" x14ac:dyDescent="0.6">
      <c r="A192" s="145"/>
      <c r="B192" s="26" t="s">
        <v>650</v>
      </c>
      <c r="C192" s="24" t="s">
        <v>463</v>
      </c>
      <c r="D192" s="25">
        <v>5.0000000000000001E-3</v>
      </c>
      <c r="E192" s="139">
        <v>0</v>
      </c>
      <c r="F192" s="32">
        <f t="shared" si="25"/>
        <v>5.0000000000000001E-3</v>
      </c>
      <c r="G192" s="35">
        <v>4500</v>
      </c>
      <c r="H192" s="68">
        <f t="shared" si="23"/>
        <v>22.5</v>
      </c>
      <c r="I192" s="161">
        <f t="shared" si="24"/>
        <v>1.0714285714285714E-2</v>
      </c>
    </row>
    <row r="193" spans="1:9" s="246" customFormat="1" x14ac:dyDescent="0.6">
      <c r="A193" s="201">
        <v>11100028</v>
      </c>
      <c r="B193" s="26" t="s">
        <v>917</v>
      </c>
      <c r="C193" s="24" t="s">
        <v>471</v>
      </c>
      <c r="D193" s="25">
        <v>5.0000000000000001E-3</v>
      </c>
      <c r="E193" s="139">
        <v>0</v>
      </c>
      <c r="F193" s="32">
        <f t="shared" si="25"/>
        <v>5.0000000000000001E-3</v>
      </c>
      <c r="G193" s="35">
        <v>70000</v>
      </c>
      <c r="H193" s="68">
        <f t="shared" si="23"/>
        <v>350</v>
      </c>
      <c r="I193" s="161">
        <f t="shared" si="24"/>
        <v>0.16666666666666666</v>
      </c>
    </row>
    <row r="194" spans="1:9" x14ac:dyDescent="0.6">
      <c r="A194" s="804"/>
      <c r="B194" s="23" t="s">
        <v>637</v>
      </c>
      <c r="C194" s="24" t="s">
        <v>20</v>
      </c>
      <c r="D194" s="32">
        <v>0.02</v>
      </c>
      <c r="E194" s="136">
        <v>0</v>
      </c>
      <c r="F194" s="32">
        <f t="shared" si="25"/>
        <v>0.02</v>
      </c>
      <c r="G194" s="39">
        <v>500</v>
      </c>
      <c r="H194" s="68">
        <f t="shared" si="23"/>
        <v>10</v>
      </c>
      <c r="I194" s="160">
        <f t="shared" si="24"/>
        <v>4.7619047619047623E-3</v>
      </c>
    </row>
    <row r="195" spans="1:9" x14ac:dyDescent="0.6">
      <c r="A195" s="141" t="s">
        <v>484</v>
      </c>
      <c r="B195" s="23" t="s">
        <v>625</v>
      </c>
      <c r="C195" s="24" t="s">
        <v>471</v>
      </c>
      <c r="D195" s="25">
        <v>0.03</v>
      </c>
      <c r="E195" s="139">
        <v>0</v>
      </c>
      <c r="F195" s="32">
        <f t="shared" si="25"/>
        <v>0.03</v>
      </c>
      <c r="G195" s="143">
        <v>7000</v>
      </c>
      <c r="H195" s="68">
        <f t="shared" si="23"/>
        <v>210</v>
      </c>
      <c r="I195" s="161">
        <f t="shared" si="24"/>
        <v>0.1</v>
      </c>
    </row>
    <row r="196" spans="1:9" x14ac:dyDescent="0.6">
      <c r="A196" s="138"/>
      <c r="B196" s="23" t="s">
        <v>601</v>
      </c>
      <c r="C196" s="24" t="s">
        <v>19</v>
      </c>
      <c r="D196" s="25">
        <v>0.1</v>
      </c>
      <c r="E196" s="139">
        <v>0</v>
      </c>
      <c r="F196" s="32">
        <f t="shared" si="25"/>
        <v>0.1</v>
      </c>
      <c r="G196" s="35">
        <v>800</v>
      </c>
      <c r="H196" s="68">
        <f t="shared" si="23"/>
        <v>80</v>
      </c>
      <c r="I196" s="161">
        <f t="shared" si="24"/>
        <v>3.8095238095238099E-2</v>
      </c>
    </row>
    <row r="197" spans="1:9" x14ac:dyDescent="0.6">
      <c r="A197" s="184"/>
      <c r="B197" s="805" t="s">
        <v>652</v>
      </c>
      <c r="C197" s="24" t="s">
        <v>471</v>
      </c>
      <c r="D197" s="25">
        <v>0.01</v>
      </c>
      <c r="E197" s="139">
        <v>0</v>
      </c>
      <c r="F197" s="32">
        <f t="shared" si="25"/>
        <v>0.01</v>
      </c>
      <c r="G197" s="35">
        <v>7000</v>
      </c>
      <c r="H197" s="68">
        <f t="shared" si="23"/>
        <v>70</v>
      </c>
      <c r="I197" s="161">
        <f t="shared" si="24"/>
        <v>3.3333333333333333E-2</v>
      </c>
    </row>
    <row r="198" spans="1:9" ht="22.5" thickBot="1" x14ac:dyDescent="0.65">
      <c r="A198" s="119"/>
      <c r="B198" s="806"/>
      <c r="C198" s="31"/>
      <c r="D198" s="32"/>
      <c r="E198" s="136"/>
      <c r="F198" s="32"/>
      <c r="G198" s="39"/>
      <c r="H198" s="68">
        <f t="shared" si="23"/>
        <v>0</v>
      </c>
      <c r="I198" s="160"/>
    </row>
    <row r="199" spans="1:9" x14ac:dyDescent="0.6">
      <c r="A199" s="203"/>
      <c r="B199" s="204" t="s">
        <v>4</v>
      </c>
      <c r="C199" s="205"/>
      <c r="D199" s="206"/>
      <c r="E199" s="206"/>
      <c r="F199" s="206"/>
      <c r="G199" s="206"/>
      <c r="H199" s="207">
        <f>SUM(H182:H197)</f>
        <v>4066.6964859437749</v>
      </c>
      <c r="I199" s="208">
        <f>SUM(I182:I197)</f>
        <v>1.9365221361637026</v>
      </c>
    </row>
    <row r="200" spans="1:9" x14ac:dyDescent="0.6">
      <c r="A200" s="209"/>
      <c r="B200" s="210" t="s">
        <v>14</v>
      </c>
      <c r="C200" s="211"/>
      <c r="D200" s="212"/>
      <c r="E200" s="212"/>
      <c r="F200" s="213"/>
      <c r="G200" s="212"/>
      <c r="H200" s="214">
        <f>H199/1</f>
        <v>4066.6964859437749</v>
      </c>
      <c r="I200" s="104"/>
    </row>
    <row r="201" spans="1:9" x14ac:dyDescent="0.6">
      <c r="A201" s="209"/>
      <c r="B201" s="210" t="s">
        <v>453</v>
      </c>
      <c r="C201" s="211"/>
      <c r="D201" s="212"/>
      <c r="E201" s="212"/>
      <c r="F201" s="212"/>
      <c r="G201" s="212"/>
      <c r="H201" s="476">
        <f>G179</f>
        <v>12000</v>
      </c>
      <c r="I201" s="476"/>
    </row>
    <row r="202" spans="1:9" x14ac:dyDescent="0.6">
      <c r="A202" s="209"/>
      <c r="B202" s="168" t="s">
        <v>455</v>
      </c>
      <c r="C202" s="211"/>
      <c r="D202" s="212"/>
      <c r="E202" s="212"/>
      <c r="F202" s="212"/>
      <c r="G202" s="212"/>
      <c r="H202" s="104">
        <f>H201/113.3%</f>
        <v>10591.35039717564</v>
      </c>
      <c r="I202" s="104"/>
    </row>
    <row r="203" spans="1:9" x14ac:dyDescent="0.6">
      <c r="A203" s="209"/>
      <c r="B203" s="210" t="s">
        <v>16</v>
      </c>
      <c r="C203" s="211"/>
      <c r="D203" s="212"/>
      <c r="E203" s="212"/>
      <c r="F203" s="212"/>
      <c r="G203" s="212"/>
      <c r="H203" s="609">
        <f>H200/H202</f>
        <v>0.38396392654785805</v>
      </c>
      <c r="I203" s="609"/>
    </row>
    <row r="204" spans="1:9" x14ac:dyDescent="0.6">
      <c r="A204" s="209"/>
      <c r="B204" s="210"/>
      <c r="C204" s="211"/>
      <c r="D204" s="212"/>
      <c r="E204" s="212"/>
      <c r="F204" s="212"/>
      <c r="G204" s="212"/>
      <c r="H204" s="214"/>
      <c r="I204" s="215"/>
    </row>
    <row r="205" spans="1:9" ht="22.5" thickBot="1" x14ac:dyDescent="0.65">
      <c r="A205" s="209"/>
      <c r="B205" s="216"/>
      <c r="C205" s="217"/>
      <c r="D205" s="218"/>
      <c r="E205" s="218"/>
      <c r="F205" s="218"/>
      <c r="G205" s="218"/>
      <c r="H205" s="219"/>
      <c r="I205" s="220"/>
    </row>
    <row r="208" spans="1:9" ht="22.5" thickBot="1" x14ac:dyDescent="0.65">
      <c r="B208" s="76"/>
      <c r="C208" s="76"/>
      <c r="D208" s="116" t="s">
        <v>0</v>
      </c>
      <c r="E208" s="116"/>
      <c r="F208" s="116"/>
      <c r="G208" s="61"/>
      <c r="H208" s="62"/>
      <c r="I208" s="60"/>
    </row>
    <row r="209" spans="1:9" x14ac:dyDescent="0.6">
      <c r="A209" s="537" t="s">
        <v>722</v>
      </c>
      <c r="B209" s="539" t="s">
        <v>901</v>
      </c>
      <c r="C209" s="539"/>
      <c r="D209" s="540"/>
      <c r="E209" s="540"/>
      <c r="F209" s="540"/>
      <c r="G209" s="540" t="s">
        <v>1</v>
      </c>
      <c r="H209" s="541" t="s">
        <v>868</v>
      </c>
      <c r="I209" s="542" t="s">
        <v>595</v>
      </c>
    </row>
    <row r="210" spans="1:9" x14ac:dyDescent="0.6">
      <c r="A210" s="542">
        <v>8</v>
      </c>
      <c r="B210" s="542" t="s">
        <v>5</v>
      </c>
      <c r="C210" s="542" t="s">
        <v>4</v>
      </c>
      <c r="D210" s="540" t="s">
        <v>3</v>
      </c>
      <c r="E210" s="540" t="s">
        <v>613</v>
      </c>
      <c r="F210" s="540" t="s">
        <v>614</v>
      </c>
      <c r="G210" s="540" t="s">
        <v>6</v>
      </c>
      <c r="H210" s="543" t="s">
        <v>7</v>
      </c>
      <c r="I210" s="639">
        <f>I178</f>
        <v>45574</v>
      </c>
    </row>
    <row r="211" spans="1:9" x14ac:dyDescent="0.6">
      <c r="A211" s="542"/>
      <c r="B211" s="544"/>
      <c r="C211" s="544"/>
      <c r="D211" s="540">
        <v>1</v>
      </c>
      <c r="E211" s="540"/>
      <c r="F211" s="540"/>
      <c r="G211" s="540">
        <f>Summary!J35</f>
        <v>12000</v>
      </c>
      <c r="H211" s="640">
        <f>H236</f>
        <v>0.41432867623921604</v>
      </c>
      <c r="I211" s="545"/>
    </row>
    <row r="212" spans="1:9" ht="22.5" thickBot="1" x14ac:dyDescent="0.65">
      <c r="A212" s="809"/>
      <c r="B212" s="124"/>
      <c r="C212" s="124"/>
      <c r="D212" s="125"/>
      <c r="E212" s="125"/>
      <c r="F212" s="125"/>
      <c r="G212" s="125"/>
      <c r="H212" s="126"/>
      <c r="I212" s="124"/>
    </row>
    <row r="213" spans="1:9" x14ac:dyDescent="0.6">
      <c r="A213" s="194" t="s">
        <v>605</v>
      </c>
      <c r="B213" s="166" t="s">
        <v>10</v>
      </c>
      <c r="C213" s="166" t="s">
        <v>9</v>
      </c>
      <c r="D213" s="117" t="s">
        <v>8</v>
      </c>
      <c r="E213" s="117" t="s">
        <v>613</v>
      </c>
      <c r="F213" s="117" t="s">
        <v>614</v>
      </c>
      <c r="G213" s="117" t="s">
        <v>11</v>
      </c>
      <c r="H213" s="118" t="s">
        <v>24</v>
      </c>
      <c r="I213" s="195" t="s">
        <v>25</v>
      </c>
    </row>
    <row r="214" spans="1:9" x14ac:dyDescent="0.6">
      <c r="A214" s="141" t="s">
        <v>469</v>
      </c>
      <c r="B214" s="184" t="s">
        <v>708</v>
      </c>
      <c r="C214" s="24" t="s">
        <v>23</v>
      </c>
      <c r="D214" s="25">
        <v>0.05</v>
      </c>
      <c r="E214" s="139">
        <v>0.28000000000000003</v>
      </c>
      <c r="F214" s="32">
        <f t="shared" ref="F214:F220" si="26">D214+D214*E214</f>
        <v>6.4000000000000001E-2</v>
      </c>
      <c r="G214" s="35">
        <f>33000/1.62</f>
        <v>20370.370370370369</v>
      </c>
      <c r="H214" s="68">
        <f t="shared" ref="H214:H231" si="27">F214*G214</f>
        <v>1303.7037037037037</v>
      </c>
      <c r="I214" s="161">
        <f t="shared" ref="I214:I230" si="28">H214/I$3</f>
        <v>0.62081128747795411</v>
      </c>
    </row>
    <row r="215" spans="1:9" x14ac:dyDescent="0.6">
      <c r="A215" s="141" t="s">
        <v>472</v>
      </c>
      <c r="B215" s="26" t="s">
        <v>603</v>
      </c>
      <c r="C215" s="24" t="s">
        <v>19</v>
      </c>
      <c r="D215" s="743">
        <v>2</v>
      </c>
      <c r="E215" s="139">
        <v>0</v>
      </c>
      <c r="F215" s="32">
        <f t="shared" si="26"/>
        <v>2</v>
      </c>
      <c r="G215" s="35">
        <v>330</v>
      </c>
      <c r="H215" s="68">
        <f t="shared" si="27"/>
        <v>660</v>
      </c>
      <c r="I215" s="161">
        <f t="shared" si="28"/>
        <v>0.31428571428571428</v>
      </c>
    </row>
    <row r="216" spans="1:9" x14ac:dyDescent="0.6">
      <c r="A216" s="144" t="s">
        <v>588</v>
      </c>
      <c r="B216" s="26" t="s">
        <v>493</v>
      </c>
      <c r="C216" s="24" t="s">
        <v>471</v>
      </c>
      <c r="D216" s="793">
        <v>0.01</v>
      </c>
      <c r="E216" s="139">
        <v>0.2</v>
      </c>
      <c r="F216" s="32">
        <f t="shared" si="26"/>
        <v>1.2E-2</v>
      </c>
      <c r="G216" s="143">
        <v>21000</v>
      </c>
      <c r="H216" s="68">
        <f t="shared" si="27"/>
        <v>252</v>
      </c>
      <c r="I216" s="161">
        <f t="shared" si="28"/>
        <v>0.12</v>
      </c>
    </row>
    <row r="217" spans="1:9" x14ac:dyDescent="0.6">
      <c r="A217" s="144" t="s">
        <v>546</v>
      </c>
      <c r="B217" s="26" t="s">
        <v>717</v>
      </c>
      <c r="C217" s="810" t="s">
        <v>471</v>
      </c>
      <c r="D217" s="793">
        <v>0.02</v>
      </c>
      <c r="E217" s="139">
        <v>0.2</v>
      </c>
      <c r="F217" s="32">
        <f t="shared" si="26"/>
        <v>2.4E-2</v>
      </c>
      <c r="G217" s="35">
        <v>4500</v>
      </c>
      <c r="H217" s="68">
        <f t="shared" si="27"/>
        <v>108</v>
      </c>
      <c r="I217" s="161">
        <f t="shared" si="28"/>
        <v>5.1428571428571428E-2</v>
      </c>
    </row>
    <row r="218" spans="1:9" x14ac:dyDescent="0.6">
      <c r="A218" s="141" t="s">
        <v>473</v>
      </c>
      <c r="B218" s="23" t="s">
        <v>474</v>
      </c>
      <c r="C218" s="24" t="s">
        <v>471</v>
      </c>
      <c r="D218" s="793">
        <v>0.02</v>
      </c>
      <c r="E218" s="139">
        <v>0.1</v>
      </c>
      <c r="F218" s="32">
        <f t="shared" si="26"/>
        <v>2.1999999999999999E-2</v>
      </c>
      <c r="G218" s="143">
        <v>10000</v>
      </c>
      <c r="H218" s="68">
        <f t="shared" si="27"/>
        <v>220</v>
      </c>
      <c r="I218" s="161">
        <f t="shared" si="28"/>
        <v>0.10476190476190476</v>
      </c>
    </row>
    <row r="219" spans="1:9" x14ac:dyDescent="0.6">
      <c r="A219" s="141" t="s">
        <v>475</v>
      </c>
      <c r="B219" s="23" t="s">
        <v>653</v>
      </c>
      <c r="C219" s="24" t="s">
        <v>471</v>
      </c>
      <c r="D219" s="793">
        <v>0.02</v>
      </c>
      <c r="E219" s="139">
        <v>0.08</v>
      </c>
      <c r="F219" s="32">
        <f t="shared" si="26"/>
        <v>2.1600000000000001E-2</v>
      </c>
      <c r="G219" s="143">
        <v>6000</v>
      </c>
      <c r="H219" s="68">
        <f t="shared" si="27"/>
        <v>129.6</v>
      </c>
      <c r="I219" s="161">
        <f t="shared" si="28"/>
        <v>6.1714285714285715E-2</v>
      </c>
    </row>
    <row r="220" spans="1:9" x14ac:dyDescent="0.6">
      <c r="A220" s="144" t="s">
        <v>580</v>
      </c>
      <c r="B220" s="26" t="s">
        <v>488</v>
      </c>
      <c r="C220" s="24" t="s">
        <v>598</v>
      </c>
      <c r="D220" s="25">
        <v>0.5</v>
      </c>
      <c r="E220" s="139">
        <v>0</v>
      </c>
      <c r="F220" s="32">
        <f t="shared" si="26"/>
        <v>0.5</v>
      </c>
      <c r="G220" s="35">
        <f>190000/24/8</f>
        <v>989.58333333333337</v>
      </c>
      <c r="H220" s="68">
        <f t="shared" si="27"/>
        <v>494.79166666666669</v>
      </c>
      <c r="I220" s="161">
        <f t="shared" si="28"/>
        <v>0.23561507936507936</v>
      </c>
    </row>
    <row r="221" spans="1:9" x14ac:dyDescent="0.6">
      <c r="A221" s="141" t="s">
        <v>499</v>
      </c>
      <c r="B221" s="23" t="s">
        <v>655</v>
      </c>
      <c r="C221" s="24" t="s">
        <v>471</v>
      </c>
      <c r="D221" s="793">
        <v>0.02</v>
      </c>
      <c r="E221" s="139">
        <v>0</v>
      </c>
      <c r="F221" s="32">
        <v>0.02</v>
      </c>
      <c r="G221" s="143">
        <v>7800</v>
      </c>
      <c r="H221" s="68">
        <f t="shared" si="27"/>
        <v>156</v>
      </c>
      <c r="I221" s="161">
        <f t="shared" si="28"/>
        <v>7.4285714285714288E-2</v>
      </c>
    </row>
    <row r="222" spans="1:9" x14ac:dyDescent="0.6">
      <c r="A222" s="144" t="s">
        <v>568</v>
      </c>
      <c r="B222" s="26" t="s">
        <v>494</v>
      </c>
      <c r="C222" s="24" t="s">
        <v>459</v>
      </c>
      <c r="D222" s="25">
        <v>0.02</v>
      </c>
      <c r="E222" s="139">
        <v>0</v>
      </c>
      <c r="F222" s="32">
        <f t="shared" ref="F222:F230" si="29">D222+D222*E222</f>
        <v>0.02</v>
      </c>
      <c r="G222" s="35">
        <f>21000/4.15</f>
        <v>5060.2409638554209</v>
      </c>
      <c r="H222" s="68">
        <f t="shared" si="27"/>
        <v>101.20481927710841</v>
      </c>
      <c r="I222" s="161">
        <f t="shared" si="28"/>
        <v>4.8192771084337338E-2</v>
      </c>
    </row>
    <row r="223" spans="1:9" x14ac:dyDescent="0.6">
      <c r="A223" s="141" t="s">
        <v>535</v>
      </c>
      <c r="B223" s="23" t="s">
        <v>647</v>
      </c>
      <c r="C223" s="24" t="s">
        <v>471</v>
      </c>
      <c r="D223" s="25">
        <v>0.01</v>
      </c>
      <c r="E223" s="139">
        <v>0</v>
      </c>
      <c r="F223" s="32">
        <f t="shared" si="29"/>
        <v>0.01</v>
      </c>
      <c r="G223" s="35">
        <v>8500</v>
      </c>
      <c r="H223" s="68">
        <f t="shared" si="27"/>
        <v>85</v>
      </c>
      <c r="I223" s="161">
        <f t="shared" si="28"/>
        <v>4.0476190476190478E-2</v>
      </c>
    </row>
    <row r="224" spans="1:9" x14ac:dyDescent="0.6">
      <c r="A224" s="141" t="s">
        <v>535</v>
      </c>
      <c r="B224" s="26" t="s">
        <v>609</v>
      </c>
      <c r="C224" s="24" t="s">
        <v>471</v>
      </c>
      <c r="D224" s="25">
        <v>0.01</v>
      </c>
      <c r="E224" s="139">
        <v>0</v>
      </c>
      <c r="F224" s="32">
        <f t="shared" si="29"/>
        <v>0.01</v>
      </c>
      <c r="G224" s="162">
        <v>14000</v>
      </c>
      <c r="H224" s="68">
        <f t="shared" si="27"/>
        <v>140</v>
      </c>
      <c r="I224" s="161">
        <f t="shared" si="28"/>
        <v>6.6666666666666666E-2</v>
      </c>
    </row>
    <row r="225" spans="1:9" s="246" customFormat="1" x14ac:dyDescent="0.6">
      <c r="A225" s="141" t="s">
        <v>960</v>
      </c>
      <c r="B225" s="26" t="s">
        <v>650</v>
      </c>
      <c r="C225" s="24" t="s">
        <v>463</v>
      </c>
      <c r="D225" s="25">
        <v>5.0000000000000001E-3</v>
      </c>
      <c r="E225" s="139">
        <v>0</v>
      </c>
      <c r="F225" s="32">
        <f t="shared" si="29"/>
        <v>5.0000000000000001E-3</v>
      </c>
      <c r="G225" s="35">
        <v>3600</v>
      </c>
      <c r="H225" s="68">
        <f t="shared" si="27"/>
        <v>18</v>
      </c>
      <c r="I225" s="161">
        <f t="shared" si="28"/>
        <v>8.5714285714285719E-3</v>
      </c>
    </row>
    <row r="226" spans="1:9" s="246" customFormat="1" x14ac:dyDescent="0.6">
      <c r="A226" s="26">
        <v>11100028</v>
      </c>
      <c r="B226" s="26" t="s">
        <v>919</v>
      </c>
      <c r="C226" s="24" t="s">
        <v>459</v>
      </c>
      <c r="D226" s="25">
        <v>5.0000000000000001E-3</v>
      </c>
      <c r="E226" s="139">
        <v>0</v>
      </c>
      <c r="F226" s="32">
        <f t="shared" si="29"/>
        <v>5.0000000000000001E-3</v>
      </c>
      <c r="G226" s="35">
        <v>70000</v>
      </c>
      <c r="H226" s="68">
        <f t="shared" si="27"/>
        <v>350</v>
      </c>
      <c r="I226" s="161">
        <f t="shared" si="28"/>
        <v>0.16666666666666666</v>
      </c>
    </row>
    <row r="227" spans="1:9" x14ac:dyDescent="0.6">
      <c r="A227" s="26">
        <v>11100028</v>
      </c>
      <c r="B227" s="23" t="s">
        <v>637</v>
      </c>
      <c r="C227" s="24" t="s">
        <v>20</v>
      </c>
      <c r="D227" s="32">
        <v>0.02</v>
      </c>
      <c r="E227" s="136">
        <v>0</v>
      </c>
      <c r="F227" s="32">
        <f t="shared" si="29"/>
        <v>0.02</v>
      </c>
      <c r="G227" s="39">
        <v>500</v>
      </c>
      <c r="H227" s="68">
        <f t="shared" si="27"/>
        <v>10</v>
      </c>
      <c r="I227" s="160">
        <f t="shared" si="28"/>
        <v>4.7619047619047623E-3</v>
      </c>
    </row>
    <row r="228" spans="1:9" x14ac:dyDescent="0.6">
      <c r="A228" s="26">
        <v>11100028</v>
      </c>
      <c r="B228" s="23" t="s">
        <v>625</v>
      </c>
      <c r="C228" s="24" t="s">
        <v>471</v>
      </c>
      <c r="D228" s="25">
        <v>0.03</v>
      </c>
      <c r="E228" s="139">
        <v>0</v>
      </c>
      <c r="F228" s="32">
        <f t="shared" si="29"/>
        <v>0.03</v>
      </c>
      <c r="G228" s="143">
        <v>7000</v>
      </c>
      <c r="H228" s="68">
        <f t="shared" si="27"/>
        <v>210</v>
      </c>
      <c r="I228" s="161">
        <f t="shared" si="28"/>
        <v>0.1</v>
      </c>
    </row>
    <row r="229" spans="1:9" x14ac:dyDescent="0.6">
      <c r="A229" s="26">
        <v>11100028</v>
      </c>
      <c r="B229" s="23" t="s">
        <v>601</v>
      </c>
      <c r="C229" s="24" t="s">
        <v>19</v>
      </c>
      <c r="D229" s="25">
        <v>0.1</v>
      </c>
      <c r="E229" s="139">
        <v>0</v>
      </c>
      <c r="F229" s="32">
        <f t="shared" si="29"/>
        <v>0.1</v>
      </c>
      <c r="G229" s="35">
        <v>800</v>
      </c>
      <c r="H229" s="68">
        <f t="shared" si="27"/>
        <v>80</v>
      </c>
      <c r="I229" s="161">
        <f t="shared" si="28"/>
        <v>3.8095238095238099E-2</v>
      </c>
    </row>
    <row r="230" spans="1:9" x14ac:dyDescent="0.6">
      <c r="A230" s="26">
        <v>11100028</v>
      </c>
      <c r="B230" s="805" t="s">
        <v>652</v>
      </c>
      <c r="C230" s="24" t="s">
        <v>471</v>
      </c>
      <c r="D230" s="25">
        <v>0.01</v>
      </c>
      <c r="E230" s="139">
        <v>0</v>
      </c>
      <c r="F230" s="32">
        <f t="shared" si="29"/>
        <v>0.01</v>
      </c>
      <c r="G230" s="35">
        <v>7000</v>
      </c>
      <c r="H230" s="68">
        <f t="shared" si="27"/>
        <v>70</v>
      </c>
      <c r="I230" s="161">
        <f t="shared" si="28"/>
        <v>3.3333333333333333E-2</v>
      </c>
    </row>
    <row r="231" spans="1:9" ht="22.5" thickBot="1" x14ac:dyDescent="0.65">
      <c r="A231" s="119"/>
      <c r="B231" s="806"/>
      <c r="C231" s="31"/>
      <c r="D231" s="32"/>
      <c r="E231" s="136"/>
      <c r="F231" s="32"/>
      <c r="G231" s="39"/>
      <c r="H231" s="68">
        <f t="shared" si="27"/>
        <v>0</v>
      </c>
      <c r="I231" s="160"/>
    </row>
    <row r="232" spans="1:9" x14ac:dyDescent="0.6">
      <c r="A232" s="203"/>
      <c r="B232" s="204" t="s">
        <v>4</v>
      </c>
      <c r="C232" s="205"/>
      <c r="D232" s="206"/>
      <c r="E232" s="206"/>
      <c r="F232" s="206"/>
      <c r="G232" s="206"/>
      <c r="H232" s="207">
        <f>SUM(H214:H230)</f>
        <v>4388.300189647478</v>
      </c>
      <c r="I232" s="208">
        <f>SUM(I214:I230)</f>
        <v>2.0896667569749896</v>
      </c>
    </row>
    <row r="233" spans="1:9" x14ac:dyDescent="0.6">
      <c r="A233" s="209"/>
      <c r="B233" s="210" t="s">
        <v>14</v>
      </c>
      <c r="C233" s="211"/>
      <c r="D233" s="212"/>
      <c r="E233" s="212"/>
      <c r="F233" s="213"/>
      <c r="G233" s="212"/>
      <c r="H233" s="214">
        <f>H232/1</f>
        <v>4388.300189647478</v>
      </c>
      <c r="I233" s="104"/>
    </row>
    <row r="234" spans="1:9" x14ac:dyDescent="0.6">
      <c r="A234" s="209"/>
      <c r="B234" s="210" t="s">
        <v>453</v>
      </c>
      <c r="C234" s="211"/>
      <c r="D234" s="212"/>
      <c r="E234" s="212"/>
      <c r="F234" s="212"/>
      <c r="G234" s="212"/>
      <c r="H234" s="476">
        <f>G211</f>
        <v>12000</v>
      </c>
      <c r="I234" s="476"/>
    </row>
    <row r="235" spans="1:9" x14ac:dyDescent="0.6">
      <c r="A235" s="209"/>
      <c r="B235" s="168" t="s">
        <v>455</v>
      </c>
      <c r="C235" s="211"/>
      <c r="D235" s="212"/>
      <c r="E235" s="212"/>
      <c r="F235" s="212"/>
      <c r="G235" s="212"/>
      <c r="H235" s="104">
        <f>H234/113.3%</f>
        <v>10591.35039717564</v>
      </c>
      <c r="I235" s="104"/>
    </row>
    <row r="236" spans="1:9" x14ac:dyDescent="0.6">
      <c r="A236" s="209"/>
      <c r="B236" s="210" t="s">
        <v>16</v>
      </c>
      <c r="C236" s="211"/>
      <c r="D236" s="212"/>
      <c r="E236" s="212"/>
      <c r="F236" s="212"/>
      <c r="G236" s="212"/>
      <c r="H236" s="609">
        <f>H233/H235</f>
        <v>0.41432867623921604</v>
      </c>
      <c r="I236" s="609"/>
    </row>
    <row r="237" spans="1:9" x14ac:dyDescent="0.6">
      <c r="A237" s="209"/>
      <c r="B237" s="210"/>
      <c r="C237" s="211"/>
      <c r="D237" s="212"/>
      <c r="E237" s="212"/>
      <c r="F237" s="212"/>
      <c r="G237" s="212"/>
      <c r="H237" s="214"/>
      <c r="I237" s="215"/>
    </row>
    <row r="238" spans="1:9" ht="22.5" thickBot="1" x14ac:dyDescent="0.65">
      <c r="A238" s="209"/>
      <c r="B238" s="216"/>
      <c r="C238" s="217"/>
      <c r="D238" s="218"/>
      <c r="E238" s="218"/>
      <c r="F238" s="218"/>
      <c r="G238" s="218"/>
      <c r="H238" s="219"/>
      <c r="I238" s="220"/>
    </row>
    <row r="242" spans="1:9" ht="22.5" thickBot="1" x14ac:dyDescent="0.65">
      <c r="B242" s="76"/>
      <c r="C242" s="76"/>
      <c r="D242" s="116" t="s">
        <v>0</v>
      </c>
      <c r="E242" s="116"/>
      <c r="F242" s="116"/>
      <c r="G242" s="61"/>
      <c r="H242" s="62"/>
      <c r="I242" s="60"/>
    </row>
    <row r="243" spans="1:9" x14ac:dyDescent="0.6">
      <c r="A243" s="537" t="s">
        <v>665</v>
      </c>
      <c r="B243" s="539" t="s">
        <v>902</v>
      </c>
      <c r="C243" s="539"/>
      <c r="D243" s="540"/>
      <c r="E243" s="540"/>
      <c r="F243" s="540"/>
      <c r="G243" s="540" t="s">
        <v>1</v>
      </c>
      <c r="H243" s="541" t="s">
        <v>868</v>
      </c>
      <c r="I243" s="542" t="s">
        <v>595</v>
      </c>
    </row>
    <row r="244" spans="1:9" x14ac:dyDescent="0.6">
      <c r="A244" s="542">
        <v>9</v>
      </c>
      <c r="B244" s="542" t="s">
        <v>5</v>
      </c>
      <c r="C244" s="542" t="s">
        <v>4</v>
      </c>
      <c r="D244" s="540" t="s">
        <v>3</v>
      </c>
      <c r="E244" s="540" t="s">
        <v>613</v>
      </c>
      <c r="F244" s="540" t="s">
        <v>614</v>
      </c>
      <c r="G244" s="540" t="s">
        <v>6</v>
      </c>
      <c r="H244" s="543" t="s">
        <v>7</v>
      </c>
      <c r="I244" s="639">
        <f>I210</f>
        <v>45574</v>
      </c>
    </row>
    <row r="245" spans="1:9" x14ac:dyDescent="0.6">
      <c r="A245" s="542"/>
      <c r="B245" s="544"/>
      <c r="C245" s="544"/>
      <c r="D245" s="540">
        <v>1</v>
      </c>
      <c r="E245" s="540"/>
      <c r="F245" s="540"/>
      <c r="G245" s="540">
        <f>Summary!J36</f>
        <v>12000</v>
      </c>
      <c r="H245" s="640">
        <f>H269</f>
        <v>0.3862650882245649</v>
      </c>
      <c r="I245" s="545"/>
    </row>
    <row r="246" spans="1:9" ht="22.5" thickBot="1" x14ac:dyDescent="0.65">
      <c r="A246" s="809"/>
      <c r="B246" s="124"/>
      <c r="C246" s="124"/>
      <c r="D246" s="125"/>
      <c r="E246" s="125"/>
      <c r="F246" s="125"/>
      <c r="G246" s="125"/>
      <c r="H246" s="126"/>
      <c r="I246" s="124"/>
    </row>
    <row r="247" spans="1:9" x14ac:dyDescent="0.6">
      <c r="A247" s="194" t="s">
        <v>605</v>
      </c>
      <c r="B247" s="166" t="s">
        <v>10</v>
      </c>
      <c r="C247" s="166" t="s">
        <v>9</v>
      </c>
      <c r="D247" s="117" t="s">
        <v>8</v>
      </c>
      <c r="E247" s="117" t="s">
        <v>613</v>
      </c>
      <c r="F247" s="117" t="s">
        <v>614</v>
      </c>
      <c r="G247" s="117" t="s">
        <v>11</v>
      </c>
      <c r="H247" s="118" t="s">
        <v>24</v>
      </c>
      <c r="I247" s="195" t="s">
        <v>25</v>
      </c>
    </row>
    <row r="248" spans="1:9" x14ac:dyDescent="0.6">
      <c r="A248" s="141" t="s">
        <v>469</v>
      </c>
      <c r="B248" s="184" t="s">
        <v>464</v>
      </c>
      <c r="C248" s="24" t="s">
        <v>23</v>
      </c>
      <c r="D248" s="25">
        <v>0.05</v>
      </c>
      <c r="E248" s="139">
        <v>0.35</v>
      </c>
      <c r="F248" s="32">
        <f t="shared" ref="F248:F252" si="30">D248+D248*E248</f>
        <v>6.7500000000000004E-2</v>
      </c>
      <c r="G248" s="35">
        <f>22000/1.62</f>
        <v>13580.246913580246</v>
      </c>
      <c r="H248" s="68">
        <f t="shared" ref="H248:H263" si="31">F248*G248</f>
        <v>916.66666666666663</v>
      </c>
      <c r="I248" s="161">
        <f t="shared" ref="I248:I263" si="32">H248/I$3</f>
        <v>0.43650793650793651</v>
      </c>
    </row>
    <row r="249" spans="1:9" x14ac:dyDescent="0.6">
      <c r="A249" s="144" t="s">
        <v>588</v>
      </c>
      <c r="B249" s="26" t="s">
        <v>493</v>
      </c>
      <c r="C249" s="24" t="s">
        <v>471</v>
      </c>
      <c r="D249" s="793">
        <v>0.01</v>
      </c>
      <c r="E249" s="139">
        <v>0.2</v>
      </c>
      <c r="F249" s="32">
        <f t="shared" si="30"/>
        <v>1.2E-2</v>
      </c>
      <c r="G249" s="143">
        <v>21000</v>
      </c>
      <c r="H249" s="68">
        <f t="shared" si="31"/>
        <v>252</v>
      </c>
      <c r="I249" s="161">
        <f t="shared" si="32"/>
        <v>0.12</v>
      </c>
    </row>
    <row r="250" spans="1:9" x14ac:dyDescent="0.6">
      <c r="A250" s="141" t="s">
        <v>473</v>
      </c>
      <c r="B250" s="23" t="s">
        <v>474</v>
      </c>
      <c r="C250" s="24" t="s">
        <v>471</v>
      </c>
      <c r="D250" s="793">
        <v>0.02</v>
      </c>
      <c r="E250" s="139">
        <v>0.1</v>
      </c>
      <c r="F250" s="32">
        <f t="shared" si="30"/>
        <v>2.1999999999999999E-2</v>
      </c>
      <c r="G250" s="143">
        <v>10000</v>
      </c>
      <c r="H250" s="68">
        <f t="shared" si="31"/>
        <v>220</v>
      </c>
      <c r="I250" s="161">
        <f t="shared" si="32"/>
        <v>0.10476190476190476</v>
      </c>
    </row>
    <row r="251" spans="1:9" s="246" customFormat="1" x14ac:dyDescent="0.6">
      <c r="A251" s="141" t="s">
        <v>475</v>
      </c>
      <c r="B251" s="23" t="s">
        <v>663</v>
      </c>
      <c r="C251" s="24" t="s">
        <v>471</v>
      </c>
      <c r="D251" s="793">
        <v>0.01</v>
      </c>
      <c r="E251" s="139">
        <v>0.08</v>
      </c>
      <c r="F251" s="32">
        <f t="shared" si="30"/>
        <v>1.0800000000000001E-2</v>
      </c>
      <c r="G251" s="143">
        <v>20000</v>
      </c>
      <c r="H251" s="68">
        <f t="shared" si="31"/>
        <v>216</v>
      </c>
      <c r="I251" s="161">
        <f t="shared" si="32"/>
        <v>0.10285714285714286</v>
      </c>
    </row>
    <row r="252" spans="1:9" x14ac:dyDescent="0.6">
      <c r="A252" s="144" t="s">
        <v>580</v>
      </c>
      <c r="B252" s="26" t="s">
        <v>488</v>
      </c>
      <c r="C252" s="24" t="s">
        <v>907</v>
      </c>
      <c r="D252" s="25">
        <v>0.3</v>
      </c>
      <c r="E252" s="139">
        <v>0</v>
      </c>
      <c r="F252" s="32">
        <f t="shared" si="30"/>
        <v>0.3</v>
      </c>
      <c r="G252" s="35">
        <f>190000/24/8</f>
        <v>989.58333333333337</v>
      </c>
      <c r="H252" s="68">
        <f t="shared" si="31"/>
        <v>296.875</v>
      </c>
      <c r="I252" s="161">
        <f t="shared" si="32"/>
        <v>0.14136904761904762</v>
      </c>
    </row>
    <row r="253" spans="1:9" x14ac:dyDescent="0.6">
      <c r="A253" s="141" t="s">
        <v>499</v>
      </c>
      <c r="B253" s="23" t="s">
        <v>672</v>
      </c>
      <c r="C253" s="24" t="s">
        <v>471</v>
      </c>
      <c r="D253" s="793">
        <v>0.03</v>
      </c>
      <c r="E253" s="139">
        <v>0.08</v>
      </c>
      <c r="F253" s="32">
        <f t="shared" ref="F253" si="33">D253+D253*E253</f>
        <v>3.2399999999999998E-2</v>
      </c>
      <c r="G253" s="143">
        <v>7800</v>
      </c>
      <c r="H253" s="68">
        <f t="shared" ref="H253" si="34">F253*G253</f>
        <v>252.72</v>
      </c>
      <c r="I253" s="161">
        <f t="shared" ref="I253" si="35">H253/I$3</f>
        <v>0.12034285714285714</v>
      </c>
    </row>
    <row r="254" spans="1:9" x14ac:dyDescent="0.6">
      <c r="A254" s="144" t="s">
        <v>568</v>
      </c>
      <c r="B254" s="26" t="s">
        <v>494</v>
      </c>
      <c r="C254" s="24" t="s">
        <v>459</v>
      </c>
      <c r="D254" s="25">
        <v>0.03</v>
      </c>
      <c r="E254" s="139">
        <v>0</v>
      </c>
      <c r="F254" s="32">
        <f t="shared" ref="F254:F263" si="36">D254+D254*E254</f>
        <v>0.03</v>
      </c>
      <c r="G254" s="35">
        <f>21000/4.15</f>
        <v>5060.2409638554209</v>
      </c>
      <c r="H254" s="68">
        <f t="shared" si="31"/>
        <v>151.80722891566262</v>
      </c>
      <c r="I254" s="161">
        <f t="shared" si="32"/>
        <v>7.2289156626506007E-2</v>
      </c>
    </row>
    <row r="255" spans="1:9" x14ac:dyDescent="0.6">
      <c r="A255" s="141" t="s">
        <v>535</v>
      </c>
      <c r="B255" s="23" t="s">
        <v>647</v>
      </c>
      <c r="C255" s="24" t="s">
        <v>471</v>
      </c>
      <c r="D255" s="25">
        <v>0.01</v>
      </c>
      <c r="E255" s="139">
        <v>0</v>
      </c>
      <c r="F255" s="32">
        <f t="shared" si="36"/>
        <v>0.01</v>
      </c>
      <c r="G255" s="35">
        <v>8500</v>
      </c>
      <c r="H255" s="68">
        <f t="shared" si="31"/>
        <v>85</v>
      </c>
      <c r="I255" s="161">
        <f t="shared" si="32"/>
        <v>4.0476190476190478E-2</v>
      </c>
    </row>
    <row r="256" spans="1:9" x14ac:dyDescent="0.6">
      <c r="A256" s="141" t="s">
        <v>535</v>
      </c>
      <c r="B256" s="26" t="s">
        <v>609</v>
      </c>
      <c r="C256" s="24" t="s">
        <v>471</v>
      </c>
      <c r="D256" s="25">
        <v>0.01</v>
      </c>
      <c r="E256" s="139">
        <v>0</v>
      </c>
      <c r="F256" s="32">
        <f t="shared" si="36"/>
        <v>0.01</v>
      </c>
      <c r="G256" s="162">
        <v>14000</v>
      </c>
      <c r="H256" s="68">
        <f t="shared" si="31"/>
        <v>140</v>
      </c>
      <c r="I256" s="161">
        <f t="shared" si="32"/>
        <v>6.6666666666666666E-2</v>
      </c>
    </row>
    <row r="257" spans="1:9" s="246" customFormat="1" x14ac:dyDescent="0.6">
      <c r="A257" s="145"/>
      <c r="B257" s="26" t="s">
        <v>920</v>
      </c>
      <c r="C257" s="24" t="s">
        <v>13</v>
      </c>
      <c r="D257" s="25">
        <v>0.05</v>
      </c>
      <c r="E257" s="139">
        <v>0</v>
      </c>
      <c r="F257" s="32">
        <f t="shared" si="36"/>
        <v>0.05</v>
      </c>
      <c r="G257" s="162">
        <v>1400</v>
      </c>
      <c r="H257" s="68">
        <f t="shared" si="31"/>
        <v>70</v>
      </c>
      <c r="I257" s="161">
        <f t="shared" si="32"/>
        <v>3.3333333333333333E-2</v>
      </c>
    </row>
    <row r="258" spans="1:9" x14ac:dyDescent="0.6">
      <c r="A258" s="145"/>
      <c r="B258" s="26" t="s">
        <v>690</v>
      </c>
      <c r="C258" s="24" t="s">
        <v>471</v>
      </c>
      <c r="D258" s="25">
        <v>0.03</v>
      </c>
      <c r="E258" s="139">
        <v>0</v>
      </c>
      <c r="F258" s="32">
        <f t="shared" ref="F258" si="37">D258+D258*E258</f>
        <v>0.03</v>
      </c>
      <c r="G258" s="162">
        <v>8000</v>
      </c>
      <c r="H258" s="68">
        <f t="shared" ref="H258" si="38">F258*G258</f>
        <v>240</v>
      </c>
      <c r="I258" s="161">
        <f t="shared" ref="I258" si="39">H258/I$3</f>
        <v>0.11428571428571428</v>
      </c>
    </row>
    <row r="259" spans="1:9" s="246" customFormat="1" x14ac:dyDescent="0.6">
      <c r="A259" s="201">
        <v>11100028</v>
      </c>
      <c r="B259" s="26" t="s">
        <v>919</v>
      </c>
      <c r="C259" s="24" t="s">
        <v>471</v>
      </c>
      <c r="D259" s="25">
        <v>5.0000000000000001E-3</v>
      </c>
      <c r="E259" s="139">
        <v>0</v>
      </c>
      <c r="F259" s="32">
        <f t="shared" si="36"/>
        <v>5.0000000000000001E-3</v>
      </c>
      <c r="G259" s="35">
        <v>70000</v>
      </c>
      <c r="H259" s="68">
        <f t="shared" si="31"/>
        <v>350</v>
      </c>
      <c r="I259" s="161">
        <f t="shared" si="32"/>
        <v>0.16666666666666666</v>
      </c>
    </row>
    <row r="260" spans="1:9" x14ac:dyDescent="0.6">
      <c r="A260" s="804"/>
      <c r="B260" s="23" t="s">
        <v>682</v>
      </c>
      <c r="C260" s="24" t="s">
        <v>13</v>
      </c>
      <c r="D260" s="32">
        <v>2</v>
      </c>
      <c r="E260" s="136">
        <v>0</v>
      </c>
      <c r="F260" s="32">
        <f t="shared" si="36"/>
        <v>2</v>
      </c>
      <c r="G260" s="39">
        <v>100</v>
      </c>
      <c r="H260" s="68">
        <f t="shared" si="31"/>
        <v>200</v>
      </c>
      <c r="I260" s="160">
        <f t="shared" si="32"/>
        <v>9.5238095238095233E-2</v>
      </c>
    </row>
    <row r="261" spans="1:9" x14ac:dyDescent="0.6">
      <c r="A261" s="141" t="s">
        <v>484</v>
      </c>
      <c r="B261" s="23" t="s">
        <v>625</v>
      </c>
      <c r="C261" s="24" t="s">
        <v>471</v>
      </c>
      <c r="D261" s="25">
        <v>0.03</v>
      </c>
      <c r="E261" s="139">
        <v>0</v>
      </c>
      <c r="F261" s="32">
        <f t="shared" si="36"/>
        <v>0.03</v>
      </c>
      <c r="G261" s="143">
        <v>7000</v>
      </c>
      <c r="H261" s="68">
        <f t="shared" si="31"/>
        <v>210</v>
      </c>
      <c r="I261" s="161">
        <f t="shared" si="32"/>
        <v>0.1</v>
      </c>
    </row>
    <row r="262" spans="1:9" x14ac:dyDescent="0.6">
      <c r="A262" s="138"/>
      <c r="B262" s="23" t="s">
        <v>683</v>
      </c>
      <c r="C262" s="24" t="s">
        <v>471</v>
      </c>
      <c r="D262" s="25">
        <v>0.01</v>
      </c>
      <c r="E262" s="139">
        <v>0</v>
      </c>
      <c r="F262" s="32">
        <f t="shared" si="36"/>
        <v>0.01</v>
      </c>
      <c r="G262" s="35">
        <v>35000</v>
      </c>
      <c r="H262" s="68">
        <f t="shared" si="31"/>
        <v>350</v>
      </c>
      <c r="I262" s="161">
        <f t="shared" si="32"/>
        <v>0.16666666666666666</v>
      </c>
    </row>
    <row r="263" spans="1:9" x14ac:dyDescent="0.6">
      <c r="A263" s="184"/>
      <c r="B263" s="805" t="s">
        <v>652</v>
      </c>
      <c r="C263" s="24" t="s">
        <v>471</v>
      </c>
      <c r="D263" s="25">
        <v>0.02</v>
      </c>
      <c r="E263" s="139">
        <v>0</v>
      </c>
      <c r="F263" s="32">
        <f t="shared" si="36"/>
        <v>0.02</v>
      </c>
      <c r="G263" s="35">
        <v>7000</v>
      </c>
      <c r="H263" s="68">
        <f t="shared" si="31"/>
        <v>140</v>
      </c>
      <c r="I263" s="161">
        <f t="shared" si="32"/>
        <v>6.6666666666666666E-2</v>
      </c>
    </row>
    <row r="264" spans="1:9" ht="22.5" thickBot="1" x14ac:dyDescent="0.65">
      <c r="A264" s="119"/>
      <c r="B264" s="806"/>
      <c r="C264" s="31"/>
      <c r="D264" s="32"/>
      <c r="E264" s="136"/>
      <c r="F264" s="32"/>
      <c r="G264" s="39"/>
      <c r="H264" s="202"/>
      <c r="I264" s="160"/>
    </row>
    <row r="265" spans="1:9" x14ac:dyDescent="0.6">
      <c r="A265" s="203"/>
      <c r="B265" s="204" t="s">
        <v>4</v>
      </c>
      <c r="C265" s="205"/>
      <c r="D265" s="206"/>
      <c r="E265" s="206"/>
      <c r="F265" s="206"/>
      <c r="G265" s="206"/>
      <c r="H265" s="207">
        <f>SUM(H248:H263)</f>
        <v>4091.0688955823289</v>
      </c>
      <c r="I265" s="208">
        <f>SUM(I248:I263)</f>
        <v>1.9481280455153951</v>
      </c>
    </row>
    <row r="266" spans="1:9" x14ac:dyDescent="0.6">
      <c r="A266" s="209"/>
      <c r="B266" s="210" t="s">
        <v>14</v>
      </c>
      <c r="C266" s="211"/>
      <c r="D266" s="212"/>
      <c r="E266" s="212"/>
      <c r="F266" s="213"/>
      <c r="G266" s="212"/>
      <c r="H266" s="214">
        <f>H265/1</f>
        <v>4091.0688955823289</v>
      </c>
      <c r="I266" s="104"/>
    </row>
    <row r="267" spans="1:9" x14ac:dyDescent="0.6">
      <c r="A267" s="209"/>
      <c r="B267" s="210" t="s">
        <v>453</v>
      </c>
      <c r="C267" s="211"/>
      <c r="D267" s="212"/>
      <c r="E267" s="212"/>
      <c r="F267" s="212"/>
      <c r="G267" s="212"/>
      <c r="H267" s="476">
        <f>G245</f>
        <v>12000</v>
      </c>
      <c r="I267" s="476"/>
    </row>
    <row r="268" spans="1:9" x14ac:dyDescent="0.6">
      <c r="A268" s="209"/>
      <c r="B268" s="168" t="s">
        <v>455</v>
      </c>
      <c r="C268" s="211"/>
      <c r="D268" s="212"/>
      <c r="E268" s="212"/>
      <c r="F268" s="212"/>
      <c r="G268" s="212"/>
      <c r="H268" s="104">
        <f>H267/113.3%</f>
        <v>10591.35039717564</v>
      </c>
      <c r="I268" s="104"/>
    </row>
    <row r="269" spans="1:9" x14ac:dyDescent="0.6">
      <c r="A269" s="209"/>
      <c r="B269" s="210" t="s">
        <v>16</v>
      </c>
      <c r="C269" s="211"/>
      <c r="D269" s="212"/>
      <c r="E269" s="212"/>
      <c r="F269" s="212"/>
      <c r="G269" s="212"/>
      <c r="H269" s="609">
        <f>H266/H268</f>
        <v>0.3862650882245649</v>
      </c>
      <c r="I269" s="609"/>
    </row>
    <row r="270" spans="1:9" x14ac:dyDescent="0.6">
      <c r="A270" s="209"/>
      <c r="B270" s="210"/>
      <c r="C270" s="211"/>
      <c r="D270" s="212"/>
      <c r="E270" s="212"/>
      <c r="F270" s="212"/>
      <c r="G270" s="212"/>
      <c r="H270" s="214"/>
      <c r="I270" s="215"/>
    </row>
    <row r="271" spans="1:9" ht="22.5" thickBot="1" x14ac:dyDescent="0.65">
      <c r="A271" s="209"/>
      <c r="B271" s="216"/>
      <c r="C271" s="217"/>
      <c r="D271" s="218"/>
      <c r="E271" s="218"/>
      <c r="F271" s="218"/>
      <c r="G271" s="218"/>
      <c r="H271" s="219"/>
      <c r="I271" s="220"/>
    </row>
    <row r="274" spans="1:9" ht="22.5" thickBot="1" x14ac:dyDescent="0.65">
      <c r="B274" s="76"/>
      <c r="C274" s="76"/>
      <c r="D274" s="116" t="s">
        <v>0</v>
      </c>
      <c r="E274" s="116"/>
      <c r="F274" s="116"/>
      <c r="G274" s="61"/>
      <c r="H274" s="62"/>
      <c r="I274" s="60"/>
    </row>
    <row r="275" spans="1:9" x14ac:dyDescent="0.6">
      <c r="A275" s="537" t="s">
        <v>722</v>
      </c>
      <c r="B275" s="539" t="s">
        <v>903</v>
      </c>
      <c r="C275" s="539"/>
      <c r="D275" s="540"/>
      <c r="E275" s="540"/>
      <c r="F275" s="540"/>
      <c r="G275" s="540" t="s">
        <v>1</v>
      </c>
      <c r="H275" s="541" t="s">
        <v>868</v>
      </c>
      <c r="I275" s="542" t="s">
        <v>595</v>
      </c>
    </row>
    <row r="276" spans="1:9" x14ac:dyDescent="0.6">
      <c r="A276" s="542">
        <v>10</v>
      </c>
      <c r="B276" s="542" t="s">
        <v>5</v>
      </c>
      <c r="C276" s="542" t="s">
        <v>4</v>
      </c>
      <c r="D276" s="540" t="s">
        <v>3</v>
      </c>
      <c r="E276" s="540" t="s">
        <v>613</v>
      </c>
      <c r="F276" s="540" t="s">
        <v>614</v>
      </c>
      <c r="G276" s="540" t="s">
        <v>6</v>
      </c>
      <c r="H276" s="543" t="s">
        <v>7</v>
      </c>
      <c r="I276" s="639">
        <f>I244</f>
        <v>45574</v>
      </c>
    </row>
    <row r="277" spans="1:9" x14ac:dyDescent="0.6">
      <c r="A277" s="542"/>
      <c r="B277" s="544"/>
      <c r="C277" s="544"/>
      <c r="D277" s="540">
        <v>1</v>
      </c>
      <c r="E277" s="540"/>
      <c r="F277" s="540"/>
      <c r="G277" s="540">
        <f>Summary!J37</f>
        <v>12000</v>
      </c>
      <c r="H277" s="640">
        <f>H300</f>
        <v>0.37691000513814515</v>
      </c>
      <c r="I277" s="545"/>
    </row>
    <row r="278" spans="1:9" ht="22.5" thickBot="1" x14ac:dyDescent="0.65">
      <c r="A278" s="809"/>
      <c r="B278" s="124"/>
      <c r="C278" s="124"/>
      <c r="D278" s="125"/>
      <c r="E278" s="125"/>
      <c r="F278" s="125"/>
      <c r="G278" s="125"/>
      <c r="H278" s="126"/>
      <c r="I278" s="124"/>
    </row>
    <row r="279" spans="1:9" x14ac:dyDescent="0.6">
      <c r="A279" s="194" t="s">
        <v>605</v>
      </c>
      <c r="B279" s="166" t="s">
        <v>10</v>
      </c>
      <c r="C279" s="166" t="s">
        <v>9</v>
      </c>
      <c r="D279" s="117" t="s">
        <v>8</v>
      </c>
      <c r="E279" s="117" t="s">
        <v>613</v>
      </c>
      <c r="F279" s="117" t="s">
        <v>614</v>
      </c>
      <c r="G279" s="117" t="s">
        <v>11</v>
      </c>
      <c r="H279" s="118" t="s">
        <v>24</v>
      </c>
      <c r="I279" s="195" t="s">
        <v>25</v>
      </c>
    </row>
    <row r="280" spans="1:9" x14ac:dyDescent="0.6">
      <c r="A280" s="141" t="s">
        <v>469</v>
      </c>
      <c r="B280" s="184" t="s">
        <v>681</v>
      </c>
      <c r="C280" s="24" t="s">
        <v>23</v>
      </c>
      <c r="D280" s="25">
        <v>0.05</v>
      </c>
      <c r="E280" s="139">
        <v>0.28000000000000003</v>
      </c>
      <c r="F280" s="32">
        <f t="shared" ref="F280:F284" si="40">D280+D280*E280</f>
        <v>6.4000000000000001E-2</v>
      </c>
      <c r="G280" s="35">
        <f>33000/1.62</f>
        <v>20370.370370370369</v>
      </c>
      <c r="H280" s="68">
        <f t="shared" ref="H280:H294" si="41">F280*G280</f>
        <v>1303.7037037037037</v>
      </c>
      <c r="I280" s="161">
        <f t="shared" ref="I280:I294" si="42">H280/I$3</f>
        <v>0.62081128747795411</v>
      </c>
    </row>
    <row r="281" spans="1:9" x14ac:dyDescent="0.6">
      <c r="A281" s="144" t="s">
        <v>588</v>
      </c>
      <c r="B281" s="26" t="s">
        <v>493</v>
      </c>
      <c r="C281" s="24" t="s">
        <v>471</v>
      </c>
      <c r="D281" s="793">
        <v>0.01</v>
      </c>
      <c r="E281" s="139">
        <v>0.2</v>
      </c>
      <c r="F281" s="32">
        <f t="shared" si="40"/>
        <v>1.2E-2</v>
      </c>
      <c r="G281" s="143">
        <v>21000</v>
      </c>
      <c r="H281" s="68">
        <f t="shared" si="41"/>
        <v>252</v>
      </c>
      <c r="I281" s="161">
        <f t="shared" si="42"/>
        <v>0.12</v>
      </c>
    </row>
    <row r="282" spans="1:9" x14ac:dyDescent="0.6">
      <c r="A282" s="141" t="s">
        <v>473</v>
      </c>
      <c r="B282" s="23" t="s">
        <v>474</v>
      </c>
      <c r="C282" s="24" t="s">
        <v>471</v>
      </c>
      <c r="D282" s="793">
        <v>0.02</v>
      </c>
      <c r="E282" s="139">
        <v>0.1</v>
      </c>
      <c r="F282" s="32">
        <f t="shared" si="40"/>
        <v>2.1999999999999999E-2</v>
      </c>
      <c r="G282" s="143">
        <v>10000</v>
      </c>
      <c r="H282" s="68">
        <f t="shared" si="41"/>
        <v>220</v>
      </c>
      <c r="I282" s="161">
        <f t="shared" si="42"/>
        <v>0.10476190476190476</v>
      </c>
    </row>
    <row r="283" spans="1:9" x14ac:dyDescent="0.6">
      <c r="A283" s="141" t="s">
        <v>475</v>
      </c>
      <c r="B283" s="23" t="s">
        <v>653</v>
      </c>
      <c r="C283" s="24" t="s">
        <v>471</v>
      </c>
      <c r="D283" s="793">
        <v>0.02</v>
      </c>
      <c r="E283" s="139">
        <v>0.08</v>
      </c>
      <c r="F283" s="32">
        <f t="shared" si="40"/>
        <v>2.1600000000000001E-2</v>
      </c>
      <c r="G283" s="143">
        <v>6000</v>
      </c>
      <c r="H283" s="68">
        <f t="shared" si="41"/>
        <v>129.6</v>
      </c>
      <c r="I283" s="161">
        <f t="shared" si="42"/>
        <v>6.1714285714285715E-2</v>
      </c>
    </row>
    <row r="284" spans="1:9" x14ac:dyDescent="0.6">
      <c r="A284" s="144" t="s">
        <v>580</v>
      </c>
      <c r="B284" s="26" t="s">
        <v>488</v>
      </c>
      <c r="C284" s="24" t="s">
        <v>907</v>
      </c>
      <c r="D284" s="25">
        <v>0.3</v>
      </c>
      <c r="E284" s="139">
        <v>0</v>
      </c>
      <c r="F284" s="32">
        <f t="shared" si="40"/>
        <v>0.3</v>
      </c>
      <c r="G284" s="35">
        <f>190000/24/8</f>
        <v>989.58333333333337</v>
      </c>
      <c r="H284" s="68">
        <f t="shared" si="41"/>
        <v>296.875</v>
      </c>
      <c r="I284" s="161">
        <f t="shared" si="42"/>
        <v>0.14136904761904762</v>
      </c>
    </row>
    <row r="285" spans="1:9" x14ac:dyDescent="0.6">
      <c r="A285" s="141" t="s">
        <v>499</v>
      </c>
      <c r="B285" s="23" t="s">
        <v>655</v>
      </c>
      <c r="C285" s="24" t="s">
        <v>471</v>
      </c>
      <c r="D285" s="793">
        <v>0.03</v>
      </c>
      <c r="E285" s="139">
        <v>0</v>
      </c>
      <c r="F285" s="32">
        <v>0.02</v>
      </c>
      <c r="G285" s="143">
        <v>7800</v>
      </c>
      <c r="H285" s="68">
        <f t="shared" si="41"/>
        <v>156</v>
      </c>
      <c r="I285" s="161">
        <f t="shared" si="42"/>
        <v>7.4285714285714288E-2</v>
      </c>
    </row>
    <row r="286" spans="1:9" x14ac:dyDescent="0.6">
      <c r="A286" s="144" t="s">
        <v>568</v>
      </c>
      <c r="B286" s="26" t="s">
        <v>494</v>
      </c>
      <c r="C286" s="24" t="s">
        <v>459</v>
      </c>
      <c r="D286" s="25">
        <v>0.03</v>
      </c>
      <c r="E286" s="139">
        <v>0</v>
      </c>
      <c r="F286" s="32">
        <f t="shared" ref="F286:F294" si="43">D286+D286*E286</f>
        <v>0.03</v>
      </c>
      <c r="G286" s="35">
        <f>21000/4.15</f>
        <v>5060.2409638554209</v>
      </c>
      <c r="H286" s="68">
        <f t="shared" si="41"/>
        <v>151.80722891566262</v>
      </c>
      <c r="I286" s="161">
        <f t="shared" si="42"/>
        <v>7.2289156626506007E-2</v>
      </c>
    </row>
    <row r="287" spans="1:9" x14ac:dyDescent="0.6">
      <c r="A287" s="141" t="s">
        <v>535</v>
      </c>
      <c r="B287" s="23" t="s">
        <v>647</v>
      </c>
      <c r="C287" s="24" t="s">
        <v>471</v>
      </c>
      <c r="D287" s="25">
        <v>0.01</v>
      </c>
      <c r="E287" s="139">
        <v>0</v>
      </c>
      <c r="F287" s="32">
        <f t="shared" si="43"/>
        <v>0.01</v>
      </c>
      <c r="G287" s="35">
        <v>8500</v>
      </c>
      <c r="H287" s="68">
        <f t="shared" si="41"/>
        <v>85</v>
      </c>
      <c r="I287" s="161">
        <f t="shared" si="42"/>
        <v>4.0476190476190478E-2</v>
      </c>
    </row>
    <row r="288" spans="1:9" x14ac:dyDescent="0.6">
      <c r="A288" s="141" t="s">
        <v>535</v>
      </c>
      <c r="B288" s="26" t="s">
        <v>609</v>
      </c>
      <c r="C288" s="24" t="s">
        <v>471</v>
      </c>
      <c r="D288" s="25">
        <v>0.01</v>
      </c>
      <c r="E288" s="139">
        <v>0</v>
      </c>
      <c r="F288" s="32">
        <f t="shared" si="43"/>
        <v>0.01</v>
      </c>
      <c r="G288" s="162">
        <v>14000</v>
      </c>
      <c r="H288" s="68">
        <f t="shared" si="41"/>
        <v>140</v>
      </c>
      <c r="I288" s="161">
        <f t="shared" si="42"/>
        <v>6.6666666666666666E-2</v>
      </c>
    </row>
    <row r="289" spans="1:9" x14ac:dyDescent="0.6">
      <c r="A289" s="145"/>
      <c r="B289" s="26" t="s">
        <v>718</v>
      </c>
      <c r="C289" s="24" t="s">
        <v>463</v>
      </c>
      <c r="D289" s="25">
        <v>5.0000000000000001E-3</v>
      </c>
      <c r="E289" s="139">
        <v>0</v>
      </c>
      <c r="F289" s="32">
        <f t="shared" si="43"/>
        <v>5.0000000000000001E-3</v>
      </c>
      <c r="G289" s="35">
        <v>1400</v>
      </c>
      <c r="H289" s="68">
        <f t="shared" si="41"/>
        <v>7</v>
      </c>
      <c r="I289" s="161">
        <f t="shared" si="42"/>
        <v>3.3333333333333335E-3</v>
      </c>
    </row>
    <row r="290" spans="1:9" s="246" customFormat="1" x14ac:dyDescent="0.6">
      <c r="A290" s="201">
        <v>11100028</v>
      </c>
      <c r="B290" s="26" t="s">
        <v>917</v>
      </c>
      <c r="C290" s="24" t="s">
        <v>471</v>
      </c>
      <c r="D290" s="25">
        <v>5.0000000000000001E-3</v>
      </c>
      <c r="E290" s="139">
        <v>0</v>
      </c>
      <c r="F290" s="32">
        <f t="shared" si="43"/>
        <v>5.0000000000000001E-3</v>
      </c>
      <c r="G290" s="35">
        <v>70000</v>
      </c>
      <c r="H290" s="68">
        <f t="shared" si="41"/>
        <v>350</v>
      </c>
      <c r="I290" s="161">
        <f t="shared" si="42"/>
        <v>0.16666666666666666</v>
      </c>
    </row>
    <row r="291" spans="1:9" x14ac:dyDescent="0.6">
      <c r="A291" s="804"/>
      <c r="B291" s="23" t="s">
        <v>682</v>
      </c>
      <c r="C291" s="24" t="s">
        <v>13</v>
      </c>
      <c r="D291" s="32">
        <v>2</v>
      </c>
      <c r="E291" s="136">
        <v>0</v>
      </c>
      <c r="F291" s="32">
        <f t="shared" si="43"/>
        <v>2</v>
      </c>
      <c r="G291" s="39">
        <v>100</v>
      </c>
      <c r="H291" s="68">
        <f t="shared" si="41"/>
        <v>200</v>
      </c>
      <c r="I291" s="160">
        <f t="shared" si="42"/>
        <v>9.5238095238095233E-2</v>
      </c>
    </row>
    <row r="292" spans="1:9" x14ac:dyDescent="0.6">
      <c r="A292" s="141" t="s">
        <v>484</v>
      </c>
      <c r="B292" s="23" t="s">
        <v>625</v>
      </c>
      <c r="C292" s="24" t="s">
        <v>471</v>
      </c>
      <c r="D292" s="25">
        <v>0.03</v>
      </c>
      <c r="E292" s="139">
        <v>0</v>
      </c>
      <c r="F292" s="32">
        <f t="shared" si="43"/>
        <v>0.03</v>
      </c>
      <c r="G292" s="143">
        <v>7000</v>
      </c>
      <c r="H292" s="68">
        <f t="shared" si="41"/>
        <v>210</v>
      </c>
      <c r="I292" s="161">
        <f t="shared" si="42"/>
        <v>0.1</v>
      </c>
    </row>
    <row r="293" spans="1:9" x14ac:dyDescent="0.6">
      <c r="A293" s="138"/>
      <c r="B293" s="23" t="s">
        <v>683</v>
      </c>
      <c r="C293" s="24" t="s">
        <v>471</v>
      </c>
      <c r="D293" s="25">
        <v>0.01</v>
      </c>
      <c r="E293" s="139">
        <v>0</v>
      </c>
      <c r="F293" s="32">
        <f t="shared" si="43"/>
        <v>0.01</v>
      </c>
      <c r="G293" s="35">
        <v>35000</v>
      </c>
      <c r="H293" s="68">
        <f t="shared" si="41"/>
        <v>350</v>
      </c>
      <c r="I293" s="161">
        <f t="shared" si="42"/>
        <v>0.16666666666666666</v>
      </c>
    </row>
    <row r="294" spans="1:9" x14ac:dyDescent="0.6">
      <c r="A294" s="184"/>
      <c r="B294" s="805" t="s">
        <v>652</v>
      </c>
      <c r="C294" s="24" t="s">
        <v>471</v>
      </c>
      <c r="D294" s="25">
        <v>0.02</v>
      </c>
      <c r="E294" s="139">
        <v>0</v>
      </c>
      <c r="F294" s="32">
        <f t="shared" si="43"/>
        <v>0.02</v>
      </c>
      <c r="G294" s="35">
        <v>7000</v>
      </c>
      <c r="H294" s="68">
        <f t="shared" si="41"/>
        <v>140</v>
      </c>
      <c r="I294" s="161">
        <f t="shared" si="42"/>
        <v>6.6666666666666666E-2</v>
      </c>
    </row>
    <row r="295" spans="1:9" ht="22.5" thickBot="1" x14ac:dyDescent="0.65">
      <c r="A295" s="119"/>
      <c r="B295" s="806"/>
      <c r="C295" s="31"/>
      <c r="D295" s="32"/>
      <c r="E295" s="136"/>
      <c r="F295" s="32"/>
      <c r="G295" s="39"/>
      <c r="H295" s="202"/>
      <c r="I295" s="160"/>
    </row>
    <row r="296" spans="1:9" x14ac:dyDescent="0.6">
      <c r="A296" s="203"/>
      <c r="B296" s="204" t="s">
        <v>4</v>
      </c>
      <c r="C296" s="205"/>
      <c r="D296" s="206"/>
      <c r="E296" s="206"/>
      <c r="F296" s="206"/>
      <c r="G296" s="206"/>
      <c r="H296" s="207">
        <f>SUM(H280:H294)</f>
        <v>3991.9859326193664</v>
      </c>
      <c r="I296" s="208">
        <f>SUM(I280:I294)</f>
        <v>1.9009456821996986</v>
      </c>
    </row>
    <row r="297" spans="1:9" x14ac:dyDescent="0.6">
      <c r="A297" s="209"/>
      <c r="B297" s="210" t="s">
        <v>14</v>
      </c>
      <c r="C297" s="211"/>
      <c r="D297" s="212"/>
      <c r="E297" s="212"/>
      <c r="F297" s="213"/>
      <c r="G297" s="212"/>
      <c r="H297" s="214">
        <f>H296/1</f>
        <v>3991.9859326193664</v>
      </c>
      <c r="I297" s="104"/>
    </row>
    <row r="298" spans="1:9" x14ac:dyDescent="0.6">
      <c r="A298" s="209"/>
      <c r="B298" s="210" t="s">
        <v>453</v>
      </c>
      <c r="C298" s="211"/>
      <c r="D298" s="212"/>
      <c r="E298" s="212"/>
      <c r="F298" s="212"/>
      <c r="G298" s="212"/>
      <c r="H298" s="476">
        <f>G277</f>
        <v>12000</v>
      </c>
      <c r="I298" s="476"/>
    </row>
    <row r="299" spans="1:9" x14ac:dyDescent="0.6">
      <c r="A299" s="209"/>
      <c r="B299" s="168" t="s">
        <v>455</v>
      </c>
      <c r="C299" s="211"/>
      <c r="D299" s="212"/>
      <c r="E299" s="212"/>
      <c r="F299" s="212"/>
      <c r="G299" s="212"/>
      <c r="H299" s="104">
        <f>H298/113.3%</f>
        <v>10591.35039717564</v>
      </c>
      <c r="I299" s="104"/>
    </row>
    <row r="300" spans="1:9" x14ac:dyDescent="0.6">
      <c r="A300" s="209"/>
      <c r="B300" s="210" t="s">
        <v>16</v>
      </c>
      <c r="C300" s="211"/>
      <c r="D300" s="212"/>
      <c r="E300" s="212"/>
      <c r="F300" s="212"/>
      <c r="G300" s="212"/>
      <c r="H300" s="609">
        <f>H297/H299</f>
        <v>0.37691000513814515</v>
      </c>
      <c r="I300" s="609"/>
    </row>
    <row r="301" spans="1:9" x14ac:dyDescent="0.6">
      <c r="A301" s="209"/>
      <c r="B301" s="210"/>
      <c r="C301" s="211"/>
      <c r="D301" s="212"/>
      <c r="E301" s="212"/>
      <c r="F301" s="212"/>
      <c r="G301" s="212"/>
      <c r="H301" s="214"/>
      <c r="I301" s="215"/>
    </row>
    <row r="302" spans="1:9" ht="22.5" thickBot="1" x14ac:dyDescent="0.65">
      <c r="A302" s="209"/>
      <c r="B302" s="216"/>
      <c r="C302" s="217"/>
      <c r="D302" s="218"/>
      <c r="E302" s="218"/>
      <c r="F302" s="218"/>
      <c r="G302" s="218"/>
      <c r="H302" s="219"/>
      <c r="I302" s="220"/>
    </row>
  </sheetData>
  <mergeCells count="4">
    <mergeCell ref="A148:I148"/>
    <mergeCell ref="A2:I2"/>
    <mergeCell ref="A4:I4"/>
    <mergeCell ref="A33:I33"/>
  </mergeCells>
  <phoneticPr fontId="2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3" tint="0.39997558519241921"/>
  </sheetPr>
  <dimension ref="A2:K411"/>
  <sheetViews>
    <sheetView topLeftCell="A313" workbookViewId="0">
      <selection activeCell="G400" sqref="G400"/>
    </sheetView>
  </sheetViews>
  <sheetFormatPr defaultColWidth="9.140625" defaultRowHeight="21" x14ac:dyDescent="0.6"/>
  <cols>
    <col min="1" max="1" width="12.28515625" style="74" customWidth="1"/>
    <col min="2" max="2" width="30.5703125" style="74" customWidth="1"/>
    <col min="3" max="6" width="13.140625" style="74" customWidth="1"/>
    <col min="7" max="7" width="13.28515625" style="189" customWidth="1"/>
    <col min="8" max="8" width="17.5703125" style="189" customWidth="1"/>
    <col min="9" max="9" width="20" style="74" customWidth="1"/>
    <col min="10" max="16384" width="9.140625" style="51"/>
  </cols>
  <sheetData>
    <row r="2" spans="1:9" s="74" customFormat="1" ht="18" x14ac:dyDescent="0.5">
      <c r="A2" s="933" t="s">
        <v>924</v>
      </c>
      <c r="B2" s="933"/>
      <c r="C2" s="933"/>
      <c r="D2" s="933"/>
      <c r="E2" s="933"/>
      <c r="F2" s="933"/>
      <c r="G2" s="933"/>
      <c r="H2" s="933"/>
      <c r="I2" s="933"/>
    </row>
    <row r="3" spans="1:9" s="74" customFormat="1" ht="18" x14ac:dyDescent="0.5">
      <c r="A3" s="76"/>
      <c r="B3" s="76"/>
      <c r="C3" s="76"/>
      <c r="D3" s="116"/>
      <c r="E3" s="116"/>
      <c r="F3" s="116"/>
      <c r="G3" s="61"/>
      <c r="H3" s="62"/>
      <c r="I3" s="60">
        <v>2100</v>
      </c>
    </row>
    <row r="4" spans="1:9" ht="21.75" thickBot="1" x14ac:dyDescent="0.65">
      <c r="A4" s="937" t="s">
        <v>0</v>
      </c>
      <c r="B4" s="937"/>
      <c r="C4" s="937"/>
      <c r="D4" s="937"/>
      <c r="E4" s="937"/>
      <c r="F4" s="937"/>
      <c r="G4" s="937"/>
      <c r="H4" s="937"/>
      <c r="I4" s="937"/>
    </row>
    <row r="5" spans="1:9" ht="21.75" thickBot="1" x14ac:dyDescent="0.65">
      <c r="A5" s="562" t="s">
        <v>722</v>
      </c>
      <c r="B5" s="585" t="s">
        <v>768</v>
      </c>
      <c r="C5" s="547"/>
      <c r="D5" s="548"/>
      <c r="E5" s="548"/>
      <c r="F5" s="548"/>
      <c r="G5" s="548" t="s">
        <v>1</v>
      </c>
      <c r="H5" s="541" t="s">
        <v>868</v>
      </c>
      <c r="I5" s="564" t="s">
        <v>595</v>
      </c>
    </row>
    <row r="6" spans="1:9" x14ac:dyDescent="0.6">
      <c r="A6" s="550">
        <v>1</v>
      </c>
      <c r="B6" s="539" t="s">
        <v>5</v>
      </c>
      <c r="C6" s="539" t="s">
        <v>4</v>
      </c>
      <c r="D6" s="540" t="s">
        <v>3</v>
      </c>
      <c r="E6" s="540" t="s">
        <v>613</v>
      </c>
      <c r="F6" s="540" t="s">
        <v>614</v>
      </c>
      <c r="G6" s="586" t="s">
        <v>510</v>
      </c>
      <c r="H6" s="543" t="s">
        <v>7</v>
      </c>
      <c r="I6" s="637">
        <v>45574</v>
      </c>
    </row>
    <row r="7" spans="1:9" ht="21.75" thickBot="1" x14ac:dyDescent="0.65">
      <c r="A7" s="551"/>
      <c r="B7" s="587"/>
      <c r="C7" s="552"/>
      <c r="D7" s="553">
        <v>1</v>
      </c>
      <c r="E7" s="553"/>
      <c r="F7" s="553"/>
      <c r="G7" s="553">
        <f>Summary!J40</f>
        <v>20000</v>
      </c>
      <c r="H7" s="633">
        <f>H28</f>
        <v>0.35397766719377516</v>
      </c>
      <c r="I7" s="555"/>
    </row>
    <row r="8" spans="1:9" ht="21.75" thickBot="1" x14ac:dyDescent="0.65">
      <c r="A8" s="124"/>
      <c r="B8" s="43"/>
      <c r="C8" s="124"/>
      <c r="D8" s="125"/>
      <c r="E8" s="125"/>
      <c r="F8" s="125"/>
      <c r="G8" s="125"/>
      <c r="H8" s="126"/>
      <c r="I8" s="124"/>
    </row>
    <row r="9" spans="1:9" x14ac:dyDescent="0.6">
      <c r="A9" s="194" t="s">
        <v>605</v>
      </c>
      <c r="B9" s="186" t="s">
        <v>10</v>
      </c>
      <c r="C9" s="166" t="s">
        <v>9</v>
      </c>
      <c r="D9" s="117" t="s">
        <v>8</v>
      </c>
      <c r="E9" s="117" t="s">
        <v>613</v>
      </c>
      <c r="F9" s="117" t="s">
        <v>614</v>
      </c>
      <c r="G9" s="117" t="s">
        <v>11</v>
      </c>
      <c r="H9" s="118" t="s">
        <v>12</v>
      </c>
      <c r="I9" s="195" t="s">
        <v>12</v>
      </c>
    </row>
    <row r="10" spans="1:9" x14ac:dyDescent="0.6">
      <c r="A10" s="144" t="s">
        <v>514</v>
      </c>
      <c r="B10" s="405" t="s">
        <v>642</v>
      </c>
      <c r="C10" s="400" t="s">
        <v>596</v>
      </c>
      <c r="D10" s="406">
        <v>0.1</v>
      </c>
      <c r="E10" s="139">
        <v>0.35</v>
      </c>
      <c r="F10" s="32">
        <f t="shared" ref="F10:F23" si="0">D10+D10*E10</f>
        <v>0.13500000000000001</v>
      </c>
      <c r="G10" s="35">
        <v>24000</v>
      </c>
      <c r="H10" s="68">
        <f t="shared" ref="H10:H23" si="1">F10*G10</f>
        <v>3240</v>
      </c>
      <c r="I10" s="161">
        <f t="shared" ref="I10:I19" si="2">H10/I$3</f>
        <v>1.5428571428571429</v>
      </c>
    </row>
    <row r="11" spans="1:9" x14ac:dyDescent="0.6">
      <c r="A11" s="141" t="s">
        <v>484</v>
      </c>
      <c r="B11" s="405" t="s">
        <v>767</v>
      </c>
      <c r="C11" s="400" t="s">
        <v>463</v>
      </c>
      <c r="D11" s="406">
        <v>0.05</v>
      </c>
      <c r="E11" s="139">
        <v>0</v>
      </c>
      <c r="F11" s="32">
        <f t="shared" si="0"/>
        <v>0.05</v>
      </c>
      <c r="G11" s="143">
        <v>7000</v>
      </c>
      <c r="H11" s="68">
        <f t="shared" si="1"/>
        <v>350</v>
      </c>
      <c r="I11" s="161">
        <f t="shared" si="2"/>
        <v>0.16666666666666666</v>
      </c>
    </row>
    <row r="12" spans="1:9" x14ac:dyDescent="0.6">
      <c r="A12" s="144" t="s">
        <v>588</v>
      </c>
      <c r="B12" s="405" t="s">
        <v>673</v>
      </c>
      <c r="C12" s="400" t="s">
        <v>596</v>
      </c>
      <c r="D12" s="406">
        <v>0.05</v>
      </c>
      <c r="E12" s="139">
        <v>0.2</v>
      </c>
      <c r="F12" s="32">
        <f t="shared" si="0"/>
        <v>6.0000000000000005E-2</v>
      </c>
      <c r="G12" s="143">
        <v>4500</v>
      </c>
      <c r="H12" s="68">
        <f t="shared" si="1"/>
        <v>270</v>
      </c>
      <c r="I12" s="161">
        <f t="shared" si="2"/>
        <v>0.12857142857142856</v>
      </c>
    </row>
    <row r="13" spans="1:9" x14ac:dyDescent="0.6">
      <c r="A13" s="144" t="s">
        <v>501</v>
      </c>
      <c r="B13" s="405" t="s">
        <v>674</v>
      </c>
      <c r="C13" s="400" t="s">
        <v>596</v>
      </c>
      <c r="D13" s="406">
        <v>0.03</v>
      </c>
      <c r="E13" s="139">
        <v>0.2</v>
      </c>
      <c r="F13" s="32">
        <f t="shared" si="0"/>
        <v>3.5999999999999997E-2</v>
      </c>
      <c r="G13" s="143">
        <v>21000</v>
      </c>
      <c r="H13" s="68">
        <f t="shared" si="1"/>
        <v>755.99999999999989</v>
      </c>
      <c r="I13" s="161">
        <f t="shared" si="2"/>
        <v>0.35999999999999993</v>
      </c>
    </row>
    <row r="14" spans="1:9" x14ac:dyDescent="0.6">
      <c r="A14" s="141" t="s">
        <v>499</v>
      </c>
      <c r="B14" s="405" t="s">
        <v>692</v>
      </c>
      <c r="C14" s="400" t="s">
        <v>596</v>
      </c>
      <c r="D14" s="406">
        <v>0.02</v>
      </c>
      <c r="E14" s="139">
        <v>0.2</v>
      </c>
      <c r="F14" s="32">
        <f t="shared" si="0"/>
        <v>2.4E-2</v>
      </c>
      <c r="G14" s="143">
        <v>5000</v>
      </c>
      <c r="H14" s="68">
        <f t="shared" si="1"/>
        <v>120</v>
      </c>
      <c r="I14" s="161">
        <f t="shared" si="2"/>
        <v>5.7142857142857141E-2</v>
      </c>
    </row>
    <row r="15" spans="1:9" x14ac:dyDescent="0.6">
      <c r="A15" s="144" t="s">
        <v>503</v>
      </c>
      <c r="B15" s="405" t="s">
        <v>652</v>
      </c>
      <c r="C15" s="400" t="s">
        <v>596</v>
      </c>
      <c r="D15" s="406">
        <v>0.03</v>
      </c>
      <c r="E15" s="139">
        <v>0</v>
      </c>
      <c r="F15" s="32">
        <f t="shared" si="0"/>
        <v>0.03</v>
      </c>
      <c r="G15" s="35">
        <v>7000</v>
      </c>
      <c r="H15" s="68">
        <f t="shared" si="1"/>
        <v>210</v>
      </c>
      <c r="I15" s="161">
        <f t="shared" si="2"/>
        <v>0.1</v>
      </c>
    </row>
    <row r="16" spans="1:9" x14ac:dyDescent="0.6">
      <c r="A16" s="253"/>
      <c r="B16" s="405" t="s">
        <v>759</v>
      </c>
      <c r="C16" s="400" t="s">
        <v>459</v>
      </c>
      <c r="D16" s="406">
        <v>0.02</v>
      </c>
      <c r="E16" s="139">
        <v>0</v>
      </c>
      <c r="F16" s="32">
        <f t="shared" si="0"/>
        <v>0.02</v>
      </c>
      <c r="G16" s="162">
        <f>26500/4.15</f>
        <v>6385.5421686746986</v>
      </c>
      <c r="H16" s="68">
        <f t="shared" si="1"/>
        <v>127.71084337349397</v>
      </c>
      <c r="I16" s="161">
        <f t="shared" si="2"/>
        <v>6.0814687320711415E-2</v>
      </c>
    </row>
    <row r="17" spans="1:9" x14ac:dyDescent="0.6">
      <c r="A17" s="26"/>
      <c r="B17" s="405" t="s">
        <v>709</v>
      </c>
      <c r="C17" s="400" t="s">
        <v>13</v>
      </c>
      <c r="D17" s="406">
        <v>1</v>
      </c>
      <c r="E17" s="139">
        <v>0</v>
      </c>
      <c r="F17" s="32">
        <f t="shared" si="0"/>
        <v>1</v>
      </c>
      <c r="G17" s="35">
        <v>200</v>
      </c>
      <c r="H17" s="68">
        <f t="shared" si="1"/>
        <v>200</v>
      </c>
      <c r="I17" s="161">
        <f t="shared" si="2"/>
        <v>9.5238095238095233E-2</v>
      </c>
    </row>
    <row r="18" spans="1:9" x14ac:dyDescent="0.6">
      <c r="A18" s="26"/>
      <c r="B18" s="405" t="s">
        <v>622</v>
      </c>
      <c r="C18" s="400" t="s">
        <v>596</v>
      </c>
      <c r="D18" s="406">
        <v>0.02</v>
      </c>
      <c r="E18" s="139">
        <v>0</v>
      </c>
      <c r="F18" s="32">
        <f t="shared" si="0"/>
        <v>0.02</v>
      </c>
      <c r="G18" s="35">
        <v>24000</v>
      </c>
      <c r="H18" s="68">
        <f t="shared" si="1"/>
        <v>480</v>
      </c>
      <c r="I18" s="161">
        <f t="shared" si="2"/>
        <v>0.22857142857142856</v>
      </c>
    </row>
    <row r="19" spans="1:9" x14ac:dyDescent="0.6">
      <c r="A19" s="26"/>
      <c r="B19" s="405" t="s">
        <v>705</v>
      </c>
      <c r="C19" s="400" t="s">
        <v>26</v>
      </c>
      <c r="D19" s="406">
        <v>0.5</v>
      </c>
      <c r="E19" s="139">
        <v>0</v>
      </c>
      <c r="F19" s="32">
        <f t="shared" si="0"/>
        <v>0.5</v>
      </c>
      <c r="G19" s="143">
        <f>190000/24/8</f>
        <v>989.58333333333337</v>
      </c>
      <c r="H19" s="68">
        <f t="shared" si="1"/>
        <v>494.79166666666669</v>
      </c>
      <c r="I19" s="161">
        <f t="shared" si="2"/>
        <v>0.23561507936507936</v>
      </c>
    </row>
    <row r="20" spans="1:9" x14ac:dyDescent="0.6">
      <c r="A20" s="415"/>
      <c r="B20" s="405" t="s">
        <v>672</v>
      </c>
      <c r="C20" s="400" t="s">
        <v>596</v>
      </c>
      <c r="D20" s="406">
        <v>0.05</v>
      </c>
      <c r="E20" s="199">
        <v>0</v>
      </c>
      <c r="F20" s="177">
        <f t="shared" si="0"/>
        <v>0.05</v>
      </c>
      <c r="G20" s="162">
        <v>7800</v>
      </c>
      <c r="H20" s="68">
        <f t="shared" si="1"/>
        <v>390</v>
      </c>
      <c r="I20" s="161">
        <f t="shared" ref="I20:I23" si="3">H20/I$3</f>
        <v>0.18571428571428572</v>
      </c>
    </row>
    <row r="21" spans="1:9" x14ac:dyDescent="0.6">
      <c r="A21" s="415"/>
      <c r="B21" s="396" t="s">
        <v>719</v>
      </c>
      <c r="C21" s="397" t="s">
        <v>459</v>
      </c>
      <c r="D21" s="398">
        <v>0.01</v>
      </c>
      <c r="E21" s="199">
        <v>0</v>
      </c>
      <c r="F21" s="177">
        <f t="shared" si="0"/>
        <v>0.01</v>
      </c>
      <c r="G21" s="162">
        <f>42000/4.15</f>
        <v>10120.481927710842</v>
      </c>
      <c r="H21" s="68">
        <f t="shared" si="1"/>
        <v>101.20481927710841</v>
      </c>
      <c r="I21" s="161">
        <f t="shared" si="3"/>
        <v>4.8192771084337338E-2</v>
      </c>
    </row>
    <row r="22" spans="1:9" x14ac:dyDescent="0.6">
      <c r="A22" s="415"/>
      <c r="B22" s="396" t="s">
        <v>744</v>
      </c>
      <c r="C22" s="397" t="s">
        <v>20</v>
      </c>
      <c r="D22" s="408">
        <v>0.1</v>
      </c>
      <c r="E22" s="199">
        <v>0</v>
      </c>
      <c r="F22" s="177">
        <f t="shared" si="0"/>
        <v>0.1</v>
      </c>
      <c r="G22" s="162">
        <v>300</v>
      </c>
      <c r="H22" s="68">
        <f t="shared" si="1"/>
        <v>30</v>
      </c>
      <c r="I22" s="161">
        <f t="shared" si="3"/>
        <v>1.4285714285714285E-2</v>
      </c>
    </row>
    <row r="23" spans="1:9" ht="21.75" thickBot="1" x14ac:dyDescent="0.65">
      <c r="A23" s="415"/>
      <c r="B23" s="416" t="s">
        <v>609</v>
      </c>
      <c r="C23" s="397" t="s">
        <v>463</v>
      </c>
      <c r="D23" s="398">
        <v>0.01</v>
      </c>
      <c r="E23" s="199">
        <v>0</v>
      </c>
      <c r="F23" s="177">
        <f t="shared" si="0"/>
        <v>0.01</v>
      </c>
      <c r="G23" s="162">
        <v>14000</v>
      </c>
      <c r="H23" s="68">
        <f t="shared" si="1"/>
        <v>140</v>
      </c>
      <c r="I23" s="161">
        <f t="shared" si="3"/>
        <v>6.6666666666666666E-2</v>
      </c>
    </row>
    <row r="24" spans="1:9" x14ac:dyDescent="0.6">
      <c r="A24" s="124"/>
      <c r="B24" s="165" t="s">
        <v>4</v>
      </c>
      <c r="C24" s="166"/>
      <c r="D24" s="117"/>
      <c r="E24" s="117"/>
      <c r="F24" s="117"/>
      <c r="G24" s="117"/>
      <c r="H24" s="192">
        <f>SUM(H10:H19)</f>
        <v>6248.5025100401608</v>
      </c>
      <c r="I24" s="197">
        <f>SUM(I10:I23)</f>
        <v>3.2903368234844148</v>
      </c>
    </row>
    <row r="25" spans="1:9" x14ac:dyDescent="0.6">
      <c r="A25" s="124"/>
      <c r="B25" s="168" t="s">
        <v>14</v>
      </c>
      <c r="C25" s="43"/>
      <c r="D25" s="121"/>
      <c r="E25" s="121"/>
      <c r="F25" s="121"/>
      <c r="G25" s="121"/>
      <c r="H25" s="169">
        <f>H24/1</f>
        <v>6248.5025100401608</v>
      </c>
      <c r="I25" s="104"/>
    </row>
    <row r="26" spans="1:9" x14ac:dyDescent="0.6">
      <c r="A26" s="124"/>
      <c r="B26" s="168" t="s">
        <v>453</v>
      </c>
      <c r="C26" s="43"/>
      <c r="D26" s="121"/>
      <c r="E26" s="121"/>
      <c r="F26" s="121"/>
      <c r="G26" s="121"/>
      <c r="H26" s="104">
        <f>G7</f>
        <v>20000</v>
      </c>
      <c r="I26" s="104"/>
    </row>
    <row r="27" spans="1:9" x14ac:dyDescent="0.6">
      <c r="A27" s="124"/>
      <c r="B27" s="168" t="s">
        <v>455</v>
      </c>
      <c r="C27" s="43"/>
      <c r="D27" s="121"/>
      <c r="E27" s="121"/>
      <c r="F27" s="121"/>
      <c r="G27" s="121"/>
      <c r="H27" s="104">
        <f>H26/113.3%</f>
        <v>17652.250661959399</v>
      </c>
      <c r="I27" s="104"/>
    </row>
    <row r="28" spans="1:9" x14ac:dyDescent="0.6">
      <c r="A28" s="124"/>
      <c r="B28" s="168" t="s">
        <v>16</v>
      </c>
      <c r="C28" s="43"/>
      <c r="D28" s="121"/>
      <c r="E28" s="121"/>
      <c r="F28" s="121"/>
      <c r="G28" s="121"/>
      <c r="H28" s="588">
        <f>H25/H27</f>
        <v>0.35397766719377516</v>
      </c>
      <c r="I28" s="588"/>
    </row>
    <row r="29" spans="1:9" x14ac:dyDescent="0.6">
      <c r="A29" s="124"/>
      <c r="B29" s="168"/>
      <c r="C29" s="43"/>
      <c r="D29" s="121"/>
      <c r="E29" s="121"/>
      <c r="F29" s="121"/>
      <c r="G29" s="121"/>
      <c r="H29" s="169"/>
      <c r="I29" s="171"/>
    </row>
    <row r="30" spans="1:9" ht="21.75" thickBot="1" x14ac:dyDescent="0.65">
      <c r="A30" s="124"/>
      <c r="B30" s="172"/>
      <c r="C30" s="147"/>
      <c r="D30" s="58"/>
      <c r="E30" s="58"/>
      <c r="F30" s="58"/>
      <c r="G30" s="58"/>
      <c r="H30" s="173"/>
      <c r="I30" s="164"/>
    </row>
    <row r="31" spans="1:9" ht="21.75" thickBot="1" x14ac:dyDescent="0.65">
      <c r="A31" s="124"/>
      <c r="B31" s="490"/>
      <c r="C31" s="491"/>
      <c r="D31" s="492"/>
      <c r="E31" s="155"/>
      <c r="F31" s="155"/>
      <c r="G31" s="155"/>
      <c r="H31" s="301"/>
      <c r="I31" s="124"/>
    </row>
    <row r="32" spans="1:9" ht="21.75" thickBot="1" x14ac:dyDescent="0.65">
      <c r="A32" s="936" t="s">
        <v>0</v>
      </c>
      <c r="B32" s="936"/>
      <c r="C32" s="936"/>
      <c r="D32" s="936"/>
      <c r="E32" s="936"/>
      <c r="F32" s="936"/>
      <c r="G32" s="936"/>
      <c r="H32" s="936"/>
      <c r="I32" s="936"/>
    </row>
    <row r="33" spans="1:9" ht="21.75" thickBot="1" x14ac:dyDescent="0.65">
      <c r="A33" s="562" t="s">
        <v>722</v>
      </c>
      <c r="B33" s="585" t="s">
        <v>769</v>
      </c>
      <c r="C33" s="547"/>
      <c r="D33" s="548"/>
      <c r="E33" s="548"/>
      <c r="F33" s="548"/>
      <c r="G33" s="548" t="s">
        <v>1</v>
      </c>
      <c r="H33" s="541" t="s">
        <v>868</v>
      </c>
      <c r="I33" s="564" t="s">
        <v>595</v>
      </c>
    </row>
    <row r="34" spans="1:9" x14ac:dyDescent="0.6">
      <c r="A34" s="550">
        <v>2</v>
      </c>
      <c r="B34" s="539" t="s">
        <v>5</v>
      </c>
      <c r="C34" s="539" t="s">
        <v>4</v>
      </c>
      <c r="D34" s="540" t="s">
        <v>3</v>
      </c>
      <c r="E34" s="540" t="s">
        <v>613</v>
      </c>
      <c r="F34" s="540" t="s">
        <v>614</v>
      </c>
      <c r="G34" s="586" t="s">
        <v>510</v>
      </c>
      <c r="H34" s="543" t="s">
        <v>7</v>
      </c>
      <c r="I34" s="637">
        <f>I6</f>
        <v>45574</v>
      </c>
    </row>
    <row r="35" spans="1:9" ht="21.75" thickBot="1" x14ac:dyDescent="0.65">
      <c r="A35" s="551"/>
      <c r="B35" s="587"/>
      <c r="C35" s="552"/>
      <c r="D35" s="553">
        <v>1</v>
      </c>
      <c r="E35" s="553"/>
      <c r="F35" s="553"/>
      <c r="G35" s="553">
        <f>Summary!J41</f>
        <v>20000</v>
      </c>
      <c r="H35" s="633">
        <f>H56</f>
        <v>0.31701367301204819</v>
      </c>
      <c r="I35" s="555"/>
    </row>
    <row r="36" spans="1:9" ht="21.75" thickBot="1" x14ac:dyDescent="0.65">
      <c r="A36" s="124"/>
      <c r="B36" s="43"/>
      <c r="C36" s="124"/>
      <c r="D36" s="125"/>
      <c r="E36" s="125"/>
      <c r="F36" s="125"/>
      <c r="G36" s="125"/>
      <c r="H36" s="126"/>
      <c r="I36" s="124"/>
    </row>
    <row r="37" spans="1:9" x14ac:dyDescent="0.6">
      <c r="A37" s="194" t="s">
        <v>605</v>
      </c>
      <c r="B37" s="186" t="s">
        <v>10</v>
      </c>
      <c r="C37" s="166" t="s">
        <v>9</v>
      </c>
      <c r="D37" s="117" t="s">
        <v>8</v>
      </c>
      <c r="E37" s="117" t="s">
        <v>613</v>
      </c>
      <c r="F37" s="117" t="s">
        <v>614</v>
      </c>
      <c r="G37" s="117" t="s">
        <v>11</v>
      </c>
      <c r="H37" s="118" t="s">
        <v>12</v>
      </c>
      <c r="I37" s="195" t="s">
        <v>12</v>
      </c>
    </row>
    <row r="38" spans="1:9" x14ac:dyDescent="0.6">
      <c r="A38" s="144"/>
      <c r="B38" s="399" t="s">
        <v>642</v>
      </c>
      <c r="C38" s="400" t="s">
        <v>596</v>
      </c>
      <c r="D38" s="406">
        <v>0.1</v>
      </c>
      <c r="E38" s="139">
        <v>0.35</v>
      </c>
      <c r="F38" s="32">
        <f t="shared" ref="F38:F51" si="4">D38+D38*E38</f>
        <v>0.13500000000000001</v>
      </c>
      <c r="G38" s="35">
        <v>24000</v>
      </c>
      <c r="H38" s="68">
        <f t="shared" ref="H38:H51" si="5">F38*G38</f>
        <v>3240</v>
      </c>
      <c r="I38" s="161">
        <f t="shared" ref="I38:I51" si="6">H38/I$3</f>
        <v>1.5428571428571429</v>
      </c>
    </row>
    <row r="39" spans="1:9" x14ac:dyDescent="0.6">
      <c r="A39" s="141"/>
      <c r="B39" s="399" t="s">
        <v>601</v>
      </c>
      <c r="C39" s="400" t="s">
        <v>13</v>
      </c>
      <c r="D39" s="406">
        <v>0.2</v>
      </c>
      <c r="E39" s="139">
        <v>0.1</v>
      </c>
      <c r="F39" s="32">
        <f t="shared" si="4"/>
        <v>0.22000000000000003</v>
      </c>
      <c r="G39" s="143">
        <v>700</v>
      </c>
      <c r="H39" s="68">
        <f t="shared" si="5"/>
        <v>154.00000000000003</v>
      </c>
      <c r="I39" s="161">
        <f t="shared" si="6"/>
        <v>7.3333333333333348E-2</v>
      </c>
    </row>
    <row r="40" spans="1:9" x14ac:dyDescent="0.6">
      <c r="A40" s="144"/>
      <c r="B40" s="399" t="s">
        <v>602</v>
      </c>
      <c r="C40" s="400" t="s">
        <v>13</v>
      </c>
      <c r="D40" s="406">
        <v>0.1</v>
      </c>
      <c r="E40" s="139">
        <v>0.3</v>
      </c>
      <c r="F40" s="32">
        <f t="shared" si="4"/>
        <v>0.13</v>
      </c>
      <c r="G40" s="143">
        <v>1800</v>
      </c>
      <c r="H40" s="68">
        <f t="shared" si="5"/>
        <v>234</v>
      </c>
      <c r="I40" s="161">
        <f t="shared" si="6"/>
        <v>0.11142857142857143</v>
      </c>
    </row>
    <row r="41" spans="1:9" x14ac:dyDescent="0.6">
      <c r="A41" s="144"/>
      <c r="B41" s="399" t="s">
        <v>760</v>
      </c>
      <c r="C41" s="400" t="s">
        <v>596</v>
      </c>
      <c r="D41" s="406">
        <v>0.05</v>
      </c>
      <c r="E41" s="139">
        <v>0.1</v>
      </c>
      <c r="F41" s="32">
        <f t="shared" si="4"/>
        <v>5.5000000000000007E-2</v>
      </c>
      <c r="G41" s="143">
        <v>22000</v>
      </c>
      <c r="H41" s="68">
        <f t="shared" si="5"/>
        <v>1210.0000000000002</v>
      </c>
      <c r="I41" s="161">
        <f t="shared" si="6"/>
        <v>0.57619047619047625</v>
      </c>
    </row>
    <row r="42" spans="1:9" x14ac:dyDescent="0.6">
      <c r="A42" s="141"/>
      <c r="B42" s="399" t="s">
        <v>673</v>
      </c>
      <c r="C42" s="400" t="s">
        <v>596</v>
      </c>
      <c r="D42" s="406">
        <v>0.03</v>
      </c>
      <c r="E42" s="139">
        <v>0.2</v>
      </c>
      <c r="F42" s="32">
        <f t="shared" si="4"/>
        <v>3.5999999999999997E-2</v>
      </c>
      <c r="G42" s="143">
        <v>4500</v>
      </c>
      <c r="H42" s="68">
        <f t="shared" si="5"/>
        <v>162</v>
      </c>
      <c r="I42" s="161">
        <f t="shared" si="6"/>
        <v>7.7142857142857138E-2</v>
      </c>
    </row>
    <row r="43" spans="1:9" x14ac:dyDescent="0.6">
      <c r="A43" s="144"/>
      <c r="B43" s="399" t="s">
        <v>625</v>
      </c>
      <c r="C43" s="400" t="s">
        <v>596</v>
      </c>
      <c r="D43" s="406">
        <v>0.03</v>
      </c>
      <c r="E43" s="139">
        <v>0.3</v>
      </c>
      <c r="F43" s="32">
        <f t="shared" si="4"/>
        <v>3.9E-2</v>
      </c>
      <c r="G43" s="35">
        <v>3200</v>
      </c>
      <c r="H43" s="68">
        <f t="shared" si="5"/>
        <v>124.8</v>
      </c>
      <c r="I43" s="161">
        <f t="shared" si="6"/>
        <v>5.9428571428571428E-2</v>
      </c>
    </row>
    <row r="44" spans="1:9" x14ac:dyDescent="0.6">
      <c r="A44" s="253"/>
      <c r="B44" s="399" t="s">
        <v>692</v>
      </c>
      <c r="C44" s="400" t="s">
        <v>596</v>
      </c>
      <c r="D44" s="406">
        <v>0.01</v>
      </c>
      <c r="E44" s="139">
        <v>0.2</v>
      </c>
      <c r="F44" s="32">
        <f t="shared" si="4"/>
        <v>1.2E-2</v>
      </c>
      <c r="G44" s="162">
        <v>5000</v>
      </c>
      <c r="H44" s="68">
        <f t="shared" si="5"/>
        <v>60</v>
      </c>
      <c r="I44" s="161">
        <f t="shared" si="6"/>
        <v>2.8571428571428571E-2</v>
      </c>
    </row>
    <row r="45" spans="1:9" x14ac:dyDescent="0.6">
      <c r="A45" s="26"/>
      <c r="B45" s="399" t="s">
        <v>674</v>
      </c>
      <c r="C45" s="400" t="s">
        <v>596</v>
      </c>
      <c r="D45" s="406">
        <v>0.01</v>
      </c>
      <c r="E45" s="139">
        <v>0.2</v>
      </c>
      <c r="F45" s="32">
        <f t="shared" si="4"/>
        <v>1.2E-2</v>
      </c>
      <c r="G45" s="35">
        <v>21000</v>
      </c>
      <c r="H45" s="68">
        <f t="shared" si="5"/>
        <v>252</v>
      </c>
      <c r="I45" s="161">
        <f t="shared" si="6"/>
        <v>0.12</v>
      </c>
    </row>
    <row r="46" spans="1:9" x14ac:dyDescent="0.6">
      <c r="A46" s="26"/>
      <c r="B46" s="399" t="s">
        <v>612</v>
      </c>
      <c r="C46" s="400" t="s">
        <v>596</v>
      </c>
      <c r="D46" s="406">
        <v>0.01</v>
      </c>
      <c r="E46" s="139">
        <v>0</v>
      </c>
      <c r="F46" s="32">
        <f t="shared" si="4"/>
        <v>0.01</v>
      </c>
      <c r="G46" s="35">
        <v>5800</v>
      </c>
      <c r="H46" s="68">
        <f t="shared" si="5"/>
        <v>58</v>
      </c>
      <c r="I46" s="161">
        <f t="shared" si="6"/>
        <v>2.7619047619047619E-2</v>
      </c>
    </row>
    <row r="47" spans="1:9" x14ac:dyDescent="0.6">
      <c r="A47" s="26"/>
      <c r="B47" s="399" t="s">
        <v>639</v>
      </c>
      <c r="C47" s="400" t="s">
        <v>459</v>
      </c>
      <c r="D47" s="406">
        <v>0.02</v>
      </c>
      <c r="E47" s="139">
        <v>0</v>
      </c>
      <c r="F47" s="32">
        <f t="shared" si="4"/>
        <v>0.02</v>
      </c>
      <c r="G47" s="143">
        <f>21000/4.15</f>
        <v>5060.2409638554209</v>
      </c>
      <c r="H47" s="68">
        <f t="shared" si="5"/>
        <v>101.20481927710841</v>
      </c>
      <c r="I47" s="161">
        <f t="shared" si="6"/>
        <v>4.8192771084337338E-2</v>
      </c>
    </row>
    <row r="48" spans="1:9" x14ac:dyDescent="0.6">
      <c r="A48" s="415"/>
      <c r="B48" s="399" t="s">
        <v>761</v>
      </c>
      <c r="C48" s="400" t="s">
        <v>459</v>
      </c>
      <c r="D48" s="406">
        <v>0.01</v>
      </c>
      <c r="E48" s="139">
        <v>0</v>
      </c>
      <c r="F48" s="32">
        <f t="shared" si="4"/>
        <v>0.01</v>
      </c>
      <c r="G48" s="162">
        <v>1800</v>
      </c>
      <c r="H48" s="68">
        <f t="shared" si="5"/>
        <v>18</v>
      </c>
      <c r="I48" s="161">
        <f t="shared" si="6"/>
        <v>8.5714285714285719E-3</v>
      </c>
    </row>
    <row r="49" spans="1:9" x14ac:dyDescent="0.6">
      <c r="A49" s="415"/>
      <c r="B49" s="399" t="s">
        <v>609</v>
      </c>
      <c r="C49" s="400" t="s">
        <v>463</v>
      </c>
      <c r="D49" s="406">
        <v>0.01</v>
      </c>
      <c r="E49" s="139">
        <v>0</v>
      </c>
      <c r="F49" s="32">
        <f t="shared" si="4"/>
        <v>0.01</v>
      </c>
      <c r="G49" s="162">
        <v>14000</v>
      </c>
      <c r="H49" s="68">
        <f t="shared" si="5"/>
        <v>140</v>
      </c>
      <c r="I49" s="161">
        <f t="shared" si="6"/>
        <v>6.6666666666666666E-2</v>
      </c>
    </row>
    <row r="50" spans="1:9" x14ac:dyDescent="0.6">
      <c r="A50" s="415"/>
      <c r="B50" s="396" t="s">
        <v>672</v>
      </c>
      <c r="C50" s="397" t="s">
        <v>596</v>
      </c>
      <c r="D50" s="408">
        <v>0.05</v>
      </c>
      <c r="E50" s="139">
        <v>0</v>
      </c>
      <c r="F50" s="32">
        <f t="shared" si="4"/>
        <v>0.05</v>
      </c>
      <c r="G50" s="162">
        <v>7800</v>
      </c>
      <c r="H50" s="68">
        <f t="shared" si="5"/>
        <v>390</v>
      </c>
      <c r="I50" s="161">
        <f t="shared" si="6"/>
        <v>0.18571428571428572</v>
      </c>
    </row>
    <row r="51" spans="1:9" ht="21.75" thickBot="1" x14ac:dyDescent="0.65">
      <c r="A51" s="415"/>
      <c r="B51" s="396" t="s">
        <v>705</v>
      </c>
      <c r="C51" s="397" t="s">
        <v>26</v>
      </c>
      <c r="D51" s="398">
        <v>0.5</v>
      </c>
      <c r="E51" s="139">
        <v>0</v>
      </c>
      <c r="F51" s="32">
        <f t="shared" si="4"/>
        <v>0.5</v>
      </c>
      <c r="G51" s="162">
        <f>190000/24/8</f>
        <v>989.58333333333337</v>
      </c>
      <c r="H51" s="68">
        <f t="shared" si="5"/>
        <v>494.79166666666669</v>
      </c>
      <c r="I51" s="161">
        <f t="shared" si="6"/>
        <v>0.23561507936507936</v>
      </c>
    </row>
    <row r="52" spans="1:9" x14ac:dyDescent="0.6">
      <c r="A52" s="124"/>
      <c r="B52" s="165" t="s">
        <v>4</v>
      </c>
      <c r="C52" s="166"/>
      <c r="D52" s="117"/>
      <c r="E52" s="117"/>
      <c r="F52" s="117"/>
      <c r="G52" s="117"/>
      <c r="H52" s="192">
        <f>SUM(H38:H47)</f>
        <v>5596.0048192771083</v>
      </c>
      <c r="I52" s="197">
        <f>SUM(I38:I51)</f>
        <v>3.1613316599732264</v>
      </c>
    </row>
    <row r="53" spans="1:9" x14ac:dyDescent="0.6">
      <c r="A53" s="124"/>
      <c r="B53" s="168" t="s">
        <v>14</v>
      </c>
      <c r="C53" s="43"/>
      <c r="D53" s="121"/>
      <c r="E53" s="121"/>
      <c r="F53" s="121"/>
      <c r="G53" s="121"/>
      <c r="H53" s="169">
        <f>H52/1</f>
        <v>5596.0048192771083</v>
      </c>
      <c r="I53" s="104"/>
    </row>
    <row r="54" spans="1:9" x14ac:dyDescent="0.6">
      <c r="A54" s="124"/>
      <c r="B54" s="168" t="s">
        <v>453</v>
      </c>
      <c r="C54" s="43"/>
      <c r="D54" s="121"/>
      <c r="E54" s="121"/>
      <c r="F54" s="121"/>
      <c r="G54" s="121"/>
      <c r="H54" s="104">
        <f>G35</f>
        <v>20000</v>
      </c>
      <c r="I54" s="104"/>
    </row>
    <row r="55" spans="1:9" x14ac:dyDescent="0.6">
      <c r="A55" s="124"/>
      <c r="B55" s="168" t="s">
        <v>455</v>
      </c>
      <c r="C55" s="43"/>
      <c r="D55" s="121"/>
      <c r="E55" s="121"/>
      <c r="F55" s="121"/>
      <c r="G55" s="121"/>
      <c r="H55" s="104">
        <f>H54/113.3%</f>
        <v>17652.250661959399</v>
      </c>
      <c r="I55" s="104"/>
    </row>
    <row r="56" spans="1:9" x14ac:dyDescent="0.6">
      <c r="A56" s="124"/>
      <c r="B56" s="168" t="s">
        <v>16</v>
      </c>
      <c r="C56" s="43"/>
      <c r="D56" s="121"/>
      <c r="E56" s="121"/>
      <c r="F56" s="121"/>
      <c r="G56" s="121"/>
      <c r="H56" s="588">
        <f>H53/H55</f>
        <v>0.31701367301204819</v>
      </c>
      <c r="I56" s="588"/>
    </row>
    <row r="57" spans="1:9" x14ac:dyDescent="0.6">
      <c r="A57" s="124"/>
      <c r="B57" s="168"/>
      <c r="C57" s="43"/>
      <c r="D57" s="121"/>
      <c r="E57" s="121"/>
      <c r="F57" s="121"/>
      <c r="G57" s="121"/>
      <c r="H57" s="169"/>
      <c r="I57" s="171"/>
    </row>
    <row r="58" spans="1:9" ht="21.75" thickBot="1" x14ac:dyDescent="0.65">
      <c r="A58" s="124"/>
      <c r="B58" s="172"/>
      <c r="C58" s="147"/>
      <c r="D58" s="58"/>
      <c r="E58" s="58"/>
      <c r="F58" s="58"/>
      <c r="G58" s="58"/>
      <c r="H58" s="173"/>
      <c r="I58" s="164"/>
    </row>
    <row r="61" spans="1:9" ht="21.75" thickBot="1" x14ac:dyDescent="0.65">
      <c r="A61" s="936" t="s">
        <v>0</v>
      </c>
      <c r="B61" s="936"/>
      <c r="C61" s="936"/>
      <c r="D61" s="936"/>
      <c r="E61" s="936"/>
      <c r="F61" s="936"/>
      <c r="G61" s="936"/>
      <c r="H61" s="936"/>
      <c r="I61" s="936"/>
    </row>
    <row r="62" spans="1:9" x14ac:dyDescent="0.6">
      <c r="A62" s="562" t="s">
        <v>722</v>
      </c>
      <c r="B62" s="585" t="s">
        <v>770</v>
      </c>
      <c r="C62" s="547"/>
      <c r="D62" s="548"/>
      <c r="E62" s="548"/>
      <c r="F62" s="548"/>
      <c r="G62" s="548" t="s">
        <v>1</v>
      </c>
      <c r="H62" s="541" t="s">
        <v>868</v>
      </c>
      <c r="I62" s="564" t="s">
        <v>595</v>
      </c>
    </row>
    <row r="63" spans="1:9" x14ac:dyDescent="0.6">
      <c r="A63" s="550">
        <v>3</v>
      </c>
      <c r="B63" s="539" t="s">
        <v>5</v>
      </c>
      <c r="C63" s="539" t="s">
        <v>4</v>
      </c>
      <c r="D63" s="540" t="s">
        <v>3</v>
      </c>
      <c r="E63" s="540" t="s">
        <v>613</v>
      </c>
      <c r="F63" s="540" t="s">
        <v>614</v>
      </c>
      <c r="G63" s="540" t="s">
        <v>6</v>
      </c>
      <c r="H63" s="543" t="s">
        <v>7</v>
      </c>
      <c r="I63" s="637">
        <f>I34</f>
        <v>45574</v>
      </c>
    </row>
    <row r="64" spans="1:9" ht="21.75" thickBot="1" x14ac:dyDescent="0.65">
      <c r="A64" s="551"/>
      <c r="B64" s="587"/>
      <c r="C64" s="552"/>
      <c r="D64" s="553">
        <v>1</v>
      </c>
      <c r="E64" s="553"/>
      <c r="F64" s="553"/>
      <c r="G64" s="553">
        <f>Summary!J42</f>
        <v>20000</v>
      </c>
      <c r="H64" s="633">
        <f>H85</f>
        <v>0.34114643650602411</v>
      </c>
      <c r="I64" s="555"/>
    </row>
    <row r="65" spans="1:9" ht="21.75" thickBot="1" x14ac:dyDescent="0.65">
      <c r="A65" s="124"/>
      <c r="B65" s="43"/>
      <c r="C65" s="124"/>
      <c r="D65" s="125"/>
      <c r="E65" s="125"/>
      <c r="F65" s="125"/>
      <c r="G65" s="125"/>
      <c r="H65" s="126"/>
      <c r="I65" s="124"/>
    </row>
    <row r="66" spans="1:9" x14ac:dyDescent="0.6">
      <c r="A66" s="194" t="s">
        <v>605</v>
      </c>
      <c r="B66" s="186" t="s">
        <v>10</v>
      </c>
      <c r="C66" s="166" t="s">
        <v>9</v>
      </c>
      <c r="D66" s="117" t="s">
        <v>8</v>
      </c>
      <c r="E66" s="117" t="s">
        <v>613</v>
      </c>
      <c r="F66" s="117" t="s">
        <v>614</v>
      </c>
      <c r="G66" s="117" t="s">
        <v>11</v>
      </c>
      <c r="H66" s="118" t="s">
        <v>12</v>
      </c>
      <c r="I66" s="195" t="s">
        <v>12</v>
      </c>
    </row>
    <row r="67" spans="1:9" x14ac:dyDescent="0.6">
      <c r="A67" s="144"/>
      <c r="B67" s="399" t="s">
        <v>642</v>
      </c>
      <c r="C67" s="400" t="s">
        <v>596</v>
      </c>
      <c r="D67" s="406">
        <v>0.1</v>
      </c>
      <c r="E67" s="139">
        <v>0.35</v>
      </c>
      <c r="F67" s="32">
        <f t="shared" ref="F67:F80" si="7">D67+D67*E67</f>
        <v>0.13500000000000001</v>
      </c>
      <c r="G67" s="35">
        <v>24000</v>
      </c>
      <c r="H67" s="68">
        <f t="shared" ref="H67:H80" si="8">F67*G67</f>
        <v>3240</v>
      </c>
      <c r="I67" s="161">
        <f t="shared" ref="I67:I80" si="9">H67/I$3</f>
        <v>1.5428571428571429</v>
      </c>
    </row>
    <row r="68" spans="1:9" x14ac:dyDescent="0.6">
      <c r="A68" s="141"/>
      <c r="B68" s="399" t="s">
        <v>675</v>
      </c>
      <c r="C68" s="400" t="s">
        <v>596</v>
      </c>
      <c r="D68" s="406">
        <v>0.03</v>
      </c>
      <c r="E68" s="139">
        <v>0.3</v>
      </c>
      <c r="F68" s="32">
        <f t="shared" si="7"/>
        <v>3.9E-2</v>
      </c>
      <c r="G68" s="143">
        <v>10000</v>
      </c>
      <c r="H68" s="68">
        <f t="shared" si="8"/>
        <v>390</v>
      </c>
      <c r="I68" s="161">
        <f t="shared" si="9"/>
        <v>0.18571428571428572</v>
      </c>
    </row>
    <row r="69" spans="1:9" x14ac:dyDescent="0.6">
      <c r="A69" s="144"/>
      <c r="B69" s="399" t="s">
        <v>686</v>
      </c>
      <c r="C69" s="400" t="s">
        <v>13</v>
      </c>
      <c r="D69" s="406">
        <v>0.03</v>
      </c>
      <c r="E69" s="139">
        <v>0.2</v>
      </c>
      <c r="F69" s="32">
        <f t="shared" si="7"/>
        <v>3.5999999999999997E-2</v>
      </c>
      <c r="G69" s="143">
        <v>1400</v>
      </c>
      <c r="H69" s="68">
        <f t="shared" si="8"/>
        <v>50.4</v>
      </c>
      <c r="I69" s="161">
        <f t="shared" si="9"/>
        <v>2.4E-2</v>
      </c>
    </row>
    <row r="70" spans="1:9" x14ac:dyDescent="0.6">
      <c r="A70" s="144"/>
      <c r="B70" s="399" t="s">
        <v>760</v>
      </c>
      <c r="C70" s="400" t="s">
        <v>596</v>
      </c>
      <c r="D70" s="406">
        <v>0.03</v>
      </c>
      <c r="E70" s="139">
        <v>0.1</v>
      </c>
      <c r="F70" s="32">
        <f t="shared" si="7"/>
        <v>3.3000000000000002E-2</v>
      </c>
      <c r="G70" s="143">
        <v>22000</v>
      </c>
      <c r="H70" s="68">
        <f t="shared" si="8"/>
        <v>726</v>
      </c>
      <c r="I70" s="161">
        <f t="shared" si="9"/>
        <v>0.3457142857142857</v>
      </c>
    </row>
    <row r="71" spans="1:9" x14ac:dyDescent="0.6">
      <c r="A71" s="141"/>
      <c r="B71" s="399" t="s">
        <v>673</v>
      </c>
      <c r="C71" s="400" t="s">
        <v>596</v>
      </c>
      <c r="D71" s="406">
        <v>0.03</v>
      </c>
      <c r="E71" s="139">
        <v>0.2</v>
      </c>
      <c r="F71" s="32">
        <f t="shared" si="7"/>
        <v>3.5999999999999997E-2</v>
      </c>
      <c r="G71" s="143">
        <v>4500</v>
      </c>
      <c r="H71" s="68">
        <f t="shared" si="8"/>
        <v>162</v>
      </c>
      <c r="I71" s="161">
        <f t="shared" si="9"/>
        <v>7.7142857142857138E-2</v>
      </c>
    </row>
    <row r="72" spans="1:9" x14ac:dyDescent="0.6">
      <c r="A72" s="144"/>
      <c r="B72" s="399" t="s">
        <v>653</v>
      </c>
      <c r="C72" s="400" t="s">
        <v>596</v>
      </c>
      <c r="D72" s="406">
        <v>0.03</v>
      </c>
      <c r="E72" s="139">
        <v>0.05</v>
      </c>
      <c r="F72" s="32">
        <f t="shared" si="7"/>
        <v>3.15E-2</v>
      </c>
      <c r="G72" s="35">
        <v>6000</v>
      </c>
      <c r="H72" s="68">
        <f t="shared" si="8"/>
        <v>189</v>
      </c>
      <c r="I72" s="161">
        <f t="shared" si="9"/>
        <v>0.09</v>
      </c>
    </row>
    <row r="73" spans="1:9" x14ac:dyDescent="0.6">
      <c r="A73" s="253"/>
      <c r="B73" s="399" t="s">
        <v>692</v>
      </c>
      <c r="C73" s="400" t="s">
        <v>596</v>
      </c>
      <c r="D73" s="406">
        <v>0.01</v>
      </c>
      <c r="E73" s="139">
        <v>0.2</v>
      </c>
      <c r="F73" s="32">
        <f t="shared" si="7"/>
        <v>1.2E-2</v>
      </c>
      <c r="G73" s="162">
        <v>5000</v>
      </c>
      <c r="H73" s="68">
        <f t="shared" si="8"/>
        <v>60</v>
      </c>
      <c r="I73" s="161">
        <f t="shared" si="9"/>
        <v>2.8571428571428571E-2</v>
      </c>
    </row>
    <row r="74" spans="1:9" x14ac:dyDescent="0.6">
      <c r="A74" s="26"/>
      <c r="B74" s="399" t="s">
        <v>674</v>
      </c>
      <c r="C74" s="400" t="s">
        <v>596</v>
      </c>
      <c r="D74" s="406">
        <v>0.02</v>
      </c>
      <c r="E74" s="139">
        <v>0.2</v>
      </c>
      <c r="F74" s="32">
        <f t="shared" si="7"/>
        <v>2.4E-2</v>
      </c>
      <c r="G74" s="35">
        <v>21000</v>
      </c>
      <c r="H74" s="68">
        <f t="shared" si="8"/>
        <v>504</v>
      </c>
      <c r="I74" s="161">
        <f t="shared" si="9"/>
        <v>0.24</v>
      </c>
    </row>
    <row r="75" spans="1:9" x14ac:dyDescent="0.6">
      <c r="A75" s="26"/>
      <c r="B75" s="399" t="s">
        <v>694</v>
      </c>
      <c r="C75" s="400" t="s">
        <v>459</v>
      </c>
      <c r="D75" s="406">
        <v>0.01</v>
      </c>
      <c r="E75" s="139">
        <v>0</v>
      </c>
      <c r="F75" s="32">
        <f t="shared" si="7"/>
        <v>0.01</v>
      </c>
      <c r="G75" s="35">
        <f>21000/4.15</f>
        <v>5060.2409638554209</v>
      </c>
      <c r="H75" s="68">
        <f t="shared" si="8"/>
        <v>50.602409638554207</v>
      </c>
      <c r="I75" s="161">
        <f t="shared" si="9"/>
        <v>2.4096385542168669E-2</v>
      </c>
    </row>
    <row r="76" spans="1:9" x14ac:dyDescent="0.6">
      <c r="A76" s="26"/>
      <c r="B76" s="399" t="s">
        <v>747</v>
      </c>
      <c r="C76" s="400" t="s">
        <v>459</v>
      </c>
      <c r="D76" s="406">
        <v>0.01</v>
      </c>
      <c r="E76" s="139">
        <v>0</v>
      </c>
      <c r="F76" s="32">
        <f t="shared" si="7"/>
        <v>0.01</v>
      </c>
      <c r="G76" s="143">
        <v>8500</v>
      </c>
      <c r="H76" s="68">
        <f t="shared" si="8"/>
        <v>85</v>
      </c>
      <c r="I76" s="161">
        <f t="shared" si="9"/>
        <v>4.0476190476190478E-2</v>
      </c>
    </row>
    <row r="77" spans="1:9" x14ac:dyDescent="0.6">
      <c r="A77" s="415"/>
      <c r="B77" s="399" t="s">
        <v>716</v>
      </c>
      <c r="C77" s="400" t="s">
        <v>459</v>
      </c>
      <c r="D77" s="406">
        <v>0.01</v>
      </c>
      <c r="E77" s="139">
        <v>0</v>
      </c>
      <c r="F77" s="32">
        <f t="shared" si="7"/>
        <v>0.01</v>
      </c>
      <c r="G77" s="162">
        <v>3500</v>
      </c>
      <c r="H77" s="122">
        <f t="shared" si="8"/>
        <v>35</v>
      </c>
      <c r="I77" s="163">
        <f t="shared" si="9"/>
        <v>1.6666666666666666E-2</v>
      </c>
    </row>
    <row r="78" spans="1:9" x14ac:dyDescent="0.6">
      <c r="A78" s="415"/>
      <c r="B78" s="399" t="s">
        <v>609</v>
      </c>
      <c r="C78" s="400" t="s">
        <v>463</v>
      </c>
      <c r="D78" s="406">
        <v>0.01</v>
      </c>
      <c r="E78" s="139">
        <v>0</v>
      </c>
      <c r="F78" s="32">
        <f t="shared" si="7"/>
        <v>0.01</v>
      </c>
      <c r="G78" s="162">
        <v>14000</v>
      </c>
      <c r="H78" s="122">
        <f t="shared" si="8"/>
        <v>140</v>
      </c>
      <c r="I78" s="163">
        <f t="shared" si="9"/>
        <v>6.6666666666666666E-2</v>
      </c>
    </row>
    <row r="79" spans="1:9" x14ac:dyDescent="0.6">
      <c r="A79" s="415"/>
      <c r="B79" s="396" t="s">
        <v>672</v>
      </c>
      <c r="C79" s="397" t="s">
        <v>596</v>
      </c>
      <c r="D79" s="408">
        <v>0.05</v>
      </c>
      <c r="E79" s="139">
        <v>0</v>
      </c>
      <c r="F79" s="32">
        <f t="shared" si="7"/>
        <v>0.05</v>
      </c>
      <c r="G79" s="162">
        <v>7800</v>
      </c>
      <c r="H79" s="122">
        <f t="shared" si="8"/>
        <v>390</v>
      </c>
      <c r="I79" s="163">
        <f t="shared" si="9"/>
        <v>0.18571428571428572</v>
      </c>
    </row>
    <row r="80" spans="1:9" ht="21.75" thickBot="1" x14ac:dyDescent="0.65">
      <c r="A80" s="415"/>
      <c r="B80" s="396" t="s">
        <v>705</v>
      </c>
      <c r="C80" s="397" t="s">
        <v>26</v>
      </c>
      <c r="D80" s="398">
        <v>0.5</v>
      </c>
      <c r="E80" s="139">
        <v>0</v>
      </c>
      <c r="F80" s="32">
        <f t="shared" si="7"/>
        <v>0.5</v>
      </c>
      <c r="G80" s="162">
        <f>190000/24/8</f>
        <v>989.58333333333337</v>
      </c>
      <c r="H80" s="122">
        <f t="shared" si="8"/>
        <v>494.79166666666669</v>
      </c>
      <c r="I80" s="163">
        <f t="shared" si="9"/>
        <v>0.23561507936507936</v>
      </c>
    </row>
    <row r="81" spans="1:9" x14ac:dyDescent="0.6">
      <c r="A81" s="124"/>
      <c r="B81" s="165" t="s">
        <v>4</v>
      </c>
      <c r="C81" s="166"/>
      <c r="D81" s="117"/>
      <c r="E81" s="117"/>
      <c r="F81" s="117"/>
      <c r="G81" s="117"/>
      <c r="H81" s="192">
        <f>SUM(H67:H79)</f>
        <v>6022.0024096385541</v>
      </c>
      <c r="I81" s="197">
        <f>SUM(I67:I80)</f>
        <v>3.1032352744310576</v>
      </c>
    </row>
    <row r="82" spans="1:9" x14ac:dyDescent="0.6">
      <c r="A82" s="124"/>
      <c r="B82" s="168" t="s">
        <v>14</v>
      </c>
      <c r="C82" s="43"/>
      <c r="D82" s="121"/>
      <c r="E82" s="121"/>
      <c r="F82" s="121"/>
      <c r="G82" s="121"/>
      <c r="H82" s="169">
        <f>H81/1</f>
        <v>6022.0024096385541</v>
      </c>
      <c r="I82" s="104">
        <f>H82</f>
        <v>6022.0024096385541</v>
      </c>
    </row>
    <row r="83" spans="1:9" x14ac:dyDescent="0.6">
      <c r="A83" s="124"/>
      <c r="B83" s="168" t="s">
        <v>453</v>
      </c>
      <c r="C83" s="43"/>
      <c r="D83" s="121"/>
      <c r="E83" s="121"/>
      <c r="F83" s="121"/>
      <c r="G83" s="121"/>
      <c r="H83" s="104">
        <f>G64</f>
        <v>20000</v>
      </c>
      <c r="I83" s="104"/>
    </row>
    <row r="84" spans="1:9" x14ac:dyDescent="0.6">
      <c r="A84" s="124"/>
      <c r="B84" s="168" t="s">
        <v>455</v>
      </c>
      <c r="C84" s="43"/>
      <c r="D84" s="121"/>
      <c r="E84" s="121"/>
      <c r="F84" s="121"/>
      <c r="G84" s="121"/>
      <c r="H84" s="104">
        <f>H83/113.3%</f>
        <v>17652.250661959399</v>
      </c>
      <c r="I84" s="104"/>
    </row>
    <row r="85" spans="1:9" x14ac:dyDescent="0.6">
      <c r="A85" s="124"/>
      <c r="B85" s="168" t="s">
        <v>16</v>
      </c>
      <c r="C85" s="43"/>
      <c r="D85" s="121"/>
      <c r="E85" s="121"/>
      <c r="F85" s="121"/>
      <c r="G85" s="121"/>
      <c r="H85" s="588">
        <f>H82/H84</f>
        <v>0.34114643650602411</v>
      </c>
      <c r="I85" s="588"/>
    </row>
    <row r="86" spans="1:9" x14ac:dyDescent="0.6">
      <c r="A86" s="124"/>
      <c r="B86" s="168"/>
      <c r="C86" s="43"/>
      <c r="D86" s="121"/>
      <c r="E86" s="121"/>
      <c r="F86" s="121"/>
      <c r="G86" s="121"/>
      <c r="H86" s="169"/>
      <c r="I86" s="171"/>
    </row>
    <row r="87" spans="1:9" x14ac:dyDescent="0.6">
      <c r="G87" s="74"/>
      <c r="H87" s="74"/>
    </row>
    <row r="88" spans="1:9" x14ac:dyDescent="0.6">
      <c r="G88" s="74"/>
      <c r="H88" s="74"/>
    </row>
    <row r="89" spans="1:9" x14ac:dyDescent="0.6">
      <c r="G89" s="74"/>
      <c r="H89" s="74"/>
    </row>
    <row r="90" spans="1:9" ht="21.75" thickBot="1" x14ac:dyDescent="0.65">
      <c r="A90" s="938" t="s">
        <v>0</v>
      </c>
      <c r="B90" s="938"/>
      <c r="C90" s="938"/>
      <c r="D90" s="938"/>
      <c r="E90" s="938"/>
      <c r="F90" s="938"/>
      <c r="G90" s="938"/>
      <c r="H90" s="938"/>
      <c r="I90" s="938"/>
    </row>
    <row r="91" spans="1:9" ht="21.75" thickBot="1" x14ac:dyDescent="0.65">
      <c r="A91" s="562" t="s">
        <v>722</v>
      </c>
      <c r="B91" s="585" t="s">
        <v>697</v>
      </c>
      <c r="C91" s="547"/>
      <c r="D91" s="548"/>
      <c r="E91" s="548"/>
      <c r="F91" s="548"/>
      <c r="G91" s="548" t="s">
        <v>1</v>
      </c>
      <c r="H91" s="541" t="s">
        <v>868</v>
      </c>
      <c r="I91" s="564" t="s">
        <v>595</v>
      </c>
    </row>
    <row r="92" spans="1:9" x14ac:dyDescent="0.6">
      <c r="A92" s="550">
        <v>4</v>
      </c>
      <c r="B92" s="539" t="s">
        <v>5</v>
      </c>
      <c r="C92" s="539" t="s">
        <v>4</v>
      </c>
      <c r="D92" s="540" t="s">
        <v>3</v>
      </c>
      <c r="E92" s="540" t="s">
        <v>613</v>
      </c>
      <c r="F92" s="540" t="s">
        <v>614</v>
      </c>
      <c r="G92" s="586" t="s">
        <v>510</v>
      </c>
      <c r="H92" s="543" t="s">
        <v>7</v>
      </c>
      <c r="I92" s="637">
        <f>I63</f>
        <v>45574</v>
      </c>
    </row>
    <row r="93" spans="1:9" ht="21.75" thickBot="1" x14ac:dyDescent="0.65">
      <c r="A93" s="551"/>
      <c r="B93" s="587"/>
      <c r="C93" s="552"/>
      <c r="D93" s="553">
        <v>1</v>
      </c>
      <c r="E93" s="553"/>
      <c r="F93" s="553"/>
      <c r="G93" s="553">
        <f>Summary!J43</f>
        <v>20000</v>
      </c>
      <c r="H93" s="633">
        <f>H112</f>
        <v>0.24928331430202291</v>
      </c>
      <c r="I93" s="555"/>
    </row>
    <row r="94" spans="1:9" ht="21.75" thickBot="1" x14ac:dyDescent="0.65">
      <c r="A94" s="124"/>
      <c r="B94" s="43"/>
      <c r="C94" s="124"/>
      <c r="D94" s="125"/>
      <c r="E94" s="125"/>
      <c r="F94" s="125"/>
      <c r="G94" s="125"/>
      <c r="H94" s="126"/>
      <c r="I94" s="124"/>
    </row>
    <row r="95" spans="1:9" x14ac:dyDescent="0.6">
      <c r="A95" s="194" t="s">
        <v>904</v>
      </c>
      <c r="B95" s="186" t="s">
        <v>10</v>
      </c>
      <c r="C95" s="166" t="s">
        <v>9</v>
      </c>
      <c r="D95" s="117" t="s">
        <v>8</v>
      </c>
      <c r="E95" s="117" t="s">
        <v>613</v>
      </c>
      <c r="F95" s="117" t="s">
        <v>614</v>
      </c>
      <c r="G95" s="117" t="s">
        <v>11</v>
      </c>
      <c r="H95" s="118" t="s">
        <v>12</v>
      </c>
      <c r="I95" s="195" t="s">
        <v>12</v>
      </c>
    </row>
    <row r="96" spans="1:9" x14ac:dyDescent="0.6">
      <c r="A96" s="144"/>
      <c r="B96" s="85" t="s">
        <v>464</v>
      </c>
      <c r="C96" s="19" t="s">
        <v>23</v>
      </c>
      <c r="D96" s="20">
        <v>0.14000000000000001</v>
      </c>
      <c r="E96" s="86">
        <v>0.34</v>
      </c>
      <c r="F96" s="32">
        <f t="shared" ref="F96:F107" si="10">D96+D96*E96</f>
        <v>0.18760000000000002</v>
      </c>
      <c r="G96" s="35">
        <f>22000/1.62</f>
        <v>13580.246913580246</v>
      </c>
      <c r="H96" s="68">
        <f t="shared" ref="H96:H107" si="11">F96*G96</f>
        <v>2547.6543209876545</v>
      </c>
      <c r="I96" s="161">
        <f t="shared" ref="I96:I106" si="12">H96/I$3</f>
        <v>1.2131687242798355</v>
      </c>
    </row>
    <row r="97" spans="1:9" x14ac:dyDescent="0.6">
      <c r="A97" s="141"/>
      <c r="B97" s="21" t="s">
        <v>493</v>
      </c>
      <c r="C97" s="19" t="s">
        <v>471</v>
      </c>
      <c r="D97" s="20">
        <v>0.01</v>
      </c>
      <c r="E97" s="86">
        <v>0.2</v>
      </c>
      <c r="F97" s="32">
        <f t="shared" si="10"/>
        <v>1.2E-2</v>
      </c>
      <c r="G97" s="143">
        <v>21000</v>
      </c>
      <c r="H97" s="68">
        <f t="shared" si="11"/>
        <v>252</v>
      </c>
      <c r="I97" s="161">
        <f t="shared" si="12"/>
        <v>0.12</v>
      </c>
    </row>
    <row r="98" spans="1:9" x14ac:dyDescent="0.6">
      <c r="A98" s="144"/>
      <c r="B98" s="271" t="s">
        <v>652</v>
      </c>
      <c r="C98" s="19" t="s">
        <v>471</v>
      </c>
      <c r="D98" s="20">
        <v>0.01</v>
      </c>
      <c r="E98" s="86">
        <v>0.05</v>
      </c>
      <c r="F98" s="32">
        <f t="shared" si="10"/>
        <v>1.0500000000000001E-2</v>
      </c>
      <c r="G98" s="143">
        <v>5000</v>
      </c>
      <c r="H98" s="68">
        <f t="shared" si="11"/>
        <v>52.5</v>
      </c>
      <c r="I98" s="161">
        <f t="shared" si="12"/>
        <v>2.5000000000000001E-2</v>
      </c>
    </row>
    <row r="99" spans="1:9" x14ac:dyDescent="0.6">
      <c r="A99" s="144"/>
      <c r="B99" s="89" t="s">
        <v>553</v>
      </c>
      <c r="C99" s="272" t="s">
        <v>20</v>
      </c>
      <c r="D99" s="20">
        <v>0.03</v>
      </c>
      <c r="E99" s="86">
        <v>0.05</v>
      </c>
      <c r="F99" s="32">
        <f t="shared" si="10"/>
        <v>3.15E-2</v>
      </c>
      <c r="G99" s="143">
        <v>300</v>
      </c>
      <c r="H99" s="68">
        <f t="shared" si="11"/>
        <v>9.4499999999999993</v>
      </c>
      <c r="I99" s="161">
        <f t="shared" si="12"/>
        <v>4.4999999999999997E-3</v>
      </c>
    </row>
    <row r="100" spans="1:9" x14ac:dyDescent="0.6">
      <c r="A100" s="141"/>
      <c r="B100" s="21" t="s">
        <v>494</v>
      </c>
      <c r="C100" s="19" t="s">
        <v>459</v>
      </c>
      <c r="D100" s="20">
        <v>0.03</v>
      </c>
      <c r="E100" s="86">
        <v>0</v>
      </c>
      <c r="F100" s="32">
        <f t="shared" si="10"/>
        <v>0.03</v>
      </c>
      <c r="G100" s="143">
        <f>21000/4.15</f>
        <v>5060.2409638554209</v>
      </c>
      <c r="H100" s="68">
        <f t="shared" si="11"/>
        <v>151.80722891566262</v>
      </c>
      <c r="I100" s="161">
        <f t="shared" si="12"/>
        <v>7.2289156626506007E-2</v>
      </c>
    </row>
    <row r="101" spans="1:9" x14ac:dyDescent="0.6">
      <c r="A101" s="144"/>
      <c r="B101" s="89" t="s">
        <v>474</v>
      </c>
      <c r="C101" s="19" t="s">
        <v>471</v>
      </c>
      <c r="D101" s="20">
        <v>0.02</v>
      </c>
      <c r="E101" s="86">
        <v>0.1</v>
      </c>
      <c r="F101" s="32">
        <f t="shared" si="10"/>
        <v>2.1999999999999999E-2</v>
      </c>
      <c r="G101" s="35">
        <v>10000</v>
      </c>
      <c r="H101" s="68">
        <f t="shared" si="11"/>
        <v>220</v>
      </c>
      <c r="I101" s="161">
        <f t="shared" si="12"/>
        <v>0.10476190476190476</v>
      </c>
    </row>
    <row r="102" spans="1:9" x14ac:dyDescent="0.6">
      <c r="A102" s="253"/>
      <c r="B102" s="21" t="s">
        <v>492</v>
      </c>
      <c r="C102" s="272" t="s">
        <v>20</v>
      </c>
      <c r="D102" s="20">
        <v>0.05</v>
      </c>
      <c r="E102" s="86">
        <v>0.08</v>
      </c>
      <c r="F102" s="32">
        <f t="shared" si="10"/>
        <v>5.4000000000000006E-2</v>
      </c>
      <c r="G102" s="162">
        <v>6000</v>
      </c>
      <c r="H102" s="68">
        <f t="shared" si="11"/>
        <v>324.00000000000006</v>
      </c>
      <c r="I102" s="161">
        <f t="shared" si="12"/>
        <v>0.1542857142857143</v>
      </c>
    </row>
    <row r="103" spans="1:9" x14ac:dyDescent="0.6">
      <c r="A103" s="26"/>
      <c r="B103" s="23" t="s">
        <v>655</v>
      </c>
      <c r="C103" s="19" t="s">
        <v>471</v>
      </c>
      <c r="D103" s="20">
        <v>0.05</v>
      </c>
      <c r="E103" s="86">
        <v>0</v>
      </c>
      <c r="F103" s="32">
        <f t="shared" si="10"/>
        <v>0.05</v>
      </c>
      <c r="G103" s="35">
        <v>7800</v>
      </c>
      <c r="H103" s="68">
        <f t="shared" si="11"/>
        <v>390</v>
      </c>
      <c r="I103" s="161">
        <f t="shared" si="12"/>
        <v>0.18571428571428572</v>
      </c>
    </row>
    <row r="104" spans="1:9" x14ac:dyDescent="0.6">
      <c r="A104" s="26"/>
      <c r="B104" s="21" t="s">
        <v>609</v>
      </c>
      <c r="C104" s="19" t="s">
        <v>463</v>
      </c>
      <c r="D104" s="20">
        <v>0.01</v>
      </c>
      <c r="E104" s="86">
        <v>0</v>
      </c>
      <c r="F104" s="32">
        <f t="shared" si="10"/>
        <v>0.01</v>
      </c>
      <c r="G104" s="35">
        <v>14000</v>
      </c>
      <c r="H104" s="68">
        <f t="shared" si="11"/>
        <v>140</v>
      </c>
      <c r="I104" s="161">
        <f t="shared" si="12"/>
        <v>6.6666666666666666E-2</v>
      </c>
    </row>
    <row r="105" spans="1:9" x14ac:dyDescent="0.6">
      <c r="A105" s="26"/>
      <c r="B105" s="89" t="s">
        <v>612</v>
      </c>
      <c r="C105" s="19" t="s">
        <v>471</v>
      </c>
      <c r="D105" s="20">
        <v>0.01</v>
      </c>
      <c r="E105" s="86">
        <v>0</v>
      </c>
      <c r="F105" s="32">
        <f t="shared" si="10"/>
        <v>0.01</v>
      </c>
      <c r="G105" s="143">
        <v>5800</v>
      </c>
      <c r="H105" s="68">
        <f t="shared" si="11"/>
        <v>58</v>
      </c>
      <c r="I105" s="161">
        <f t="shared" si="12"/>
        <v>2.7619047619047619E-2</v>
      </c>
    </row>
    <row r="106" spans="1:9" x14ac:dyDescent="0.6">
      <c r="A106" s="415"/>
      <c r="B106" s="89" t="s">
        <v>647</v>
      </c>
      <c r="C106" s="19" t="s">
        <v>471</v>
      </c>
      <c r="D106" s="20">
        <v>0.03</v>
      </c>
      <c r="E106" s="86">
        <v>0</v>
      </c>
      <c r="F106" s="32">
        <f t="shared" si="10"/>
        <v>0.03</v>
      </c>
      <c r="G106" s="162">
        <v>8500</v>
      </c>
      <c r="H106" s="122">
        <f t="shared" si="11"/>
        <v>255</v>
      </c>
      <c r="I106" s="163">
        <f t="shared" si="12"/>
        <v>0.12142857142857143</v>
      </c>
    </row>
    <row r="107" spans="1:9" ht="21.75" thickBot="1" x14ac:dyDescent="0.65">
      <c r="A107" s="415"/>
      <c r="B107" s="259" t="s">
        <v>705</v>
      </c>
      <c r="C107" s="260" t="s">
        <v>907</v>
      </c>
      <c r="D107" s="261">
        <v>1</v>
      </c>
      <c r="E107" s="262">
        <v>0</v>
      </c>
      <c r="F107" s="32">
        <f t="shared" si="10"/>
        <v>1</v>
      </c>
      <c r="G107" s="162">
        <f>190000/24/8</f>
        <v>989.58333333333337</v>
      </c>
      <c r="H107" s="122">
        <f t="shared" si="11"/>
        <v>989.58333333333337</v>
      </c>
      <c r="I107" s="163">
        <f t="shared" ref="I107" si="13">H107/I$3</f>
        <v>0.47123015873015872</v>
      </c>
    </row>
    <row r="108" spans="1:9" x14ac:dyDescent="0.6">
      <c r="A108" s="124"/>
      <c r="B108" s="165" t="s">
        <v>4</v>
      </c>
      <c r="C108" s="166"/>
      <c r="D108" s="117"/>
      <c r="E108" s="117"/>
      <c r="F108" s="117"/>
      <c r="G108" s="117"/>
      <c r="H108" s="192">
        <f>SUM(H96:H106)</f>
        <v>4400.4115499033169</v>
      </c>
      <c r="I108" s="197">
        <f>SUM(I96:I107)</f>
        <v>2.5666642301126905</v>
      </c>
    </row>
    <row r="109" spans="1:9" x14ac:dyDescent="0.6">
      <c r="A109" s="124"/>
      <c r="B109" s="168" t="s">
        <v>14</v>
      </c>
      <c r="C109" s="43"/>
      <c r="D109" s="121"/>
      <c r="E109" s="121"/>
      <c r="F109" s="121"/>
      <c r="G109" s="121"/>
      <c r="H109" s="169">
        <f>H108/1</f>
        <v>4400.4115499033169</v>
      </c>
      <c r="I109" s="104"/>
    </row>
    <row r="110" spans="1:9" x14ac:dyDescent="0.6">
      <c r="A110" s="124"/>
      <c r="B110" s="168" t="s">
        <v>453</v>
      </c>
      <c r="C110" s="43"/>
      <c r="D110" s="121"/>
      <c r="E110" s="121"/>
      <c r="F110" s="121"/>
      <c r="G110" s="121"/>
      <c r="H110" s="104">
        <f>G93</f>
        <v>20000</v>
      </c>
      <c r="I110" s="104"/>
    </row>
    <row r="111" spans="1:9" x14ac:dyDescent="0.6">
      <c r="A111" s="124"/>
      <c r="B111" s="168" t="s">
        <v>455</v>
      </c>
      <c r="C111" s="43"/>
      <c r="D111" s="121"/>
      <c r="E111" s="121"/>
      <c r="F111" s="121"/>
      <c r="G111" s="121"/>
      <c r="H111" s="104">
        <f>H110/113.3%</f>
        <v>17652.250661959399</v>
      </c>
      <c r="I111" s="104"/>
    </row>
    <row r="112" spans="1:9" x14ac:dyDescent="0.6">
      <c r="A112" s="124"/>
      <c r="B112" s="168" t="s">
        <v>16</v>
      </c>
      <c r="C112" s="43"/>
      <c r="D112" s="121"/>
      <c r="E112" s="121"/>
      <c r="F112" s="121"/>
      <c r="G112" s="121"/>
      <c r="H112" s="588">
        <f>H109/H111</f>
        <v>0.24928331430202291</v>
      </c>
      <c r="I112" s="588"/>
    </row>
    <row r="113" spans="1:11" x14ac:dyDescent="0.6">
      <c r="A113" s="124"/>
      <c r="B113" s="168"/>
      <c r="C113" s="43"/>
      <c r="D113" s="121"/>
      <c r="E113" s="121"/>
      <c r="F113" s="121"/>
      <c r="G113" s="121"/>
      <c r="H113" s="169"/>
      <c r="I113" s="171"/>
    </row>
    <row r="114" spans="1:11" ht="21.75" thickBot="1" x14ac:dyDescent="0.65">
      <c r="A114" s="124"/>
      <c r="B114" s="172"/>
      <c r="C114" s="147"/>
      <c r="D114" s="58"/>
      <c r="E114" s="58"/>
      <c r="F114" s="58"/>
      <c r="G114" s="58"/>
      <c r="H114" s="173"/>
      <c r="I114" s="164"/>
    </row>
    <row r="115" spans="1:11" x14ac:dyDescent="0.6">
      <c r="G115" s="74"/>
      <c r="H115" s="74"/>
    </row>
    <row r="116" spans="1:11" x14ac:dyDescent="0.6">
      <c r="G116" s="74"/>
      <c r="H116" s="74"/>
    </row>
    <row r="117" spans="1:11" ht="21.75" thickBot="1" x14ac:dyDescent="0.65">
      <c r="A117" s="124"/>
      <c r="B117" s="490"/>
      <c r="C117" s="491"/>
      <c r="D117" s="492"/>
      <c r="E117" s="155"/>
      <c r="F117" s="155"/>
      <c r="G117" s="155"/>
      <c r="H117" s="301"/>
      <c r="I117" s="124"/>
    </row>
    <row r="118" spans="1:11" s="119" customFormat="1" ht="18.75" thickBot="1" x14ac:dyDescent="0.55000000000000004">
      <c r="A118" s="936" t="s">
        <v>0</v>
      </c>
      <c r="B118" s="936"/>
      <c r="C118" s="936"/>
      <c r="D118" s="936"/>
      <c r="E118" s="936"/>
      <c r="F118" s="936"/>
      <c r="G118" s="936"/>
      <c r="H118" s="936"/>
      <c r="I118" s="936"/>
    </row>
    <row r="119" spans="1:11" s="119" customFormat="1" ht="18.75" thickBot="1" x14ac:dyDescent="0.55000000000000004">
      <c r="A119" s="562" t="s">
        <v>722</v>
      </c>
      <c r="B119" s="563" t="s">
        <v>762</v>
      </c>
      <c r="C119" s="547"/>
      <c r="D119" s="548"/>
      <c r="E119" s="548"/>
      <c r="F119" s="548"/>
      <c r="G119" s="548" t="s">
        <v>1</v>
      </c>
      <c r="H119" s="541" t="s">
        <v>868</v>
      </c>
      <c r="I119" s="564" t="s">
        <v>595</v>
      </c>
      <c r="J119" s="119">
        <v>5</v>
      </c>
    </row>
    <row r="120" spans="1:11" s="119" customFormat="1" ht="18" x14ac:dyDescent="0.5">
      <c r="A120" s="550">
        <v>5</v>
      </c>
      <c r="B120" s="539" t="s">
        <v>5</v>
      </c>
      <c r="C120" s="539" t="s">
        <v>4</v>
      </c>
      <c r="D120" s="540" t="s">
        <v>3</v>
      </c>
      <c r="E120" s="540" t="s">
        <v>613</v>
      </c>
      <c r="F120" s="540" t="s">
        <v>614</v>
      </c>
      <c r="G120" s="586" t="s">
        <v>510</v>
      </c>
      <c r="H120" s="543" t="s">
        <v>7</v>
      </c>
      <c r="I120" s="637">
        <f>I92</f>
        <v>45574</v>
      </c>
    </row>
    <row r="121" spans="1:11" s="119" customFormat="1" ht="18.75" thickBot="1" x14ac:dyDescent="0.55000000000000004">
      <c r="A121" s="551"/>
      <c r="B121" s="552"/>
      <c r="C121" s="552"/>
      <c r="D121" s="553">
        <v>1</v>
      </c>
      <c r="E121" s="553"/>
      <c r="F121" s="553"/>
      <c r="G121" s="553">
        <f>Summary!J44</f>
        <v>25000</v>
      </c>
      <c r="H121" s="633">
        <f>H141</f>
        <v>0.28110724218875499</v>
      </c>
      <c r="I121" s="555"/>
    </row>
    <row r="122" spans="1:11" s="119" customFormat="1" ht="18.75" thickBot="1" x14ac:dyDescent="0.55000000000000004">
      <c r="A122" s="124"/>
      <c r="B122" s="124"/>
      <c r="C122" s="124"/>
      <c r="D122" s="125"/>
      <c r="E122" s="125"/>
      <c r="F122" s="125"/>
      <c r="G122" s="125"/>
      <c r="H122" s="126"/>
      <c r="I122" s="124"/>
    </row>
    <row r="123" spans="1:11" s="119" customFormat="1" ht="18" x14ac:dyDescent="0.5">
      <c r="A123" s="194" t="s">
        <v>904</v>
      </c>
      <c r="B123" s="166" t="s">
        <v>10</v>
      </c>
      <c r="C123" s="166" t="s">
        <v>9</v>
      </c>
      <c r="D123" s="117" t="s">
        <v>8</v>
      </c>
      <c r="E123" s="117" t="s">
        <v>613</v>
      </c>
      <c r="F123" s="117" t="s">
        <v>614</v>
      </c>
      <c r="G123" s="117" t="s">
        <v>11</v>
      </c>
      <c r="H123" s="118" t="s">
        <v>12</v>
      </c>
      <c r="I123" s="195" t="s">
        <v>12</v>
      </c>
    </row>
    <row r="124" spans="1:11" s="119" customFormat="1" ht="18" x14ac:dyDescent="0.5">
      <c r="A124" s="144"/>
      <c r="B124" s="405" t="s">
        <v>763</v>
      </c>
      <c r="C124" s="400" t="s">
        <v>596</v>
      </c>
      <c r="D124" s="406">
        <v>0.3</v>
      </c>
      <c r="E124" s="139">
        <v>0.1</v>
      </c>
      <c r="F124" s="32">
        <f t="shared" ref="F124:F136" si="14">D124+D124*E124</f>
        <v>0.32999999999999996</v>
      </c>
      <c r="G124" s="35">
        <v>9500</v>
      </c>
      <c r="H124" s="68">
        <f t="shared" ref="H124:H136" si="15">F124*G124</f>
        <v>3134.9999999999995</v>
      </c>
      <c r="I124" s="161">
        <f t="shared" ref="I124:I132" si="16">H124/I$3</f>
        <v>1.4928571428571427</v>
      </c>
      <c r="K124" s="119">
        <f>+D124*1.6</f>
        <v>0.48</v>
      </c>
    </row>
    <row r="125" spans="1:11" s="119" customFormat="1" ht="18" x14ac:dyDescent="0.5">
      <c r="A125" s="141"/>
      <c r="B125" s="405" t="s">
        <v>625</v>
      </c>
      <c r="C125" s="400" t="s">
        <v>463</v>
      </c>
      <c r="D125" s="406">
        <v>0.05</v>
      </c>
      <c r="E125" s="139">
        <v>0.3</v>
      </c>
      <c r="F125" s="32">
        <f t="shared" si="14"/>
        <v>6.5000000000000002E-2</v>
      </c>
      <c r="G125" s="143">
        <v>7000</v>
      </c>
      <c r="H125" s="68">
        <f t="shared" si="15"/>
        <v>455</v>
      </c>
      <c r="I125" s="161">
        <f t="shared" si="16"/>
        <v>0.21666666666666667</v>
      </c>
    </row>
    <row r="126" spans="1:11" s="119" customFormat="1" ht="18" x14ac:dyDescent="0.5">
      <c r="A126" s="144"/>
      <c r="B126" s="405" t="s">
        <v>673</v>
      </c>
      <c r="C126" s="400" t="s">
        <v>596</v>
      </c>
      <c r="D126" s="406">
        <v>0.05</v>
      </c>
      <c r="E126" s="139">
        <v>0.2</v>
      </c>
      <c r="F126" s="32">
        <f t="shared" si="14"/>
        <v>6.0000000000000005E-2</v>
      </c>
      <c r="G126" s="143">
        <v>4500</v>
      </c>
      <c r="H126" s="68">
        <f t="shared" si="15"/>
        <v>270</v>
      </c>
      <c r="I126" s="161">
        <f t="shared" si="16"/>
        <v>0.12857142857142856</v>
      </c>
    </row>
    <row r="127" spans="1:11" s="119" customFormat="1" ht="18" x14ac:dyDescent="0.5">
      <c r="A127" s="144"/>
      <c r="B127" s="405" t="s">
        <v>674</v>
      </c>
      <c r="C127" s="400" t="s">
        <v>596</v>
      </c>
      <c r="D127" s="406">
        <v>0.03</v>
      </c>
      <c r="E127" s="139">
        <v>0.2</v>
      </c>
      <c r="F127" s="32">
        <f t="shared" si="14"/>
        <v>3.5999999999999997E-2</v>
      </c>
      <c r="G127" s="143">
        <v>21000</v>
      </c>
      <c r="H127" s="68">
        <f t="shared" si="15"/>
        <v>755.99999999999989</v>
      </c>
      <c r="I127" s="161">
        <f t="shared" si="16"/>
        <v>0.35999999999999993</v>
      </c>
    </row>
    <row r="128" spans="1:11" s="119" customFormat="1" ht="18" x14ac:dyDescent="0.5">
      <c r="A128" s="141"/>
      <c r="B128" s="405" t="s">
        <v>692</v>
      </c>
      <c r="C128" s="400" t="s">
        <v>596</v>
      </c>
      <c r="D128" s="406">
        <v>0.02</v>
      </c>
      <c r="E128" s="139">
        <v>0.2</v>
      </c>
      <c r="F128" s="32">
        <f t="shared" si="14"/>
        <v>2.4E-2</v>
      </c>
      <c r="G128" s="143">
        <v>5000</v>
      </c>
      <c r="H128" s="68">
        <f t="shared" si="15"/>
        <v>120</v>
      </c>
      <c r="I128" s="161">
        <f t="shared" si="16"/>
        <v>5.7142857142857141E-2</v>
      </c>
    </row>
    <row r="129" spans="1:10" s="119" customFormat="1" ht="18" x14ac:dyDescent="0.5">
      <c r="A129" s="144"/>
      <c r="B129" s="405" t="s">
        <v>652</v>
      </c>
      <c r="C129" s="400" t="s">
        <v>596</v>
      </c>
      <c r="D129" s="406">
        <v>0.03</v>
      </c>
      <c r="E129" s="139">
        <v>0</v>
      </c>
      <c r="F129" s="32">
        <f t="shared" si="14"/>
        <v>0.03</v>
      </c>
      <c r="G129" s="35">
        <v>7000</v>
      </c>
      <c r="H129" s="68">
        <f t="shared" si="15"/>
        <v>210</v>
      </c>
      <c r="I129" s="161">
        <f t="shared" si="16"/>
        <v>0.1</v>
      </c>
    </row>
    <row r="130" spans="1:10" s="119" customFormat="1" ht="18" x14ac:dyDescent="0.5">
      <c r="A130" s="253"/>
      <c r="B130" s="405" t="s">
        <v>759</v>
      </c>
      <c r="C130" s="400" t="s">
        <v>459</v>
      </c>
      <c r="D130" s="406">
        <v>0.02</v>
      </c>
      <c r="E130" s="139">
        <v>0</v>
      </c>
      <c r="F130" s="32">
        <f t="shared" si="14"/>
        <v>0.02</v>
      </c>
      <c r="G130" s="162">
        <f>17000/4.15</f>
        <v>4096.385542168674</v>
      </c>
      <c r="H130" s="68">
        <f t="shared" si="15"/>
        <v>81.927710843373475</v>
      </c>
      <c r="I130" s="161">
        <f t="shared" si="16"/>
        <v>3.9013195639701653E-2</v>
      </c>
    </row>
    <row r="131" spans="1:10" s="119" customFormat="1" ht="18" x14ac:dyDescent="0.5">
      <c r="A131" s="26"/>
      <c r="B131" s="405" t="s">
        <v>709</v>
      </c>
      <c r="C131" s="400" t="s">
        <v>13</v>
      </c>
      <c r="D131" s="406">
        <v>1</v>
      </c>
      <c r="E131" s="139">
        <v>0</v>
      </c>
      <c r="F131" s="32">
        <f t="shared" si="14"/>
        <v>1</v>
      </c>
      <c r="G131" s="35">
        <v>200</v>
      </c>
      <c r="H131" s="68">
        <f t="shared" si="15"/>
        <v>200</v>
      </c>
      <c r="I131" s="161">
        <f t="shared" si="16"/>
        <v>9.5238095238095233E-2</v>
      </c>
    </row>
    <row r="132" spans="1:10" s="119" customFormat="1" ht="18" x14ac:dyDescent="0.5">
      <c r="A132" s="26"/>
      <c r="B132" s="405" t="s">
        <v>622</v>
      </c>
      <c r="C132" s="400" t="s">
        <v>596</v>
      </c>
      <c r="D132" s="406">
        <v>0.02</v>
      </c>
      <c r="E132" s="139">
        <v>0</v>
      </c>
      <c r="F132" s="32">
        <f t="shared" si="14"/>
        <v>0.02</v>
      </c>
      <c r="G132" s="35">
        <v>24000</v>
      </c>
      <c r="H132" s="68">
        <f t="shared" si="15"/>
        <v>480</v>
      </c>
      <c r="I132" s="161">
        <f t="shared" si="16"/>
        <v>0.22857142857142856</v>
      </c>
    </row>
    <row r="133" spans="1:10" s="119" customFormat="1" ht="18" x14ac:dyDescent="0.5">
      <c r="A133" s="26"/>
      <c r="B133" s="405" t="s">
        <v>705</v>
      </c>
      <c r="C133" s="400" t="s">
        <v>26</v>
      </c>
      <c r="D133" s="406">
        <v>0.5</v>
      </c>
      <c r="E133" s="139">
        <v>0</v>
      </c>
      <c r="F133" s="32">
        <f t="shared" si="14"/>
        <v>0.5</v>
      </c>
      <c r="G133" s="143">
        <f>190000/24/8</f>
        <v>989.58333333333337</v>
      </c>
      <c r="H133" s="68">
        <f t="shared" si="15"/>
        <v>494.79166666666669</v>
      </c>
      <c r="I133" s="161">
        <f t="shared" ref="I133:I136" si="17">H133/I$3</f>
        <v>0.23561507936507936</v>
      </c>
    </row>
    <row r="134" spans="1:10" s="119" customFormat="1" ht="18" x14ac:dyDescent="0.5">
      <c r="A134" s="415"/>
      <c r="B134" s="405" t="s">
        <v>672</v>
      </c>
      <c r="C134" s="400" t="s">
        <v>596</v>
      </c>
      <c r="D134" s="406">
        <v>0.05</v>
      </c>
      <c r="E134" s="199">
        <v>0</v>
      </c>
      <c r="F134" s="177">
        <f t="shared" si="14"/>
        <v>0.05</v>
      </c>
      <c r="G134" s="162">
        <v>7800</v>
      </c>
      <c r="H134" s="68">
        <f t="shared" si="15"/>
        <v>390</v>
      </c>
      <c r="I134" s="161">
        <f t="shared" si="17"/>
        <v>0.18571428571428572</v>
      </c>
    </row>
    <row r="135" spans="1:10" s="119" customFormat="1" ht="18" x14ac:dyDescent="0.5">
      <c r="A135" s="415"/>
      <c r="B135" s="396" t="s">
        <v>719</v>
      </c>
      <c r="C135" s="397" t="s">
        <v>459</v>
      </c>
      <c r="D135" s="398">
        <v>0.01</v>
      </c>
      <c r="E135" s="199">
        <v>0</v>
      </c>
      <c r="F135" s="177">
        <f t="shared" si="14"/>
        <v>0.01</v>
      </c>
      <c r="G135" s="162">
        <f>42000/4.15</f>
        <v>10120.481927710842</v>
      </c>
      <c r="H135" s="68">
        <f t="shared" si="15"/>
        <v>101.20481927710841</v>
      </c>
      <c r="I135" s="161">
        <f t="shared" si="17"/>
        <v>4.8192771084337338E-2</v>
      </c>
    </row>
    <row r="136" spans="1:10" s="119" customFormat="1" ht="18.75" thickBot="1" x14ac:dyDescent="0.55000000000000004">
      <c r="A136" s="415"/>
      <c r="B136" s="396" t="s">
        <v>609</v>
      </c>
      <c r="C136" s="397" t="s">
        <v>463</v>
      </c>
      <c r="D136" s="408">
        <v>0.01</v>
      </c>
      <c r="E136" s="199">
        <v>0</v>
      </c>
      <c r="F136" s="177">
        <f t="shared" si="14"/>
        <v>0.01</v>
      </c>
      <c r="G136" s="162">
        <v>14000</v>
      </c>
      <c r="H136" s="68">
        <f t="shared" si="15"/>
        <v>140</v>
      </c>
      <c r="I136" s="161">
        <f t="shared" si="17"/>
        <v>6.6666666666666666E-2</v>
      </c>
    </row>
    <row r="137" spans="1:10" s="119" customFormat="1" ht="18" x14ac:dyDescent="0.5">
      <c r="A137" s="124"/>
      <c r="B137" s="165" t="s">
        <v>4</v>
      </c>
      <c r="C137" s="166"/>
      <c r="D137" s="117"/>
      <c r="E137" s="117"/>
      <c r="F137" s="117"/>
      <c r="G137" s="117"/>
      <c r="H137" s="192">
        <f>SUM(H124:H133)</f>
        <v>6202.7193775100395</v>
      </c>
      <c r="I137" s="197">
        <f>SUM(I124:I129)</f>
        <v>2.3552380952380947</v>
      </c>
    </row>
    <row r="138" spans="1:10" s="119" customFormat="1" ht="18" x14ac:dyDescent="0.5">
      <c r="A138" s="124"/>
      <c r="B138" s="168" t="s">
        <v>14</v>
      </c>
      <c r="C138" s="43"/>
      <c r="D138" s="121"/>
      <c r="E138" s="121"/>
      <c r="F138" s="121"/>
      <c r="G138" s="121"/>
      <c r="H138" s="169">
        <f>H137/1</f>
        <v>6202.7193775100395</v>
      </c>
      <c r="I138" s="104">
        <f>H138</f>
        <v>6202.7193775100395</v>
      </c>
    </row>
    <row r="139" spans="1:10" s="119" customFormat="1" ht="18" x14ac:dyDescent="0.5">
      <c r="A139" s="124"/>
      <c r="B139" s="168" t="s">
        <v>453</v>
      </c>
      <c r="C139" s="43"/>
      <c r="D139" s="121"/>
      <c r="E139" s="121"/>
      <c r="F139" s="121"/>
      <c r="G139" s="121"/>
      <c r="H139" s="104">
        <f>G121</f>
        <v>25000</v>
      </c>
      <c r="I139" s="104"/>
      <c r="J139" s="257"/>
    </row>
    <row r="140" spans="1:10" s="119" customFormat="1" ht="18" x14ac:dyDescent="0.5">
      <c r="A140" s="124"/>
      <c r="B140" s="168" t="s">
        <v>455</v>
      </c>
      <c r="C140" s="43"/>
      <c r="D140" s="121"/>
      <c r="E140" s="121"/>
      <c r="F140" s="121"/>
      <c r="G140" s="121"/>
      <c r="H140" s="104">
        <f>H139/113.3%</f>
        <v>22065.31332744925</v>
      </c>
      <c r="I140" s="104"/>
    </row>
    <row r="141" spans="1:10" s="119" customFormat="1" ht="18" x14ac:dyDescent="0.5">
      <c r="A141" s="124"/>
      <c r="B141" s="168" t="s">
        <v>16</v>
      </c>
      <c r="C141" s="43"/>
      <c r="D141" s="121"/>
      <c r="E141" s="121"/>
      <c r="F141" s="121"/>
      <c r="G141" s="121"/>
      <c r="H141" s="588">
        <f>H138/H140</f>
        <v>0.28110724218875499</v>
      </c>
      <c r="I141" s="588"/>
    </row>
    <row r="142" spans="1:10" s="119" customFormat="1" ht="18" x14ac:dyDescent="0.5">
      <c r="A142" s="124"/>
      <c r="B142" s="168"/>
      <c r="C142" s="43"/>
      <c r="D142" s="121"/>
      <c r="E142" s="121"/>
      <c r="F142" s="121"/>
      <c r="G142" s="121"/>
      <c r="H142" s="169"/>
      <c r="I142" s="171"/>
    </row>
    <row r="143" spans="1:10" s="119" customFormat="1" ht="18.75" thickBot="1" x14ac:dyDescent="0.55000000000000004">
      <c r="A143" s="124"/>
      <c r="B143" s="172"/>
      <c r="C143" s="147"/>
      <c r="D143" s="58"/>
      <c r="E143" s="58"/>
      <c r="F143" s="58"/>
      <c r="G143" s="58"/>
      <c r="H143" s="173"/>
      <c r="I143" s="164"/>
    </row>
    <row r="144" spans="1:10" s="74" customFormat="1" ht="18" x14ac:dyDescent="0.5">
      <c r="A144" s="60"/>
      <c r="B144" s="60"/>
      <c r="C144" s="60"/>
      <c r="D144" s="61"/>
      <c r="E144" s="61"/>
      <c r="F144" s="61"/>
      <c r="G144" s="61"/>
      <c r="H144" s="62"/>
      <c r="I144" s="60"/>
    </row>
    <row r="145" spans="1:10" s="74" customFormat="1" ht="18.75" thickBot="1" x14ac:dyDescent="0.55000000000000004">
      <c r="A145" s="939" t="s">
        <v>0</v>
      </c>
      <c r="B145" s="939"/>
      <c r="C145" s="939"/>
      <c r="D145" s="939"/>
      <c r="E145" s="939"/>
      <c r="F145" s="939"/>
      <c r="G145" s="939"/>
      <c r="H145" s="939"/>
      <c r="I145" s="939"/>
    </row>
    <row r="146" spans="1:10" s="74" customFormat="1" ht="18.75" thickBot="1" x14ac:dyDescent="0.55000000000000004">
      <c r="A146" s="558" t="s">
        <v>738</v>
      </c>
      <c r="B146" s="547" t="s">
        <v>764</v>
      </c>
      <c r="C146" s="547"/>
      <c r="D146" s="548"/>
      <c r="E146" s="548"/>
      <c r="F146" s="548"/>
      <c r="G146" s="548" t="s">
        <v>1</v>
      </c>
      <c r="H146" s="541" t="s">
        <v>868</v>
      </c>
      <c r="I146" s="564" t="s">
        <v>595</v>
      </c>
      <c r="J146" s="74">
        <v>6</v>
      </c>
    </row>
    <row r="147" spans="1:10" s="74" customFormat="1" ht="18" x14ac:dyDescent="0.5">
      <c r="A147" s="550">
        <v>6</v>
      </c>
      <c r="B147" s="539" t="s">
        <v>5</v>
      </c>
      <c r="C147" s="539" t="s">
        <v>4</v>
      </c>
      <c r="D147" s="540" t="s">
        <v>3</v>
      </c>
      <c r="E147" s="540" t="s">
        <v>613</v>
      </c>
      <c r="F147" s="540" t="s">
        <v>614</v>
      </c>
      <c r="G147" s="586" t="s">
        <v>510</v>
      </c>
      <c r="H147" s="543" t="s">
        <v>7</v>
      </c>
      <c r="I147" s="636">
        <f>I92</f>
        <v>45574</v>
      </c>
    </row>
    <row r="148" spans="1:10" s="74" customFormat="1" ht="18.75" thickBot="1" x14ac:dyDescent="0.55000000000000004">
      <c r="A148" s="589"/>
      <c r="B148" s="552"/>
      <c r="C148" s="552"/>
      <c r="D148" s="553">
        <v>1</v>
      </c>
      <c r="E148" s="553"/>
      <c r="F148" s="553"/>
      <c r="G148" s="653">
        <f>Summary!J45</f>
        <v>25000</v>
      </c>
      <c r="H148" s="645">
        <f>H169</f>
        <v>0.28089320074297186</v>
      </c>
      <c r="I148" s="555"/>
    </row>
    <row r="149" spans="1:10" s="74" customFormat="1" ht="18.75" thickBot="1" x14ac:dyDescent="0.55000000000000004">
      <c r="A149" s="258"/>
      <c r="B149" s="60"/>
      <c r="C149" s="60"/>
      <c r="D149" s="61"/>
      <c r="E149" s="61"/>
      <c r="F149" s="61"/>
      <c r="G149" s="61"/>
      <c r="H149" s="62"/>
      <c r="I149" s="60"/>
    </row>
    <row r="150" spans="1:10" s="74" customFormat="1" ht="18" x14ac:dyDescent="0.5">
      <c r="A150" s="63" t="s">
        <v>904</v>
      </c>
      <c r="B150" s="64" t="s">
        <v>10</v>
      </c>
      <c r="C150" s="64" t="s">
        <v>9</v>
      </c>
      <c r="D150" s="52" t="s">
        <v>8</v>
      </c>
      <c r="E150" s="52" t="s">
        <v>613</v>
      </c>
      <c r="F150" s="52" t="s">
        <v>614</v>
      </c>
      <c r="G150" s="52" t="s">
        <v>11</v>
      </c>
      <c r="H150" s="53" t="s">
        <v>12</v>
      </c>
      <c r="I150" s="65" t="s">
        <v>12</v>
      </c>
    </row>
    <row r="151" spans="1:10" s="74" customFormat="1" ht="18" x14ac:dyDescent="0.5">
      <c r="A151" s="236"/>
      <c r="B151" s="399" t="s">
        <v>763</v>
      </c>
      <c r="C151" s="400" t="s">
        <v>596</v>
      </c>
      <c r="D151" s="406">
        <v>0.3</v>
      </c>
      <c r="E151" s="86">
        <v>0.1</v>
      </c>
      <c r="F151" s="67">
        <f t="shared" ref="F151:F164" si="18">D151+D151*E151</f>
        <v>0.32999999999999996</v>
      </c>
      <c r="G151" s="34">
        <v>9500</v>
      </c>
      <c r="H151" s="46">
        <f t="shared" ref="H151:H164" si="19">F151*G151</f>
        <v>3134.9999999999995</v>
      </c>
      <c r="I151" s="47">
        <f t="shared" ref="I151:I164" si="20">H151/I$3</f>
        <v>1.4928571428571427</v>
      </c>
    </row>
    <row r="152" spans="1:10" s="74" customFormat="1" ht="18" x14ac:dyDescent="0.5">
      <c r="A152" s="66"/>
      <c r="B152" s="399" t="s">
        <v>601</v>
      </c>
      <c r="C152" s="400" t="s">
        <v>13</v>
      </c>
      <c r="D152" s="406">
        <v>0.2</v>
      </c>
      <c r="E152" s="86">
        <v>0.1</v>
      </c>
      <c r="F152" s="67">
        <f t="shared" si="18"/>
        <v>0.22000000000000003</v>
      </c>
      <c r="G152" s="91">
        <v>700</v>
      </c>
      <c r="H152" s="46">
        <f t="shared" si="19"/>
        <v>154.00000000000003</v>
      </c>
      <c r="I152" s="47">
        <f t="shared" si="20"/>
        <v>7.3333333333333348E-2</v>
      </c>
    </row>
    <row r="153" spans="1:10" s="74" customFormat="1" ht="18" x14ac:dyDescent="0.5">
      <c r="A153" s="66"/>
      <c r="B153" s="399" t="s">
        <v>602</v>
      </c>
      <c r="C153" s="400" t="s">
        <v>13</v>
      </c>
      <c r="D153" s="406">
        <v>0.1</v>
      </c>
      <c r="E153" s="86">
        <v>0.3</v>
      </c>
      <c r="F153" s="67">
        <f t="shared" si="18"/>
        <v>0.13</v>
      </c>
      <c r="G153" s="91">
        <v>1800</v>
      </c>
      <c r="H153" s="46">
        <f t="shared" si="19"/>
        <v>234</v>
      </c>
      <c r="I153" s="47">
        <f t="shared" si="20"/>
        <v>0.11142857142857143</v>
      </c>
    </row>
    <row r="154" spans="1:10" s="119" customFormat="1" ht="18" x14ac:dyDescent="0.5">
      <c r="A154" s="144"/>
      <c r="B154" s="399" t="s">
        <v>760</v>
      </c>
      <c r="C154" s="400" t="s">
        <v>596</v>
      </c>
      <c r="D154" s="406">
        <v>0.03</v>
      </c>
      <c r="E154" s="139">
        <v>0.1</v>
      </c>
      <c r="F154" s="32">
        <f t="shared" si="18"/>
        <v>3.3000000000000002E-2</v>
      </c>
      <c r="G154" s="35">
        <v>22000</v>
      </c>
      <c r="H154" s="68">
        <f t="shared" si="19"/>
        <v>726</v>
      </c>
      <c r="I154" s="161">
        <f t="shared" si="20"/>
        <v>0.3457142857142857</v>
      </c>
    </row>
    <row r="155" spans="1:10" s="74" customFormat="1" ht="18" x14ac:dyDescent="0.5">
      <c r="A155" s="236"/>
      <c r="B155" s="399" t="s">
        <v>673</v>
      </c>
      <c r="C155" s="400" t="s">
        <v>596</v>
      </c>
      <c r="D155" s="406">
        <v>0.03</v>
      </c>
      <c r="E155" s="86">
        <v>0.2</v>
      </c>
      <c r="F155" s="67">
        <f t="shared" si="18"/>
        <v>3.5999999999999997E-2</v>
      </c>
      <c r="G155" s="34">
        <v>4500</v>
      </c>
      <c r="H155" s="46">
        <f t="shared" si="19"/>
        <v>162</v>
      </c>
      <c r="I155" s="47">
        <f t="shared" si="20"/>
        <v>7.7142857142857138E-2</v>
      </c>
    </row>
    <row r="156" spans="1:10" s="74" customFormat="1" ht="18" x14ac:dyDescent="0.5">
      <c r="A156" s="66"/>
      <c r="B156" s="399" t="s">
        <v>625</v>
      </c>
      <c r="C156" s="400" t="s">
        <v>596</v>
      </c>
      <c r="D156" s="406">
        <v>0.03</v>
      </c>
      <c r="E156" s="86">
        <v>0.3</v>
      </c>
      <c r="F156" s="67">
        <f t="shared" si="18"/>
        <v>3.9E-2</v>
      </c>
      <c r="G156" s="34">
        <v>7000</v>
      </c>
      <c r="H156" s="46">
        <f t="shared" si="19"/>
        <v>273</v>
      </c>
      <c r="I156" s="47">
        <f t="shared" si="20"/>
        <v>0.13</v>
      </c>
    </row>
    <row r="157" spans="1:10" s="74" customFormat="1" ht="18" x14ac:dyDescent="0.5">
      <c r="A157" s="236"/>
      <c r="B157" s="399" t="s">
        <v>692</v>
      </c>
      <c r="C157" s="400" t="s">
        <v>596</v>
      </c>
      <c r="D157" s="406">
        <v>0.01</v>
      </c>
      <c r="E157" s="86">
        <v>0.2</v>
      </c>
      <c r="F157" s="67">
        <f t="shared" si="18"/>
        <v>1.2E-2</v>
      </c>
      <c r="G157" s="35">
        <v>5000</v>
      </c>
      <c r="H157" s="46">
        <f t="shared" si="19"/>
        <v>60</v>
      </c>
      <c r="I157" s="47">
        <f t="shared" si="20"/>
        <v>2.8571428571428571E-2</v>
      </c>
    </row>
    <row r="158" spans="1:10" s="74" customFormat="1" ht="18" x14ac:dyDescent="0.5">
      <c r="A158" s="66"/>
      <c r="B158" s="399" t="s">
        <v>674</v>
      </c>
      <c r="C158" s="400" t="s">
        <v>596</v>
      </c>
      <c r="D158" s="406">
        <v>0.01</v>
      </c>
      <c r="E158" s="86">
        <v>0.2</v>
      </c>
      <c r="F158" s="67">
        <f t="shared" si="18"/>
        <v>1.2E-2</v>
      </c>
      <c r="G158" s="34">
        <v>21000</v>
      </c>
      <c r="H158" s="46">
        <f t="shared" si="19"/>
        <v>252</v>
      </c>
      <c r="I158" s="47">
        <f t="shared" si="20"/>
        <v>0.12</v>
      </c>
    </row>
    <row r="159" spans="1:10" s="74" customFormat="1" ht="18" x14ac:dyDescent="0.5">
      <c r="A159" s="66"/>
      <c r="B159" s="399" t="s">
        <v>612</v>
      </c>
      <c r="C159" s="400" t="s">
        <v>596</v>
      </c>
      <c r="D159" s="406">
        <v>0.01</v>
      </c>
      <c r="E159" s="86">
        <v>0</v>
      </c>
      <c r="F159" s="67">
        <f t="shared" si="18"/>
        <v>0.01</v>
      </c>
      <c r="G159" s="143">
        <v>5800</v>
      </c>
      <c r="H159" s="46">
        <f t="shared" si="19"/>
        <v>58</v>
      </c>
      <c r="I159" s="47">
        <f t="shared" si="20"/>
        <v>2.7619047619047619E-2</v>
      </c>
    </row>
    <row r="160" spans="1:10" s="74" customFormat="1" ht="18" x14ac:dyDescent="0.5">
      <c r="A160" s="236"/>
      <c r="B160" s="399" t="s">
        <v>639</v>
      </c>
      <c r="C160" s="400" t="s">
        <v>459</v>
      </c>
      <c r="D160" s="406">
        <v>0.02</v>
      </c>
      <c r="E160" s="86">
        <v>0</v>
      </c>
      <c r="F160" s="67">
        <f t="shared" si="18"/>
        <v>0.02</v>
      </c>
      <c r="G160" s="35">
        <f>21000/4.15</f>
        <v>5060.2409638554209</v>
      </c>
      <c r="H160" s="46">
        <f t="shared" si="19"/>
        <v>101.20481927710841</v>
      </c>
      <c r="I160" s="47">
        <f t="shared" si="20"/>
        <v>4.8192771084337338E-2</v>
      </c>
    </row>
    <row r="161" spans="1:9" s="74" customFormat="1" ht="18" x14ac:dyDescent="0.5">
      <c r="A161" s="236"/>
      <c r="B161" s="399" t="s">
        <v>761</v>
      </c>
      <c r="C161" s="400" t="s">
        <v>459</v>
      </c>
      <c r="D161" s="406">
        <v>0.01</v>
      </c>
      <c r="E161" s="86">
        <v>0</v>
      </c>
      <c r="F161" s="67">
        <f t="shared" si="18"/>
        <v>0.01</v>
      </c>
      <c r="G161" s="91">
        <v>1800</v>
      </c>
      <c r="H161" s="46">
        <f t="shared" si="19"/>
        <v>18</v>
      </c>
      <c r="I161" s="47">
        <f t="shared" si="20"/>
        <v>8.5714285714285719E-3</v>
      </c>
    </row>
    <row r="162" spans="1:9" s="74" customFormat="1" ht="18" x14ac:dyDescent="0.5">
      <c r="A162" s="21"/>
      <c r="B162" s="399" t="s">
        <v>609</v>
      </c>
      <c r="C162" s="400" t="s">
        <v>463</v>
      </c>
      <c r="D162" s="406">
        <v>0.01</v>
      </c>
      <c r="E162" s="86">
        <v>0</v>
      </c>
      <c r="F162" s="67">
        <f t="shared" si="18"/>
        <v>0.01</v>
      </c>
      <c r="G162" s="222">
        <v>14000</v>
      </c>
      <c r="H162" s="46">
        <f t="shared" si="19"/>
        <v>140</v>
      </c>
      <c r="I162" s="47">
        <f t="shared" si="20"/>
        <v>6.6666666666666666E-2</v>
      </c>
    </row>
    <row r="163" spans="1:9" s="74" customFormat="1" ht="18" x14ac:dyDescent="0.5">
      <c r="A163" s="21"/>
      <c r="B163" s="396" t="s">
        <v>672</v>
      </c>
      <c r="C163" s="397" t="s">
        <v>596</v>
      </c>
      <c r="D163" s="408">
        <v>0.05</v>
      </c>
      <c r="E163" s="86">
        <v>0</v>
      </c>
      <c r="F163" s="67">
        <f t="shared" si="18"/>
        <v>0.05</v>
      </c>
      <c r="G163" s="34">
        <v>7800</v>
      </c>
      <c r="H163" s="46">
        <f t="shared" si="19"/>
        <v>390</v>
      </c>
      <c r="I163" s="47">
        <f t="shared" si="20"/>
        <v>0.18571428571428572</v>
      </c>
    </row>
    <row r="164" spans="1:9" s="74" customFormat="1" ht="18.75" thickBot="1" x14ac:dyDescent="0.55000000000000004">
      <c r="A164" s="21"/>
      <c r="B164" s="396" t="s">
        <v>705</v>
      </c>
      <c r="C164" s="397" t="s">
        <v>26</v>
      </c>
      <c r="D164" s="398">
        <v>0.5</v>
      </c>
      <c r="E164" s="86">
        <v>0</v>
      </c>
      <c r="F164" s="20">
        <f t="shared" si="18"/>
        <v>0.5</v>
      </c>
      <c r="G164" s="34">
        <f>190000/24/8</f>
        <v>989.58333333333337</v>
      </c>
      <c r="H164" s="55">
        <f t="shared" si="19"/>
        <v>494.79166666666669</v>
      </c>
      <c r="I164" s="47">
        <f t="shared" si="20"/>
        <v>0.23561507936507936</v>
      </c>
    </row>
    <row r="165" spans="1:9" s="74" customFormat="1" ht="18" x14ac:dyDescent="0.5">
      <c r="B165" s="224" t="s">
        <v>4</v>
      </c>
      <c r="C165" s="64"/>
      <c r="D165" s="52"/>
      <c r="E165" s="52"/>
      <c r="F165" s="52"/>
      <c r="G165" s="52"/>
      <c r="H165" s="226">
        <f>SUM(H151:H164)</f>
        <v>6197.996485943775</v>
      </c>
      <c r="I165" s="197">
        <f>SUM(I151:I164)</f>
        <v>2.9514268980684641</v>
      </c>
    </row>
    <row r="166" spans="1:9" s="74" customFormat="1" ht="18" x14ac:dyDescent="0.5">
      <c r="A166" s="60"/>
      <c r="B166" s="101" t="s">
        <v>14</v>
      </c>
      <c r="C166" s="22"/>
      <c r="D166" s="54"/>
      <c r="E166" s="54"/>
      <c r="F166" s="54"/>
      <c r="G166" s="54"/>
      <c r="H166" s="73">
        <f>H165/1</f>
        <v>6197.996485943775</v>
      </c>
      <c r="I166" s="104"/>
    </row>
    <row r="167" spans="1:9" s="74" customFormat="1" ht="18" x14ac:dyDescent="0.5">
      <c r="A167" s="60"/>
      <c r="B167" s="101" t="s">
        <v>453</v>
      </c>
      <c r="C167" s="22"/>
      <c r="D167" s="54"/>
      <c r="E167" s="54"/>
      <c r="F167" s="54"/>
      <c r="G167" s="54"/>
      <c r="H167" s="104">
        <f>G148</f>
        <v>25000</v>
      </c>
      <c r="I167" s="104"/>
    </row>
    <row r="168" spans="1:9" s="74" customFormat="1" ht="18" x14ac:dyDescent="0.5">
      <c r="A168" s="60"/>
      <c r="B168" s="101" t="s">
        <v>455</v>
      </c>
      <c r="C168" s="22"/>
      <c r="D168" s="54"/>
      <c r="E168" s="54"/>
      <c r="F168" s="54"/>
      <c r="G168" s="54"/>
      <c r="H168" s="104">
        <f>H167/113.3%</f>
        <v>22065.31332744925</v>
      </c>
      <c r="I168" s="104"/>
    </row>
    <row r="169" spans="1:9" s="74" customFormat="1" ht="18" x14ac:dyDescent="0.5">
      <c r="A169" s="60"/>
      <c r="B169" s="101" t="s">
        <v>16</v>
      </c>
      <c r="C169" s="22"/>
      <c r="D169" s="54"/>
      <c r="E169" s="54"/>
      <c r="F169" s="54"/>
      <c r="G169" s="54"/>
      <c r="H169" s="588">
        <f>H166/H168</f>
        <v>0.28089320074297186</v>
      </c>
      <c r="I169" s="588"/>
    </row>
    <row r="170" spans="1:9" s="74" customFormat="1" ht="18" x14ac:dyDescent="0.5">
      <c r="A170" s="60"/>
      <c r="B170" s="101"/>
      <c r="C170" s="22"/>
      <c r="D170" s="54"/>
      <c r="E170" s="54"/>
      <c r="F170" s="54"/>
      <c r="G170" s="54"/>
      <c r="H170" s="73"/>
      <c r="I170" s="171"/>
    </row>
    <row r="171" spans="1:9" s="74" customFormat="1" ht="18.75" thickBot="1" x14ac:dyDescent="0.55000000000000004">
      <c r="A171" s="60"/>
      <c r="B171" s="150"/>
      <c r="C171" s="151"/>
      <c r="D171" s="57"/>
      <c r="E171" s="57"/>
      <c r="F171" s="57"/>
      <c r="G171" s="57"/>
      <c r="H171" s="152"/>
      <c r="I171" s="153"/>
    </row>
    <row r="172" spans="1:9" s="74" customFormat="1" ht="20.100000000000001" customHeight="1" x14ac:dyDescent="0.5">
      <c r="A172" s="60"/>
      <c r="D172" s="77"/>
      <c r="E172" s="77"/>
      <c r="F172" s="77"/>
      <c r="G172" s="114"/>
      <c r="H172" s="115"/>
    </row>
    <row r="173" spans="1:9" s="74" customFormat="1" ht="18" x14ac:dyDescent="0.5">
      <c r="D173" s="77"/>
      <c r="E173" s="77"/>
      <c r="F173" s="77"/>
      <c r="G173" s="114"/>
      <c r="H173" s="115"/>
    </row>
    <row r="174" spans="1:9" s="74" customFormat="1" ht="18" x14ac:dyDescent="0.5">
      <c r="D174" s="77"/>
      <c r="E174" s="77"/>
      <c r="F174" s="77"/>
      <c r="G174" s="114"/>
      <c r="H174" s="115"/>
    </row>
    <row r="175" spans="1:9" s="74" customFormat="1" ht="18.75" thickBot="1" x14ac:dyDescent="0.55000000000000004">
      <c r="A175" s="939" t="s">
        <v>0</v>
      </c>
      <c r="B175" s="939"/>
      <c r="C175" s="939"/>
      <c r="D175" s="939"/>
      <c r="E175" s="939"/>
      <c r="F175" s="939"/>
      <c r="G175" s="939"/>
      <c r="H175" s="939"/>
      <c r="I175" s="939"/>
    </row>
    <row r="176" spans="1:9" s="74" customFormat="1" ht="18.75" thickBot="1" x14ac:dyDescent="0.55000000000000004">
      <c r="A176" s="558" t="s">
        <v>665</v>
      </c>
      <c r="B176" s="559" t="s">
        <v>765</v>
      </c>
      <c r="C176" s="547"/>
      <c r="D176" s="548"/>
      <c r="E176" s="548"/>
      <c r="F176" s="548"/>
      <c r="G176" s="548" t="s">
        <v>1</v>
      </c>
      <c r="H176" s="541" t="s">
        <v>868</v>
      </c>
      <c r="I176" s="564" t="s">
        <v>595</v>
      </c>
    </row>
    <row r="177" spans="1:9" s="74" customFormat="1" ht="18" x14ac:dyDescent="0.5">
      <c r="A177" s="550">
        <v>7</v>
      </c>
      <c r="B177" s="539" t="s">
        <v>5</v>
      </c>
      <c r="C177" s="539" t="s">
        <v>4</v>
      </c>
      <c r="D177" s="540" t="s">
        <v>3</v>
      </c>
      <c r="E177" s="540" t="s">
        <v>613</v>
      </c>
      <c r="F177" s="540" t="s">
        <v>614</v>
      </c>
      <c r="G177" s="586" t="s">
        <v>510</v>
      </c>
      <c r="H177" s="543" t="s">
        <v>7</v>
      </c>
      <c r="I177" s="636">
        <f>I63</f>
        <v>45574</v>
      </c>
    </row>
    <row r="178" spans="1:9" s="74" customFormat="1" ht="18.75" thickBot="1" x14ac:dyDescent="0.55000000000000004">
      <c r="A178" s="589"/>
      <c r="B178" s="552"/>
      <c r="C178" s="552"/>
      <c r="D178" s="553">
        <v>1</v>
      </c>
      <c r="E178" s="553"/>
      <c r="F178" s="553"/>
      <c r="G178" s="653">
        <f>Summary!J46</f>
        <v>25000</v>
      </c>
      <c r="H178" s="633">
        <f>H194</f>
        <v>0.26562036074297191</v>
      </c>
      <c r="I178" s="555"/>
    </row>
    <row r="179" spans="1:9" s="74" customFormat="1" ht="18.75" thickBot="1" x14ac:dyDescent="0.55000000000000004">
      <c r="A179" s="258"/>
      <c r="B179" s="60"/>
      <c r="C179" s="60"/>
      <c r="D179" s="61"/>
      <c r="E179" s="61"/>
      <c r="F179" s="61"/>
      <c r="G179" s="61"/>
      <c r="H179" s="62"/>
      <c r="I179" s="60"/>
    </row>
    <row r="180" spans="1:9" s="74" customFormat="1" ht="18" x14ac:dyDescent="0.5">
      <c r="A180" s="63" t="s">
        <v>605</v>
      </c>
      <c r="B180" s="64" t="s">
        <v>10</v>
      </c>
      <c r="C180" s="64" t="s">
        <v>9</v>
      </c>
      <c r="D180" s="52" t="s">
        <v>8</v>
      </c>
      <c r="E180" s="52" t="s">
        <v>613</v>
      </c>
      <c r="F180" s="52" t="s">
        <v>614</v>
      </c>
      <c r="G180" s="52" t="s">
        <v>11</v>
      </c>
      <c r="H180" s="53" t="s">
        <v>12</v>
      </c>
      <c r="I180" s="65" t="s">
        <v>12</v>
      </c>
    </row>
    <row r="181" spans="1:9" s="74" customFormat="1" ht="18" x14ac:dyDescent="0.5">
      <c r="A181" s="236" t="s">
        <v>514</v>
      </c>
      <c r="B181" s="405" t="s">
        <v>763</v>
      </c>
      <c r="C181" s="400" t="s">
        <v>596</v>
      </c>
      <c r="D181" s="406">
        <v>0.3</v>
      </c>
      <c r="E181" s="86">
        <v>0.1</v>
      </c>
      <c r="F181" s="67">
        <f t="shared" ref="F181:F189" si="21">D181+D181*E181</f>
        <v>0.32999999999999996</v>
      </c>
      <c r="G181" s="34">
        <v>9500</v>
      </c>
      <c r="H181" s="46">
        <f t="shared" ref="H181:H189" si="22">F181*G181</f>
        <v>3134.9999999999995</v>
      </c>
      <c r="I181" s="47">
        <f t="shared" ref="I181:I189" si="23">H181/I$3</f>
        <v>1.4928571428571427</v>
      </c>
    </row>
    <row r="182" spans="1:9" s="74" customFormat="1" ht="18" x14ac:dyDescent="0.5">
      <c r="A182" s="66" t="s">
        <v>484</v>
      </c>
      <c r="B182" s="405" t="s">
        <v>674</v>
      </c>
      <c r="C182" s="400" t="s">
        <v>596</v>
      </c>
      <c r="D182" s="406">
        <v>0.03</v>
      </c>
      <c r="E182" s="86">
        <v>0.2</v>
      </c>
      <c r="F182" s="67">
        <f t="shared" si="21"/>
        <v>3.5999999999999997E-2</v>
      </c>
      <c r="G182" s="91">
        <v>21000</v>
      </c>
      <c r="H182" s="46">
        <f t="shared" si="22"/>
        <v>755.99999999999989</v>
      </c>
      <c r="I182" s="47">
        <f t="shared" si="23"/>
        <v>0.35999999999999993</v>
      </c>
    </row>
    <row r="183" spans="1:9" s="74" customFormat="1" ht="18" x14ac:dyDescent="0.5">
      <c r="A183" s="66" t="s">
        <v>501</v>
      </c>
      <c r="B183" s="405" t="s">
        <v>692</v>
      </c>
      <c r="C183" s="400" t="s">
        <v>596</v>
      </c>
      <c r="D183" s="406">
        <v>0.02</v>
      </c>
      <c r="E183" s="86">
        <v>0.2</v>
      </c>
      <c r="F183" s="67">
        <f t="shared" si="21"/>
        <v>2.4E-2</v>
      </c>
      <c r="G183" s="91">
        <v>5000</v>
      </c>
      <c r="H183" s="46">
        <f t="shared" si="22"/>
        <v>120</v>
      </c>
      <c r="I183" s="47">
        <f t="shared" si="23"/>
        <v>5.7142857142857141E-2</v>
      </c>
    </row>
    <row r="184" spans="1:9" s="74" customFormat="1" ht="18" x14ac:dyDescent="0.5">
      <c r="A184" s="236" t="s">
        <v>518</v>
      </c>
      <c r="B184" s="405" t="s">
        <v>652</v>
      </c>
      <c r="C184" s="400" t="s">
        <v>596</v>
      </c>
      <c r="D184" s="406">
        <v>0.03</v>
      </c>
      <c r="E184" s="86">
        <v>0</v>
      </c>
      <c r="F184" s="67">
        <f t="shared" si="21"/>
        <v>0.03</v>
      </c>
      <c r="G184" s="34">
        <v>7000</v>
      </c>
      <c r="H184" s="46">
        <f t="shared" si="22"/>
        <v>210</v>
      </c>
      <c r="I184" s="47">
        <f t="shared" si="23"/>
        <v>0.1</v>
      </c>
    </row>
    <row r="185" spans="1:9" s="74" customFormat="1" ht="18" x14ac:dyDescent="0.5">
      <c r="A185" s="236" t="s">
        <v>561</v>
      </c>
      <c r="B185" s="405" t="s">
        <v>709</v>
      </c>
      <c r="C185" s="400" t="s">
        <v>13</v>
      </c>
      <c r="D185" s="406">
        <v>2</v>
      </c>
      <c r="E185" s="86">
        <v>0</v>
      </c>
      <c r="F185" s="67">
        <f t="shared" si="21"/>
        <v>2</v>
      </c>
      <c r="G185" s="34">
        <v>200</v>
      </c>
      <c r="H185" s="46">
        <f t="shared" si="22"/>
        <v>400</v>
      </c>
      <c r="I185" s="47">
        <f t="shared" si="23"/>
        <v>0.19047619047619047</v>
      </c>
    </row>
    <row r="186" spans="1:9" s="74" customFormat="1" ht="18" x14ac:dyDescent="0.5">
      <c r="A186" s="66" t="s">
        <v>476</v>
      </c>
      <c r="B186" s="405" t="s">
        <v>622</v>
      </c>
      <c r="C186" s="400" t="s">
        <v>596</v>
      </c>
      <c r="D186" s="406">
        <v>0.02</v>
      </c>
      <c r="E186" s="86">
        <v>0.05</v>
      </c>
      <c r="F186" s="67">
        <f t="shared" si="21"/>
        <v>2.1000000000000001E-2</v>
      </c>
      <c r="G186" s="34">
        <v>24000</v>
      </c>
      <c r="H186" s="46">
        <f t="shared" si="22"/>
        <v>504.00000000000006</v>
      </c>
      <c r="I186" s="47">
        <f t="shared" si="23"/>
        <v>0.24000000000000002</v>
      </c>
    </row>
    <row r="187" spans="1:9" s="74" customFormat="1" ht="18" x14ac:dyDescent="0.5">
      <c r="A187" s="66" t="s">
        <v>499</v>
      </c>
      <c r="B187" s="405" t="s">
        <v>705</v>
      </c>
      <c r="C187" s="400" t="s">
        <v>907</v>
      </c>
      <c r="D187" s="406">
        <v>0.5</v>
      </c>
      <c r="E187" s="86">
        <v>0</v>
      </c>
      <c r="F187" s="67">
        <f t="shared" si="21"/>
        <v>0.5</v>
      </c>
      <c r="G187" s="143">
        <f>190000/24/8</f>
        <v>989.58333333333337</v>
      </c>
      <c r="H187" s="46">
        <f t="shared" si="22"/>
        <v>494.79166666666669</v>
      </c>
      <c r="I187" s="47">
        <f t="shared" si="23"/>
        <v>0.23561507936507936</v>
      </c>
    </row>
    <row r="188" spans="1:9" s="74" customFormat="1" ht="18" x14ac:dyDescent="0.5">
      <c r="A188" s="236" t="s">
        <v>542</v>
      </c>
      <c r="B188" s="396" t="s">
        <v>719</v>
      </c>
      <c r="C188" s="397" t="s">
        <v>459</v>
      </c>
      <c r="D188" s="398">
        <v>0.01</v>
      </c>
      <c r="E188" s="86">
        <v>0</v>
      </c>
      <c r="F188" s="67">
        <f t="shared" si="21"/>
        <v>0.01</v>
      </c>
      <c r="G188" s="35">
        <f>42000/4.15</f>
        <v>10120.481927710842</v>
      </c>
      <c r="H188" s="46">
        <f t="shared" si="22"/>
        <v>101.20481927710841</v>
      </c>
      <c r="I188" s="47">
        <f t="shared" si="23"/>
        <v>4.8192771084337338E-2</v>
      </c>
    </row>
    <row r="189" spans="1:9" s="74" customFormat="1" ht="18.75" thickBot="1" x14ac:dyDescent="0.55000000000000004">
      <c r="A189" s="236" t="s">
        <v>513</v>
      </c>
      <c r="B189" s="396" t="s">
        <v>609</v>
      </c>
      <c r="C189" s="397" t="s">
        <v>463</v>
      </c>
      <c r="D189" s="408">
        <v>0.01</v>
      </c>
      <c r="E189" s="86">
        <v>0</v>
      </c>
      <c r="F189" s="67">
        <f t="shared" si="21"/>
        <v>0.01</v>
      </c>
      <c r="G189" s="91">
        <v>14000</v>
      </c>
      <c r="H189" s="46">
        <f t="shared" si="22"/>
        <v>140</v>
      </c>
      <c r="I189" s="47">
        <f t="shared" si="23"/>
        <v>6.6666666666666666E-2</v>
      </c>
    </row>
    <row r="190" spans="1:9" s="74" customFormat="1" ht="18" x14ac:dyDescent="0.5">
      <c r="B190" s="224" t="s">
        <v>4</v>
      </c>
      <c r="C190" s="64"/>
      <c r="D190" s="52"/>
      <c r="E190" s="52"/>
      <c r="F190" s="52"/>
      <c r="G190" s="52"/>
      <c r="H190" s="226">
        <f>SUM(H181:H189)</f>
        <v>5860.996485943775</v>
      </c>
      <c r="I190" s="197">
        <f>SUM(I181:I189)</f>
        <v>2.7909507075922746</v>
      </c>
    </row>
    <row r="191" spans="1:9" s="74" customFormat="1" ht="18" x14ac:dyDescent="0.5">
      <c r="A191" s="60"/>
      <c r="B191" s="101" t="s">
        <v>14</v>
      </c>
      <c r="C191" s="22"/>
      <c r="D191" s="54"/>
      <c r="E191" s="54"/>
      <c r="F191" s="54"/>
      <c r="G191" s="54"/>
      <c r="H191" s="73">
        <f>H190/1</f>
        <v>5860.996485943775</v>
      </c>
      <c r="I191" s="104"/>
    </row>
    <row r="192" spans="1:9" s="74" customFormat="1" ht="18" x14ac:dyDescent="0.5">
      <c r="A192" s="60"/>
      <c r="B192" s="101" t="s">
        <v>453</v>
      </c>
      <c r="C192" s="22"/>
      <c r="D192" s="54"/>
      <c r="E192" s="54"/>
      <c r="F192" s="54"/>
      <c r="G192" s="54"/>
      <c r="H192" s="104">
        <f>G178</f>
        <v>25000</v>
      </c>
      <c r="I192" s="104"/>
    </row>
    <row r="193" spans="1:9" s="74" customFormat="1" ht="18" x14ac:dyDescent="0.5">
      <c r="A193" s="60"/>
      <c r="B193" s="101" t="s">
        <v>455</v>
      </c>
      <c r="C193" s="22"/>
      <c r="D193" s="54"/>
      <c r="E193" s="54"/>
      <c r="F193" s="54"/>
      <c r="G193" s="54"/>
      <c r="H193" s="104">
        <f>H192/113.3%</f>
        <v>22065.31332744925</v>
      </c>
      <c r="I193" s="104"/>
    </row>
    <row r="194" spans="1:9" s="74" customFormat="1" ht="18" x14ac:dyDescent="0.5">
      <c r="A194" s="60"/>
      <c r="B194" s="101" t="s">
        <v>16</v>
      </c>
      <c r="C194" s="22"/>
      <c r="D194" s="54"/>
      <c r="E194" s="54"/>
      <c r="F194" s="54"/>
      <c r="G194" s="54"/>
      <c r="H194" s="489">
        <f>H191/H193</f>
        <v>0.26562036074297191</v>
      </c>
      <c r="I194" s="489"/>
    </row>
    <row r="195" spans="1:9" s="74" customFormat="1" ht="18" x14ac:dyDescent="0.5">
      <c r="A195" s="60"/>
      <c r="B195" s="101"/>
      <c r="C195" s="22"/>
      <c r="D195" s="54"/>
      <c r="E195" s="54"/>
      <c r="F195" s="54"/>
      <c r="G195" s="54"/>
      <c r="H195" s="73"/>
      <c r="I195" s="171"/>
    </row>
    <row r="196" spans="1:9" s="74" customFormat="1" ht="18.75" thickBot="1" x14ac:dyDescent="0.55000000000000004">
      <c r="A196" s="60"/>
      <c r="B196" s="150"/>
      <c r="C196" s="151"/>
      <c r="D196" s="57"/>
      <c r="E196" s="57"/>
      <c r="F196" s="57"/>
      <c r="G196" s="57"/>
      <c r="H196" s="152"/>
      <c r="I196" s="153"/>
    </row>
    <row r="197" spans="1:9" s="74" customFormat="1" ht="18" x14ac:dyDescent="0.5">
      <c r="A197" s="60"/>
      <c r="B197" s="75"/>
      <c r="C197" s="60"/>
      <c r="D197" s="116"/>
      <c r="E197" s="116"/>
      <c r="F197" s="116"/>
      <c r="G197" s="116"/>
      <c r="H197" s="278"/>
      <c r="I197" s="60"/>
    </row>
    <row r="198" spans="1:9" s="74" customFormat="1" ht="18" x14ac:dyDescent="0.5">
      <c r="A198" s="60"/>
      <c r="B198" s="75"/>
      <c r="C198" s="60"/>
      <c r="D198" s="116"/>
      <c r="E198" s="116"/>
      <c r="F198" s="116"/>
      <c r="G198" s="116"/>
      <c r="H198" s="278"/>
      <c r="I198" s="60"/>
    </row>
    <row r="199" spans="1:9" s="74" customFormat="1" ht="18" x14ac:dyDescent="0.5">
      <c r="A199" s="60"/>
      <c r="B199" s="75"/>
      <c r="C199" s="60"/>
      <c r="D199" s="116"/>
      <c r="E199" s="116"/>
      <c r="F199" s="116"/>
      <c r="G199" s="116"/>
      <c r="H199" s="278"/>
      <c r="I199" s="60"/>
    </row>
    <row r="200" spans="1:9" s="74" customFormat="1" ht="18.75" thickBot="1" x14ac:dyDescent="0.55000000000000004">
      <c r="A200" s="939" t="s">
        <v>0</v>
      </c>
      <c r="B200" s="939"/>
      <c r="C200" s="939"/>
      <c r="D200" s="939"/>
      <c r="E200" s="939"/>
      <c r="F200" s="939"/>
      <c r="G200" s="939"/>
      <c r="H200" s="939"/>
      <c r="I200" s="939"/>
    </row>
    <row r="201" spans="1:9" s="74" customFormat="1" ht="18.75" thickBot="1" x14ac:dyDescent="0.55000000000000004">
      <c r="A201" s="558" t="s">
        <v>665</v>
      </c>
      <c r="B201" s="559" t="s">
        <v>885</v>
      </c>
      <c r="C201" s="547"/>
      <c r="D201" s="548"/>
      <c r="E201" s="548"/>
      <c r="F201" s="548"/>
      <c r="G201" s="548" t="s">
        <v>1</v>
      </c>
      <c r="H201" s="541" t="s">
        <v>868</v>
      </c>
      <c r="I201" s="564" t="s">
        <v>595</v>
      </c>
    </row>
    <row r="202" spans="1:9" s="74" customFormat="1" ht="18" x14ac:dyDescent="0.5">
      <c r="A202" s="550">
        <v>8</v>
      </c>
      <c r="B202" s="539" t="s">
        <v>5</v>
      </c>
      <c r="C202" s="539" t="s">
        <v>4</v>
      </c>
      <c r="D202" s="540" t="s">
        <v>3</v>
      </c>
      <c r="E202" s="540" t="s">
        <v>613</v>
      </c>
      <c r="F202" s="540" t="s">
        <v>614</v>
      </c>
      <c r="G202" s="586" t="s">
        <v>510</v>
      </c>
      <c r="H202" s="543" t="s">
        <v>7</v>
      </c>
      <c r="I202" s="636">
        <f>I177</f>
        <v>45574</v>
      </c>
    </row>
    <row r="203" spans="1:9" s="74" customFormat="1" ht="18.75" thickBot="1" x14ac:dyDescent="0.55000000000000004">
      <c r="A203" s="589"/>
      <c r="B203" s="552"/>
      <c r="C203" s="552"/>
      <c r="D203" s="553">
        <v>1</v>
      </c>
      <c r="E203" s="553"/>
      <c r="F203" s="553"/>
      <c r="G203" s="553">
        <f>Summary!J47</f>
        <v>25000</v>
      </c>
      <c r="H203" s="633">
        <f>H222</f>
        <v>0.28523485674297183</v>
      </c>
      <c r="I203" s="555"/>
    </row>
    <row r="204" spans="1:9" s="74" customFormat="1" ht="18.75" thickBot="1" x14ac:dyDescent="0.55000000000000004">
      <c r="A204" s="258"/>
      <c r="B204" s="60"/>
      <c r="C204" s="60"/>
      <c r="D204" s="61"/>
      <c r="E204" s="61"/>
      <c r="F204" s="61"/>
      <c r="G204" s="61"/>
      <c r="H204" s="62"/>
      <c r="I204" s="60"/>
    </row>
    <row r="205" spans="1:9" s="74" customFormat="1" ht="18" x14ac:dyDescent="0.5">
      <c r="A205" s="63" t="s">
        <v>904</v>
      </c>
      <c r="B205" s="64" t="s">
        <v>10</v>
      </c>
      <c r="C205" s="64" t="s">
        <v>9</v>
      </c>
      <c r="D205" s="52" t="s">
        <v>8</v>
      </c>
      <c r="E205" s="52" t="s">
        <v>613</v>
      </c>
      <c r="F205" s="52" t="s">
        <v>614</v>
      </c>
      <c r="G205" s="52" t="s">
        <v>11</v>
      </c>
      <c r="H205" s="53" t="s">
        <v>12</v>
      </c>
      <c r="I205" s="65" t="s">
        <v>12</v>
      </c>
    </row>
    <row r="206" spans="1:9" s="74" customFormat="1" ht="18" x14ac:dyDescent="0.5">
      <c r="A206" s="236"/>
      <c r="B206" s="405" t="s">
        <v>763</v>
      </c>
      <c r="C206" s="400" t="s">
        <v>596</v>
      </c>
      <c r="D206" s="406">
        <v>0.3</v>
      </c>
      <c r="E206" s="86">
        <v>0.1</v>
      </c>
      <c r="F206" s="67">
        <f t="shared" ref="F206:F217" si="24">D206+D206*E206</f>
        <v>0.32999999999999996</v>
      </c>
      <c r="G206" s="34">
        <v>9500</v>
      </c>
      <c r="H206" s="46">
        <f t="shared" ref="H206:H217" si="25">F206*G206</f>
        <v>3134.9999999999995</v>
      </c>
      <c r="I206" s="47">
        <f t="shared" ref="I206:I217" si="26">H206/I$3</f>
        <v>1.4928571428571427</v>
      </c>
    </row>
    <row r="207" spans="1:9" s="74" customFormat="1" ht="18" x14ac:dyDescent="0.5">
      <c r="A207" s="66"/>
      <c r="B207" s="405" t="s">
        <v>674</v>
      </c>
      <c r="C207" s="400" t="s">
        <v>596</v>
      </c>
      <c r="D207" s="406">
        <v>0.03</v>
      </c>
      <c r="E207" s="86">
        <v>0.2</v>
      </c>
      <c r="F207" s="67">
        <f t="shared" si="24"/>
        <v>3.5999999999999997E-2</v>
      </c>
      <c r="G207" s="91">
        <v>21000</v>
      </c>
      <c r="H207" s="46">
        <f t="shared" si="25"/>
        <v>755.99999999999989</v>
      </c>
      <c r="I207" s="47">
        <f t="shared" si="26"/>
        <v>0.35999999999999993</v>
      </c>
    </row>
    <row r="208" spans="1:9" s="74" customFormat="1" ht="18" x14ac:dyDescent="0.5">
      <c r="A208" s="66"/>
      <c r="B208" s="405" t="s">
        <v>692</v>
      </c>
      <c r="C208" s="400" t="s">
        <v>596</v>
      </c>
      <c r="D208" s="406">
        <v>0.02</v>
      </c>
      <c r="E208" s="86">
        <v>0.2</v>
      </c>
      <c r="F208" s="67">
        <f t="shared" si="24"/>
        <v>2.4E-2</v>
      </c>
      <c r="G208" s="91">
        <v>5000</v>
      </c>
      <c r="H208" s="46">
        <f t="shared" si="25"/>
        <v>120</v>
      </c>
      <c r="I208" s="47">
        <f t="shared" si="26"/>
        <v>5.7142857142857141E-2</v>
      </c>
    </row>
    <row r="209" spans="1:9" s="74" customFormat="1" ht="18" x14ac:dyDescent="0.5">
      <c r="A209" s="236"/>
      <c r="B209" s="405" t="s">
        <v>672</v>
      </c>
      <c r="C209" s="400" t="s">
        <v>596</v>
      </c>
      <c r="D209" s="406">
        <v>0.03</v>
      </c>
      <c r="E209" s="86">
        <v>0.2</v>
      </c>
      <c r="F209" s="67">
        <f t="shared" si="24"/>
        <v>3.5999999999999997E-2</v>
      </c>
      <c r="G209" s="34">
        <v>7800</v>
      </c>
      <c r="H209" s="46">
        <f t="shared" si="25"/>
        <v>280.79999999999995</v>
      </c>
      <c r="I209" s="47">
        <f t="shared" si="26"/>
        <v>0.1337142857142857</v>
      </c>
    </row>
    <row r="210" spans="1:9" s="74" customFormat="1" ht="18" x14ac:dyDescent="0.5">
      <c r="A210" s="236"/>
      <c r="B210" s="405" t="s">
        <v>744</v>
      </c>
      <c r="C210" s="400" t="s">
        <v>20</v>
      </c>
      <c r="D210" s="406">
        <v>0.2</v>
      </c>
      <c r="E210" s="86">
        <v>0</v>
      </c>
      <c r="F210" s="67">
        <f t="shared" si="24"/>
        <v>0.2</v>
      </c>
      <c r="G210" s="34">
        <v>300</v>
      </c>
      <c r="H210" s="46">
        <f t="shared" si="25"/>
        <v>60</v>
      </c>
      <c r="I210" s="47">
        <f t="shared" si="26"/>
        <v>2.8571428571428571E-2</v>
      </c>
    </row>
    <row r="211" spans="1:9" s="74" customFormat="1" ht="18" x14ac:dyDescent="0.5">
      <c r="A211" s="66"/>
      <c r="B211" s="405" t="s">
        <v>612</v>
      </c>
      <c r="C211" s="400" t="s">
        <v>596</v>
      </c>
      <c r="D211" s="406">
        <v>0.02</v>
      </c>
      <c r="E211" s="86">
        <v>0</v>
      </c>
      <c r="F211" s="67">
        <f t="shared" si="24"/>
        <v>0.02</v>
      </c>
      <c r="G211" s="34">
        <v>5800</v>
      </c>
      <c r="H211" s="46">
        <f t="shared" si="25"/>
        <v>116</v>
      </c>
      <c r="I211" s="47">
        <f t="shared" si="26"/>
        <v>5.5238095238095239E-2</v>
      </c>
    </row>
    <row r="212" spans="1:9" s="74" customFormat="1" ht="18" x14ac:dyDescent="0.5">
      <c r="A212" s="66"/>
      <c r="B212" s="405" t="s">
        <v>652</v>
      </c>
      <c r="C212" s="400" t="s">
        <v>596</v>
      </c>
      <c r="D212" s="406">
        <v>0.03</v>
      </c>
      <c r="E212" s="86">
        <v>0</v>
      </c>
      <c r="F212" s="67">
        <f t="shared" si="24"/>
        <v>0.03</v>
      </c>
      <c r="G212" s="143">
        <v>7000</v>
      </c>
      <c r="H212" s="46">
        <f t="shared" si="25"/>
        <v>210</v>
      </c>
      <c r="I212" s="47">
        <f t="shared" si="26"/>
        <v>0.1</v>
      </c>
    </row>
    <row r="213" spans="1:9" s="74" customFormat="1" ht="18" x14ac:dyDescent="0.5">
      <c r="A213" s="236"/>
      <c r="B213" s="405" t="s">
        <v>709</v>
      </c>
      <c r="C213" s="400" t="s">
        <v>13</v>
      </c>
      <c r="D213" s="406">
        <v>2</v>
      </c>
      <c r="E213" s="86">
        <v>0</v>
      </c>
      <c r="F213" s="67">
        <f t="shared" si="24"/>
        <v>2</v>
      </c>
      <c r="G213" s="35">
        <v>200</v>
      </c>
      <c r="H213" s="46">
        <f t="shared" si="25"/>
        <v>400</v>
      </c>
      <c r="I213" s="47">
        <f t="shared" si="26"/>
        <v>0.19047619047619047</v>
      </c>
    </row>
    <row r="214" spans="1:9" s="74" customFormat="1" ht="18" x14ac:dyDescent="0.5">
      <c r="A214" s="236"/>
      <c r="B214" s="405" t="s">
        <v>622</v>
      </c>
      <c r="C214" s="400" t="s">
        <v>596</v>
      </c>
      <c r="D214" s="406">
        <v>0.02</v>
      </c>
      <c r="E214" s="86">
        <v>0</v>
      </c>
      <c r="F214" s="67">
        <f t="shared" si="24"/>
        <v>0.02</v>
      </c>
      <c r="G214" s="91">
        <v>24000</v>
      </c>
      <c r="H214" s="46">
        <f t="shared" si="25"/>
        <v>480</v>
      </c>
      <c r="I214" s="47">
        <f t="shared" si="26"/>
        <v>0.22857142857142856</v>
      </c>
    </row>
    <row r="215" spans="1:9" s="74" customFormat="1" ht="18" x14ac:dyDescent="0.5">
      <c r="A215" s="21"/>
      <c r="B215" s="405" t="s">
        <v>705</v>
      </c>
      <c r="C215" s="400" t="s">
        <v>26</v>
      </c>
      <c r="D215" s="406">
        <v>0.5</v>
      </c>
      <c r="E215" s="86">
        <v>0</v>
      </c>
      <c r="F215" s="67">
        <f t="shared" si="24"/>
        <v>0.5</v>
      </c>
      <c r="G215" s="222">
        <f>190000/24/8</f>
        <v>989.58333333333337</v>
      </c>
      <c r="H215" s="46">
        <f t="shared" si="25"/>
        <v>494.79166666666669</v>
      </c>
      <c r="I215" s="47">
        <f t="shared" si="26"/>
        <v>0.23561507936507936</v>
      </c>
    </row>
    <row r="216" spans="1:9" s="74" customFormat="1" ht="18" x14ac:dyDescent="0.5">
      <c r="A216" s="21"/>
      <c r="B216" s="396" t="s">
        <v>719</v>
      </c>
      <c r="C216" s="397" t="s">
        <v>459</v>
      </c>
      <c r="D216" s="398">
        <v>0.01</v>
      </c>
      <c r="E216" s="86">
        <v>0</v>
      </c>
      <c r="F216" s="67">
        <f t="shared" si="24"/>
        <v>0.01</v>
      </c>
      <c r="G216" s="34">
        <f>42000/4.15</f>
        <v>10120.481927710842</v>
      </c>
      <c r="H216" s="46">
        <f t="shared" si="25"/>
        <v>101.20481927710841</v>
      </c>
      <c r="I216" s="47">
        <f t="shared" si="26"/>
        <v>4.8192771084337338E-2</v>
      </c>
    </row>
    <row r="217" spans="1:9" s="74" customFormat="1" ht="18.75" thickBot="1" x14ac:dyDescent="0.55000000000000004">
      <c r="A217" s="21"/>
      <c r="B217" s="396" t="s">
        <v>609</v>
      </c>
      <c r="C217" s="397" t="s">
        <v>463</v>
      </c>
      <c r="D217" s="408">
        <v>0.01</v>
      </c>
      <c r="E217" s="86">
        <v>0</v>
      </c>
      <c r="F217" s="20">
        <f t="shared" si="24"/>
        <v>0.01</v>
      </c>
      <c r="G217" s="34">
        <v>14000</v>
      </c>
      <c r="H217" s="55">
        <f t="shared" si="25"/>
        <v>140</v>
      </c>
      <c r="I217" s="47">
        <f t="shared" si="26"/>
        <v>6.6666666666666666E-2</v>
      </c>
    </row>
    <row r="218" spans="1:9" s="74" customFormat="1" ht="18" x14ac:dyDescent="0.5">
      <c r="B218" s="224" t="s">
        <v>4</v>
      </c>
      <c r="C218" s="64"/>
      <c r="D218" s="52"/>
      <c r="E218" s="52"/>
      <c r="F218" s="52"/>
      <c r="G218" s="52"/>
      <c r="H218" s="226">
        <f>SUM(H206:H217)</f>
        <v>6293.7964859437743</v>
      </c>
      <c r="I218" s="197">
        <f>SUM(I206:I217)</f>
        <v>2.9970459456875127</v>
      </c>
    </row>
    <row r="219" spans="1:9" s="74" customFormat="1" ht="18" x14ac:dyDescent="0.5">
      <c r="A219" s="60"/>
      <c r="B219" s="101" t="s">
        <v>14</v>
      </c>
      <c r="C219" s="22"/>
      <c r="D219" s="54"/>
      <c r="E219" s="54"/>
      <c r="F219" s="54"/>
      <c r="G219" s="54"/>
      <c r="H219" s="73">
        <f>H218/1</f>
        <v>6293.7964859437743</v>
      </c>
      <c r="I219" s="104"/>
    </row>
    <row r="220" spans="1:9" s="74" customFormat="1" ht="18" x14ac:dyDescent="0.5">
      <c r="A220" s="60"/>
      <c r="B220" s="101" t="s">
        <v>453</v>
      </c>
      <c r="C220" s="22"/>
      <c r="D220" s="54"/>
      <c r="E220" s="54"/>
      <c r="F220" s="54"/>
      <c r="G220" s="54"/>
      <c r="H220" s="104">
        <f>G203</f>
        <v>25000</v>
      </c>
      <c r="I220" s="104"/>
    </row>
    <row r="221" spans="1:9" s="74" customFormat="1" ht="18" x14ac:dyDescent="0.5">
      <c r="A221" s="60"/>
      <c r="B221" s="101" t="s">
        <v>455</v>
      </c>
      <c r="C221" s="22"/>
      <c r="D221" s="54"/>
      <c r="E221" s="54"/>
      <c r="F221" s="54"/>
      <c r="G221" s="54"/>
      <c r="H221" s="104">
        <f>H220/113.3%</f>
        <v>22065.31332744925</v>
      </c>
      <c r="I221" s="104"/>
    </row>
    <row r="222" spans="1:9" s="74" customFormat="1" ht="18" x14ac:dyDescent="0.5">
      <c r="A222" s="60"/>
      <c r="B222" s="101" t="s">
        <v>16</v>
      </c>
      <c r="C222" s="22"/>
      <c r="D222" s="54"/>
      <c r="E222" s="54"/>
      <c r="F222" s="54"/>
      <c r="G222" s="54"/>
      <c r="H222" s="588">
        <f>H219/H221</f>
        <v>0.28523485674297183</v>
      </c>
      <c r="I222" s="588"/>
    </row>
    <row r="223" spans="1:9" s="74" customFormat="1" ht="18" x14ac:dyDescent="0.5">
      <c r="A223" s="60"/>
      <c r="B223" s="101"/>
      <c r="C223" s="22"/>
      <c r="D223" s="54"/>
      <c r="E223" s="54"/>
      <c r="F223" s="54"/>
      <c r="G223" s="54"/>
      <c r="H223" s="73"/>
      <c r="I223" s="171"/>
    </row>
    <row r="224" spans="1:9" s="74" customFormat="1" ht="18.75" thickBot="1" x14ac:dyDescent="0.55000000000000004">
      <c r="A224" s="60"/>
      <c r="B224" s="150"/>
      <c r="C224" s="151"/>
      <c r="D224" s="57"/>
      <c r="E224" s="57"/>
      <c r="F224" s="57"/>
      <c r="G224" s="57"/>
      <c r="H224" s="152"/>
      <c r="I224" s="153"/>
    </row>
    <row r="225" spans="1:9" s="74" customFormat="1" ht="18" x14ac:dyDescent="0.5">
      <c r="A225" s="60"/>
      <c r="B225" s="75"/>
      <c r="C225" s="60"/>
      <c r="D225" s="116"/>
      <c r="E225" s="116"/>
      <c r="F225" s="116"/>
      <c r="G225" s="116"/>
      <c r="H225" s="278"/>
      <c r="I225" s="60"/>
    </row>
    <row r="226" spans="1:9" s="74" customFormat="1" ht="20.100000000000001" customHeight="1" x14ac:dyDescent="0.5">
      <c r="A226" s="60"/>
      <c r="D226" s="77"/>
      <c r="E226" s="77"/>
      <c r="F226" s="77"/>
      <c r="G226" s="114"/>
      <c r="H226" s="115"/>
    </row>
    <row r="227" spans="1:9" ht="21.75" thickBot="1" x14ac:dyDescent="0.65">
      <c r="A227" s="938" t="s">
        <v>0</v>
      </c>
      <c r="B227" s="938"/>
      <c r="C227" s="938"/>
      <c r="D227" s="938"/>
      <c r="E227" s="938"/>
      <c r="F227" s="938"/>
      <c r="G227" s="938"/>
      <c r="H227" s="938"/>
      <c r="I227" s="938"/>
    </row>
    <row r="228" spans="1:9" ht="21.75" thickBot="1" x14ac:dyDescent="0.65">
      <c r="A228" s="562" t="s">
        <v>722</v>
      </c>
      <c r="B228" s="585" t="s">
        <v>766</v>
      </c>
      <c r="C228" s="547"/>
      <c r="D228" s="548"/>
      <c r="E228" s="548"/>
      <c r="F228" s="548"/>
      <c r="G228" s="548" t="s">
        <v>1</v>
      </c>
      <c r="H228" s="541" t="s">
        <v>868</v>
      </c>
      <c r="I228" s="564" t="s">
        <v>595</v>
      </c>
    </row>
    <row r="229" spans="1:9" x14ac:dyDescent="0.6">
      <c r="A229" s="550">
        <v>9</v>
      </c>
      <c r="B229" s="539" t="s">
        <v>5</v>
      </c>
      <c r="C229" s="539" t="s">
        <v>4</v>
      </c>
      <c r="D229" s="540" t="s">
        <v>3</v>
      </c>
      <c r="E229" s="540" t="s">
        <v>613</v>
      </c>
      <c r="F229" s="540" t="s">
        <v>614</v>
      </c>
      <c r="G229" s="586" t="s">
        <v>510</v>
      </c>
      <c r="H229" s="543" t="s">
        <v>7</v>
      </c>
      <c r="I229" s="637">
        <f>I202</f>
        <v>45574</v>
      </c>
    </row>
    <row r="230" spans="1:9" ht="21.75" thickBot="1" x14ac:dyDescent="0.65">
      <c r="A230" s="551"/>
      <c r="B230" s="587"/>
      <c r="C230" s="552"/>
      <c r="D230" s="553">
        <v>1</v>
      </c>
      <c r="E230" s="553"/>
      <c r="F230" s="553"/>
      <c r="G230" s="553">
        <f>Summary!J48</f>
        <v>18000</v>
      </c>
      <c r="H230" s="633">
        <f>H247</f>
        <v>0.31336322891566265</v>
      </c>
      <c r="I230" s="555"/>
    </row>
    <row r="231" spans="1:9" ht="21.75" thickBot="1" x14ac:dyDescent="0.65">
      <c r="A231" s="124"/>
      <c r="B231" s="43"/>
      <c r="C231" s="124"/>
      <c r="D231" s="125"/>
      <c r="E231" s="125"/>
      <c r="F231" s="125"/>
      <c r="G231" s="125"/>
      <c r="H231" s="126"/>
      <c r="I231" s="124"/>
    </row>
    <row r="232" spans="1:9" x14ac:dyDescent="0.6">
      <c r="A232" s="194" t="s">
        <v>904</v>
      </c>
      <c r="B232" s="186" t="s">
        <v>10</v>
      </c>
      <c r="C232" s="166" t="s">
        <v>9</v>
      </c>
      <c r="D232" s="117" t="s">
        <v>8</v>
      </c>
      <c r="E232" s="117" t="s">
        <v>613</v>
      </c>
      <c r="F232" s="117" t="s">
        <v>614</v>
      </c>
      <c r="G232" s="117" t="s">
        <v>11</v>
      </c>
      <c r="H232" s="118" t="s">
        <v>12</v>
      </c>
      <c r="I232" s="195" t="s">
        <v>12</v>
      </c>
    </row>
    <row r="233" spans="1:9" x14ac:dyDescent="0.6">
      <c r="A233" s="144"/>
      <c r="B233" s="26" t="s">
        <v>696</v>
      </c>
      <c r="C233" s="24" t="s">
        <v>23</v>
      </c>
      <c r="D233" s="25">
        <v>0.14000000000000001</v>
      </c>
      <c r="E233" s="139">
        <v>0.35</v>
      </c>
      <c r="F233" s="32">
        <f t="shared" ref="F233:F242" si="27">D233+D233*E233</f>
        <v>0.189</v>
      </c>
      <c r="G233" s="35">
        <f>24000/1.62</f>
        <v>14814.814814814814</v>
      </c>
      <c r="H233" s="68">
        <f t="shared" ref="H233:H242" si="28">F233*G233</f>
        <v>2800</v>
      </c>
      <c r="I233" s="161">
        <f t="shared" ref="I233:I242" si="29">H233/I$3</f>
        <v>1.3333333333333333</v>
      </c>
    </row>
    <row r="234" spans="1:9" x14ac:dyDescent="0.6">
      <c r="A234" s="141"/>
      <c r="B234" s="23" t="s">
        <v>625</v>
      </c>
      <c r="C234" s="24" t="s">
        <v>471</v>
      </c>
      <c r="D234" s="25">
        <v>0.1</v>
      </c>
      <c r="E234" s="139">
        <v>0.3</v>
      </c>
      <c r="F234" s="32">
        <f t="shared" si="27"/>
        <v>0.13</v>
      </c>
      <c r="G234" s="143">
        <v>3200</v>
      </c>
      <c r="H234" s="68">
        <f t="shared" si="28"/>
        <v>416</v>
      </c>
      <c r="I234" s="161">
        <f t="shared" si="29"/>
        <v>0.1980952380952381</v>
      </c>
    </row>
    <row r="235" spans="1:9" x14ac:dyDescent="0.6">
      <c r="A235" s="144"/>
      <c r="B235" s="26" t="s">
        <v>493</v>
      </c>
      <c r="C235" s="24" t="s">
        <v>471</v>
      </c>
      <c r="D235" s="25">
        <v>0.01</v>
      </c>
      <c r="E235" s="139">
        <v>0.2</v>
      </c>
      <c r="F235" s="32">
        <f t="shared" si="27"/>
        <v>1.2E-2</v>
      </c>
      <c r="G235" s="143">
        <v>21000</v>
      </c>
      <c r="H235" s="68">
        <f t="shared" si="28"/>
        <v>252</v>
      </c>
      <c r="I235" s="161">
        <f t="shared" si="29"/>
        <v>0.12</v>
      </c>
    </row>
    <row r="236" spans="1:9" x14ac:dyDescent="0.6">
      <c r="A236" s="144"/>
      <c r="B236" s="23" t="s">
        <v>502</v>
      </c>
      <c r="C236" s="24" t="s">
        <v>471</v>
      </c>
      <c r="D236" s="25">
        <v>0.03</v>
      </c>
      <c r="E236" s="139">
        <v>0.2</v>
      </c>
      <c r="F236" s="32">
        <f t="shared" si="27"/>
        <v>3.5999999999999997E-2</v>
      </c>
      <c r="G236" s="143">
        <v>4500</v>
      </c>
      <c r="H236" s="68">
        <f t="shared" si="28"/>
        <v>162</v>
      </c>
      <c r="I236" s="161">
        <f t="shared" si="29"/>
        <v>7.7142857142857138E-2</v>
      </c>
    </row>
    <row r="237" spans="1:9" x14ac:dyDescent="0.6">
      <c r="A237" s="141"/>
      <c r="B237" s="23" t="s">
        <v>655</v>
      </c>
      <c r="C237" s="24" t="s">
        <v>471</v>
      </c>
      <c r="D237" s="25">
        <v>0.03</v>
      </c>
      <c r="E237" s="139">
        <v>0</v>
      </c>
      <c r="F237" s="32">
        <f t="shared" si="27"/>
        <v>0.03</v>
      </c>
      <c r="G237" s="143">
        <v>7800</v>
      </c>
      <c r="H237" s="68">
        <f t="shared" si="28"/>
        <v>234</v>
      </c>
      <c r="I237" s="161">
        <f t="shared" si="29"/>
        <v>0.11142857142857143</v>
      </c>
    </row>
    <row r="238" spans="1:9" x14ac:dyDescent="0.6">
      <c r="A238" s="144"/>
      <c r="B238" s="26" t="s">
        <v>616</v>
      </c>
      <c r="C238" s="43" t="s">
        <v>471</v>
      </c>
      <c r="D238" s="25">
        <v>0.03</v>
      </c>
      <c r="E238" s="139">
        <v>0.05</v>
      </c>
      <c r="F238" s="32">
        <f t="shared" si="27"/>
        <v>3.15E-2</v>
      </c>
      <c r="G238" s="35">
        <v>24000</v>
      </c>
      <c r="H238" s="68">
        <f t="shared" si="28"/>
        <v>756</v>
      </c>
      <c r="I238" s="161">
        <f t="shared" si="29"/>
        <v>0.36</v>
      </c>
    </row>
    <row r="239" spans="1:9" x14ac:dyDescent="0.6">
      <c r="A239" s="253"/>
      <c r="B239" s="26" t="s">
        <v>609</v>
      </c>
      <c r="C239" s="43" t="s">
        <v>27</v>
      </c>
      <c r="D239" s="25">
        <v>0.01</v>
      </c>
      <c r="E239" s="139">
        <v>0</v>
      </c>
      <c r="F239" s="32">
        <f t="shared" si="27"/>
        <v>0.01</v>
      </c>
      <c r="G239" s="162">
        <v>14000</v>
      </c>
      <c r="H239" s="68">
        <f t="shared" si="28"/>
        <v>140</v>
      </c>
      <c r="I239" s="161">
        <f t="shared" si="29"/>
        <v>6.6666666666666666E-2</v>
      </c>
    </row>
    <row r="240" spans="1:9" x14ac:dyDescent="0.6">
      <c r="A240" s="26"/>
      <c r="B240" s="23" t="s">
        <v>701</v>
      </c>
      <c r="C240" s="43" t="s">
        <v>471</v>
      </c>
      <c r="D240" s="25">
        <v>1E-3</v>
      </c>
      <c r="E240" s="139">
        <v>0</v>
      </c>
      <c r="F240" s="32">
        <f t="shared" si="27"/>
        <v>1E-3</v>
      </c>
      <c r="G240" s="35">
        <v>6000</v>
      </c>
      <c r="H240" s="68">
        <f t="shared" si="28"/>
        <v>6</v>
      </c>
      <c r="I240" s="161">
        <f t="shared" si="29"/>
        <v>2.8571428571428571E-3</v>
      </c>
    </row>
    <row r="241" spans="1:9" x14ac:dyDescent="0.6">
      <c r="A241" s="26"/>
      <c r="B241" s="26" t="s">
        <v>644</v>
      </c>
      <c r="C241" s="43" t="s">
        <v>471</v>
      </c>
      <c r="D241" s="25">
        <v>1E-3</v>
      </c>
      <c r="E241" s="139">
        <v>0</v>
      </c>
      <c r="F241" s="32">
        <f t="shared" si="27"/>
        <v>1E-3</v>
      </c>
      <c r="G241" s="35">
        <v>10000</v>
      </c>
      <c r="H241" s="68">
        <f t="shared" si="28"/>
        <v>10</v>
      </c>
      <c r="I241" s="161">
        <f t="shared" si="29"/>
        <v>4.7619047619047623E-3</v>
      </c>
    </row>
    <row r="242" spans="1:9" ht="21.75" thickBot="1" x14ac:dyDescent="0.65">
      <c r="A242" s="26"/>
      <c r="B242" s="23" t="s">
        <v>661</v>
      </c>
      <c r="C242" s="43" t="s">
        <v>459</v>
      </c>
      <c r="D242" s="25">
        <v>0.02</v>
      </c>
      <c r="E242" s="139">
        <v>0</v>
      </c>
      <c r="F242" s="32">
        <f t="shared" si="27"/>
        <v>0.02</v>
      </c>
      <c r="G242" s="143">
        <f>42000/4.15</f>
        <v>10120.481927710842</v>
      </c>
      <c r="H242" s="68">
        <f t="shared" si="28"/>
        <v>202.40963855421683</v>
      </c>
      <c r="I242" s="161">
        <f t="shared" si="29"/>
        <v>9.6385542168674676E-2</v>
      </c>
    </row>
    <row r="243" spans="1:9" x14ac:dyDescent="0.6">
      <c r="A243" s="124"/>
      <c r="B243" s="165" t="s">
        <v>4</v>
      </c>
      <c r="C243" s="166"/>
      <c r="D243" s="117"/>
      <c r="E243" s="117"/>
      <c r="F243" s="117"/>
      <c r="G243" s="117"/>
      <c r="H243" s="192">
        <f>SUM(H233:H242)</f>
        <v>4978.4096385542171</v>
      </c>
      <c r="I243" s="197">
        <f>SUM(I233:I242)</f>
        <v>2.3706712564543886</v>
      </c>
    </row>
    <row r="244" spans="1:9" x14ac:dyDescent="0.6">
      <c r="A244" s="124"/>
      <c r="B244" s="168" t="s">
        <v>14</v>
      </c>
      <c r="C244" s="43"/>
      <c r="D244" s="121"/>
      <c r="E244" s="121"/>
      <c r="F244" s="121"/>
      <c r="G244" s="121"/>
      <c r="H244" s="169">
        <f>H243/1</f>
        <v>4978.4096385542171</v>
      </c>
      <c r="I244" s="104"/>
    </row>
    <row r="245" spans="1:9" x14ac:dyDescent="0.6">
      <c r="A245" s="124"/>
      <c r="B245" s="168" t="s">
        <v>453</v>
      </c>
      <c r="C245" s="43"/>
      <c r="D245" s="121"/>
      <c r="E245" s="121"/>
      <c r="F245" s="121"/>
      <c r="G245" s="121"/>
      <c r="H245" s="104">
        <f>G230</f>
        <v>18000</v>
      </c>
      <c r="I245" s="104"/>
    </row>
    <row r="246" spans="1:9" x14ac:dyDescent="0.6">
      <c r="A246" s="124"/>
      <c r="B246" s="168" t="s">
        <v>455</v>
      </c>
      <c r="C246" s="43"/>
      <c r="D246" s="121"/>
      <c r="E246" s="121"/>
      <c r="F246" s="121"/>
      <c r="G246" s="121"/>
      <c r="H246" s="104">
        <f>H245/113.3%</f>
        <v>15887.02559576346</v>
      </c>
      <c r="I246" s="104"/>
    </row>
    <row r="247" spans="1:9" x14ac:dyDescent="0.6">
      <c r="A247" s="124"/>
      <c r="B247" s="168" t="s">
        <v>16</v>
      </c>
      <c r="C247" s="43"/>
      <c r="D247" s="121"/>
      <c r="E247" s="121"/>
      <c r="F247" s="121"/>
      <c r="G247" s="121"/>
      <c r="H247" s="588">
        <f>H244/H246</f>
        <v>0.31336322891566265</v>
      </c>
      <c r="I247" s="588"/>
    </row>
    <row r="248" spans="1:9" x14ac:dyDescent="0.6">
      <c r="A248" s="124"/>
      <c r="B248" s="168"/>
      <c r="C248" s="43"/>
      <c r="D248" s="121"/>
      <c r="E248" s="121"/>
      <c r="F248" s="121"/>
      <c r="G248" s="121"/>
      <c r="H248" s="169"/>
      <c r="I248" s="171"/>
    </row>
    <row r="249" spans="1:9" ht="21.75" thickBot="1" x14ac:dyDescent="0.65">
      <c r="A249" s="124"/>
      <c r="B249" s="172"/>
      <c r="C249" s="147"/>
      <c r="D249" s="58"/>
      <c r="E249" s="58"/>
      <c r="F249" s="58"/>
      <c r="G249" s="58"/>
      <c r="H249" s="173"/>
      <c r="I249" s="164"/>
    </row>
    <row r="252" spans="1:9" ht="21.75" thickBot="1" x14ac:dyDescent="0.65">
      <c r="A252" s="938" t="s">
        <v>0</v>
      </c>
      <c r="B252" s="938"/>
      <c r="C252" s="938"/>
      <c r="D252" s="938"/>
      <c r="E252" s="938"/>
      <c r="F252" s="938"/>
      <c r="G252" s="938"/>
      <c r="H252" s="938"/>
      <c r="I252" s="938"/>
    </row>
    <row r="253" spans="1:9" ht="21.75" thickBot="1" x14ac:dyDescent="0.65">
      <c r="A253" s="562" t="s">
        <v>722</v>
      </c>
      <c r="B253" s="771" t="s">
        <v>775</v>
      </c>
      <c r="C253" s="772"/>
      <c r="D253" s="772"/>
      <c r="E253" s="772"/>
      <c r="F253" s="772"/>
      <c r="G253" s="772" t="s">
        <v>883</v>
      </c>
      <c r="H253" s="541" t="s">
        <v>868</v>
      </c>
      <c r="I253" s="564" t="s">
        <v>595</v>
      </c>
    </row>
    <row r="254" spans="1:9" x14ac:dyDescent="0.6">
      <c r="A254" s="550">
        <v>10</v>
      </c>
      <c r="B254" s="539" t="s">
        <v>5</v>
      </c>
      <c r="C254" s="539" t="s">
        <v>4</v>
      </c>
      <c r="D254" s="540" t="s">
        <v>3</v>
      </c>
      <c r="E254" s="540" t="s">
        <v>613</v>
      </c>
      <c r="F254" s="540" t="s">
        <v>614</v>
      </c>
      <c r="G254" s="586" t="s">
        <v>510</v>
      </c>
      <c r="H254" s="543" t="s">
        <v>7</v>
      </c>
      <c r="I254" s="637">
        <f>I229</f>
        <v>45574</v>
      </c>
    </row>
    <row r="255" spans="1:9" ht="21.75" thickBot="1" x14ac:dyDescent="0.65">
      <c r="A255" s="551"/>
      <c r="B255" s="587"/>
      <c r="C255" s="552"/>
      <c r="D255" s="553">
        <v>1</v>
      </c>
      <c r="E255" s="553"/>
      <c r="F255" s="553"/>
      <c r="G255" s="553">
        <f>Summary!J49</f>
        <v>20000</v>
      </c>
      <c r="H255" s="554">
        <f>H273</f>
        <v>0.32500085092871489</v>
      </c>
      <c r="I255" s="555"/>
    </row>
    <row r="256" spans="1:9" ht="21.75" thickBot="1" x14ac:dyDescent="0.65">
      <c r="A256" s="124"/>
      <c r="B256" s="43"/>
      <c r="C256" s="124"/>
      <c r="D256" s="125"/>
      <c r="E256" s="125"/>
      <c r="F256" s="125"/>
      <c r="G256" s="125"/>
      <c r="H256" s="126"/>
      <c r="I256" s="124"/>
    </row>
    <row r="257" spans="1:9" x14ac:dyDescent="0.6">
      <c r="A257" s="194" t="s">
        <v>605</v>
      </c>
      <c r="B257" s="186" t="s">
        <v>10</v>
      </c>
      <c r="C257" s="166" t="s">
        <v>9</v>
      </c>
      <c r="D257" s="117" t="s">
        <v>8</v>
      </c>
      <c r="E257" s="117" t="s">
        <v>613</v>
      </c>
      <c r="F257" s="117" t="s">
        <v>614</v>
      </c>
      <c r="G257" s="117" t="s">
        <v>11</v>
      </c>
      <c r="H257" s="118" t="s">
        <v>12</v>
      </c>
      <c r="I257" s="195" t="s">
        <v>12</v>
      </c>
    </row>
    <row r="258" spans="1:9" x14ac:dyDescent="0.6">
      <c r="A258" s="144"/>
      <c r="B258" s="405" t="s">
        <v>773</v>
      </c>
      <c r="C258" s="400" t="s">
        <v>596</v>
      </c>
      <c r="D258" s="406">
        <v>0.1</v>
      </c>
      <c r="E258" s="86">
        <v>0.1</v>
      </c>
      <c r="F258" s="32">
        <f t="shared" ref="F258:F268" si="30">D258+D258*E258</f>
        <v>0.11000000000000001</v>
      </c>
      <c r="G258" s="35">
        <f>26000</f>
        <v>26000</v>
      </c>
      <c r="H258" s="68">
        <f t="shared" ref="H258:H268" si="31">F258*G258</f>
        <v>2860.0000000000005</v>
      </c>
      <c r="I258" s="161">
        <f t="shared" ref="I258:I267" si="32">H258/I$3</f>
        <v>1.3619047619047622</v>
      </c>
    </row>
    <row r="259" spans="1:9" x14ac:dyDescent="0.6">
      <c r="A259" s="141"/>
      <c r="B259" s="405" t="s">
        <v>774</v>
      </c>
      <c r="C259" s="400" t="s">
        <v>463</v>
      </c>
      <c r="D259" s="406">
        <v>0.05</v>
      </c>
      <c r="E259" s="86">
        <v>0</v>
      </c>
      <c r="F259" s="32">
        <f t="shared" si="30"/>
        <v>0.05</v>
      </c>
      <c r="G259" s="143">
        <v>4500</v>
      </c>
      <c r="H259" s="68">
        <f t="shared" si="31"/>
        <v>225</v>
      </c>
      <c r="I259" s="161">
        <f t="shared" si="32"/>
        <v>0.10714285714285714</v>
      </c>
    </row>
    <row r="260" spans="1:9" x14ac:dyDescent="0.6">
      <c r="A260" s="144"/>
      <c r="B260" s="405" t="s">
        <v>673</v>
      </c>
      <c r="C260" s="400" t="s">
        <v>596</v>
      </c>
      <c r="D260" s="406">
        <v>0.05</v>
      </c>
      <c r="E260" s="86">
        <v>0.2</v>
      </c>
      <c r="F260" s="32">
        <f t="shared" si="30"/>
        <v>6.0000000000000005E-2</v>
      </c>
      <c r="G260" s="143">
        <v>4500</v>
      </c>
      <c r="H260" s="68">
        <f t="shared" si="31"/>
        <v>270</v>
      </c>
      <c r="I260" s="161">
        <f t="shared" si="32"/>
        <v>0.12857142857142856</v>
      </c>
    </row>
    <row r="261" spans="1:9" x14ac:dyDescent="0.6">
      <c r="A261" s="144"/>
      <c r="B261" s="405" t="s">
        <v>674</v>
      </c>
      <c r="C261" s="400" t="s">
        <v>596</v>
      </c>
      <c r="D261" s="406">
        <v>0.03</v>
      </c>
      <c r="E261" s="86">
        <v>0.2</v>
      </c>
      <c r="F261" s="32">
        <f t="shared" si="30"/>
        <v>3.5999999999999997E-2</v>
      </c>
      <c r="G261" s="143">
        <v>21000</v>
      </c>
      <c r="H261" s="68">
        <f t="shared" si="31"/>
        <v>755.99999999999989</v>
      </c>
      <c r="I261" s="161">
        <f t="shared" si="32"/>
        <v>0.35999999999999993</v>
      </c>
    </row>
    <row r="262" spans="1:9" x14ac:dyDescent="0.6">
      <c r="A262" s="141"/>
      <c r="B262" s="405" t="s">
        <v>692</v>
      </c>
      <c r="C262" s="400" t="s">
        <v>596</v>
      </c>
      <c r="D262" s="406">
        <v>0.02</v>
      </c>
      <c r="E262" s="86">
        <v>0.2</v>
      </c>
      <c r="F262" s="32">
        <f t="shared" si="30"/>
        <v>2.4E-2</v>
      </c>
      <c r="G262" s="143">
        <v>5000</v>
      </c>
      <c r="H262" s="68">
        <f t="shared" si="31"/>
        <v>120</v>
      </c>
      <c r="I262" s="161">
        <f t="shared" si="32"/>
        <v>5.7142857142857141E-2</v>
      </c>
    </row>
    <row r="263" spans="1:9" x14ac:dyDescent="0.6">
      <c r="A263" s="144"/>
      <c r="B263" s="405" t="s">
        <v>609</v>
      </c>
      <c r="C263" s="400" t="s">
        <v>596</v>
      </c>
      <c r="D263" s="406">
        <v>0.03</v>
      </c>
      <c r="E263" s="86">
        <v>0</v>
      </c>
      <c r="F263" s="32">
        <f t="shared" si="30"/>
        <v>0.03</v>
      </c>
      <c r="G263" s="35">
        <v>14000</v>
      </c>
      <c r="H263" s="68">
        <f t="shared" si="31"/>
        <v>420</v>
      </c>
      <c r="I263" s="161">
        <f t="shared" si="32"/>
        <v>0.2</v>
      </c>
    </row>
    <row r="264" spans="1:9" x14ac:dyDescent="0.6">
      <c r="A264" s="253"/>
      <c r="B264" s="405" t="s">
        <v>644</v>
      </c>
      <c r="C264" s="400" t="s">
        <v>596</v>
      </c>
      <c r="D264" s="406">
        <v>0.01</v>
      </c>
      <c r="E264" s="86">
        <v>0</v>
      </c>
      <c r="F264" s="32">
        <f t="shared" si="30"/>
        <v>0.01</v>
      </c>
      <c r="G264" s="162">
        <v>10000</v>
      </c>
      <c r="H264" s="68">
        <f t="shared" si="31"/>
        <v>100</v>
      </c>
      <c r="I264" s="161">
        <f t="shared" si="32"/>
        <v>4.7619047619047616E-2</v>
      </c>
    </row>
    <row r="265" spans="1:9" x14ac:dyDescent="0.6">
      <c r="A265" s="26"/>
      <c r="B265" s="405" t="s">
        <v>705</v>
      </c>
      <c r="C265" s="400" t="s">
        <v>26</v>
      </c>
      <c r="D265" s="406">
        <v>0.5</v>
      </c>
      <c r="E265" s="86">
        <v>0</v>
      </c>
      <c r="F265" s="32">
        <f t="shared" si="30"/>
        <v>0.5</v>
      </c>
      <c r="G265" s="35">
        <f>190000/24/8</f>
        <v>989.58333333333337</v>
      </c>
      <c r="H265" s="68">
        <f t="shared" si="31"/>
        <v>494.79166666666669</v>
      </c>
      <c r="I265" s="161">
        <f t="shared" si="32"/>
        <v>0.23561507936507936</v>
      </c>
    </row>
    <row r="266" spans="1:9" x14ac:dyDescent="0.6">
      <c r="A266" s="26"/>
      <c r="B266" s="405" t="s">
        <v>672</v>
      </c>
      <c r="C266" s="400" t="s">
        <v>596</v>
      </c>
      <c r="D266" s="406">
        <v>0.05</v>
      </c>
      <c r="E266" s="86">
        <v>0</v>
      </c>
      <c r="F266" s="32">
        <f t="shared" si="30"/>
        <v>0.05</v>
      </c>
      <c r="G266" s="35">
        <v>7800</v>
      </c>
      <c r="H266" s="68">
        <f t="shared" si="31"/>
        <v>390</v>
      </c>
      <c r="I266" s="161">
        <f t="shared" si="32"/>
        <v>0.18571428571428572</v>
      </c>
    </row>
    <row r="267" spans="1:9" x14ac:dyDescent="0.6">
      <c r="A267" s="26"/>
      <c r="B267" s="396" t="s">
        <v>719</v>
      </c>
      <c r="C267" s="397" t="s">
        <v>459</v>
      </c>
      <c r="D267" s="398">
        <v>0.01</v>
      </c>
      <c r="E267" s="86">
        <v>0</v>
      </c>
      <c r="F267" s="32">
        <f t="shared" si="30"/>
        <v>0.01</v>
      </c>
      <c r="G267" s="143">
        <f>42000/4.15</f>
        <v>10120.481927710842</v>
      </c>
      <c r="H267" s="68">
        <f t="shared" si="31"/>
        <v>101.20481927710841</v>
      </c>
      <c r="I267" s="161">
        <f t="shared" si="32"/>
        <v>4.8192771084337338E-2</v>
      </c>
    </row>
    <row r="268" spans="1:9" ht="21.75" thickBot="1" x14ac:dyDescent="0.65">
      <c r="A268" s="415"/>
      <c r="B268" s="399" t="s">
        <v>716</v>
      </c>
      <c r="C268" s="400" t="s">
        <v>459</v>
      </c>
      <c r="D268" s="406">
        <v>0.01</v>
      </c>
      <c r="E268" s="86">
        <v>0</v>
      </c>
      <c r="F268" s="32">
        <f t="shared" si="30"/>
        <v>0.01</v>
      </c>
      <c r="G268" s="162">
        <v>3500</v>
      </c>
      <c r="H268" s="68">
        <f t="shared" si="31"/>
        <v>35</v>
      </c>
      <c r="I268" s="161">
        <f t="shared" ref="I268" si="33">H268/I$3</f>
        <v>1.6666666666666666E-2</v>
      </c>
    </row>
    <row r="269" spans="1:9" x14ac:dyDescent="0.6">
      <c r="A269" s="124"/>
      <c r="B269" s="165" t="s">
        <v>4</v>
      </c>
      <c r="C269" s="166"/>
      <c r="D269" s="117"/>
      <c r="E269" s="117"/>
      <c r="F269" s="117"/>
      <c r="G269" s="117"/>
      <c r="H269" s="192">
        <f>SUM(H258:H267)</f>
        <v>5736.996485943775</v>
      </c>
      <c r="I269" s="197">
        <f>SUM(I258:I268)</f>
        <v>2.7485697552113222</v>
      </c>
    </row>
    <row r="270" spans="1:9" x14ac:dyDescent="0.6">
      <c r="A270" s="124"/>
      <c r="B270" s="168" t="s">
        <v>14</v>
      </c>
      <c r="C270" s="43"/>
      <c r="D270" s="121"/>
      <c r="E270" s="121"/>
      <c r="F270" s="121"/>
      <c r="G270" s="121"/>
      <c r="H270" s="169">
        <f>H269/1</f>
        <v>5736.996485943775</v>
      </c>
      <c r="I270" s="104"/>
    </row>
    <row r="271" spans="1:9" x14ac:dyDescent="0.6">
      <c r="A271" s="124"/>
      <c r="B271" s="168" t="s">
        <v>453</v>
      </c>
      <c r="C271" s="43"/>
      <c r="D271" s="121"/>
      <c r="E271" s="121"/>
      <c r="F271" s="121"/>
      <c r="G271" s="121"/>
      <c r="H271" s="104">
        <f>G255</f>
        <v>20000</v>
      </c>
      <c r="I271" s="104"/>
    </row>
    <row r="272" spans="1:9" x14ac:dyDescent="0.6">
      <c r="A272" s="124"/>
      <c r="B272" s="168" t="s">
        <v>455</v>
      </c>
      <c r="C272" s="43"/>
      <c r="D272" s="121"/>
      <c r="E272" s="121"/>
      <c r="F272" s="121"/>
      <c r="G272" s="121"/>
      <c r="H272" s="104">
        <f>H271/113.3%</f>
        <v>17652.250661959399</v>
      </c>
      <c r="I272" s="104"/>
    </row>
    <row r="273" spans="1:9" x14ac:dyDescent="0.6">
      <c r="A273" s="124"/>
      <c r="B273" s="168" t="s">
        <v>16</v>
      </c>
      <c r="C273" s="43"/>
      <c r="D273" s="121"/>
      <c r="E273" s="121"/>
      <c r="F273" s="121"/>
      <c r="G273" s="121"/>
      <c r="H273" s="588">
        <f>H270/H272</f>
        <v>0.32500085092871489</v>
      </c>
      <c r="I273" s="588"/>
    </row>
    <row r="274" spans="1:9" x14ac:dyDescent="0.6">
      <c r="A274" s="124"/>
      <c r="B274" s="168"/>
      <c r="C274" s="43"/>
      <c r="D274" s="121"/>
      <c r="E274" s="121"/>
      <c r="F274" s="121"/>
      <c r="G274" s="121"/>
      <c r="H274" s="169"/>
      <c r="I274" s="171"/>
    </row>
    <row r="275" spans="1:9" ht="21.75" thickBot="1" x14ac:dyDescent="0.65">
      <c r="A275" s="124"/>
      <c r="B275" s="172"/>
      <c r="C275" s="147"/>
      <c r="D275" s="58"/>
      <c r="E275" s="58"/>
      <c r="F275" s="58"/>
      <c r="G275" s="58"/>
      <c r="H275" s="173"/>
      <c r="I275" s="164"/>
    </row>
    <row r="277" spans="1:9" ht="21.75" thickBot="1" x14ac:dyDescent="0.65">
      <c r="A277" s="938" t="s">
        <v>0</v>
      </c>
      <c r="B277" s="938"/>
      <c r="C277" s="938"/>
      <c r="D277" s="938"/>
      <c r="E277" s="938"/>
      <c r="F277" s="938"/>
      <c r="G277" s="938"/>
      <c r="H277" s="938"/>
      <c r="I277" s="938"/>
    </row>
    <row r="278" spans="1:9" ht="21.75" thickBot="1" x14ac:dyDescent="0.65">
      <c r="A278" s="562" t="s">
        <v>722</v>
      </c>
      <c r="B278" s="771" t="s">
        <v>776</v>
      </c>
      <c r="C278" s="772"/>
      <c r="D278" s="772"/>
      <c r="E278" s="772"/>
      <c r="F278" s="772"/>
      <c r="G278" s="772" t="s">
        <v>883</v>
      </c>
      <c r="H278" s="541" t="s">
        <v>868</v>
      </c>
      <c r="I278" s="564" t="s">
        <v>595</v>
      </c>
    </row>
    <row r="279" spans="1:9" x14ac:dyDescent="0.6">
      <c r="A279" s="550">
        <v>11</v>
      </c>
      <c r="B279" s="539" t="s">
        <v>5</v>
      </c>
      <c r="C279" s="539" t="s">
        <v>4</v>
      </c>
      <c r="D279" s="540" t="s">
        <v>3</v>
      </c>
      <c r="E279" s="540" t="s">
        <v>613</v>
      </c>
      <c r="F279" s="540" t="s">
        <v>614</v>
      </c>
      <c r="G279" s="586" t="s">
        <v>510</v>
      </c>
      <c r="H279" s="543" t="s">
        <v>7</v>
      </c>
      <c r="I279" s="637">
        <f>I254</f>
        <v>45574</v>
      </c>
    </row>
    <row r="280" spans="1:9" ht="21.75" thickBot="1" x14ac:dyDescent="0.65">
      <c r="A280" s="551"/>
      <c r="B280" s="587"/>
      <c r="C280" s="552"/>
      <c r="D280" s="553">
        <v>1</v>
      </c>
      <c r="E280" s="553"/>
      <c r="F280" s="553"/>
      <c r="G280" s="553">
        <f>Summary!J50</f>
        <v>20000</v>
      </c>
      <c r="H280" s="633">
        <f>H300</f>
        <v>0.3771031527359438</v>
      </c>
      <c r="I280" s="555"/>
    </row>
    <row r="281" spans="1:9" ht="21.75" thickBot="1" x14ac:dyDescent="0.65">
      <c r="A281" s="124"/>
      <c r="B281" s="43"/>
      <c r="C281" s="124"/>
      <c r="D281" s="125"/>
      <c r="E281" s="125"/>
      <c r="F281" s="125"/>
      <c r="G281" s="125"/>
      <c r="H281" s="126"/>
      <c r="I281" s="124"/>
    </row>
    <row r="282" spans="1:9" x14ac:dyDescent="0.6">
      <c r="A282" s="194" t="s">
        <v>904</v>
      </c>
      <c r="B282" s="186" t="s">
        <v>10</v>
      </c>
      <c r="C282" s="166" t="s">
        <v>9</v>
      </c>
      <c r="D282" s="117" t="s">
        <v>8</v>
      </c>
      <c r="E282" s="117" t="s">
        <v>613</v>
      </c>
      <c r="F282" s="117" t="s">
        <v>614</v>
      </c>
      <c r="G282" s="117" t="s">
        <v>11</v>
      </c>
      <c r="H282" s="118" t="s">
        <v>12</v>
      </c>
      <c r="I282" s="195" t="s">
        <v>12</v>
      </c>
    </row>
    <row r="283" spans="1:9" x14ac:dyDescent="0.6">
      <c r="A283" s="493">
        <v>1</v>
      </c>
      <c r="B283" s="405" t="s">
        <v>772</v>
      </c>
      <c r="C283" s="400" t="s">
        <v>596</v>
      </c>
      <c r="D283" s="406">
        <v>0.1</v>
      </c>
      <c r="E283" s="86">
        <v>0.1</v>
      </c>
      <c r="F283" s="32">
        <f t="shared" ref="F283:F295" si="34">D283+D283*E283</f>
        <v>0.11000000000000001</v>
      </c>
      <c r="G283" s="35">
        <v>33000</v>
      </c>
      <c r="H283" s="68">
        <f t="shared" ref="H283:H295" si="35">F283*G283</f>
        <v>3630.0000000000005</v>
      </c>
      <c r="I283" s="161">
        <f t="shared" ref="I283:I292" si="36">H283/I$3</f>
        <v>1.7285714285714289</v>
      </c>
    </row>
    <row r="284" spans="1:9" x14ac:dyDescent="0.6">
      <c r="A284" s="494">
        <v>2</v>
      </c>
      <c r="B284" s="405" t="s">
        <v>625</v>
      </c>
      <c r="C284" s="400" t="s">
        <v>463</v>
      </c>
      <c r="D284" s="406">
        <v>0.05</v>
      </c>
      <c r="E284" s="86">
        <v>0.3</v>
      </c>
      <c r="F284" s="32">
        <f t="shared" si="34"/>
        <v>6.5000000000000002E-2</v>
      </c>
      <c r="G284" s="143">
        <v>7000</v>
      </c>
      <c r="H284" s="68">
        <f t="shared" si="35"/>
        <v>455</v>
      </c>
      <c r="I284" s="161">
        <f t="shared" si="36"/>
        <v>0.21666666666666667</v>
      </c>
    </row>
    <row r="285" spans="1:9" x14ac:dyDescent="0.6">
      <c r="A285" s="493">
        <v>3</v>
      </c>
      <c r="B285" s="405" t="s">
        <v>673</v>
      </c>
      <c r="C285" s="400" t="s">
        <v>596</v>
      </c>
      <c r="D285" s="406">
        <v>0.05</v>
      </c>
      <c r="E285" s="86">
        <v>0.2</v>
      </c>
      <c r="F285" s="32">
        <f t="shared" si="34"/>
        <v>6.0000000000000005E-2</v>
      </c>
      <c r="G285" s="143">
        <v>4500</v>
      </c>
      <c r="H285" s="68">
        <f t="shared" si="35"/>
        <v>270</v>
      </c>
      <c r="I285" s="161">
        <f t="shared" si="36"/>
        <v>0.12857142857142856</v>
      </c>
    </row>
    <row r="286" spans="1:9" x14ac:dyDescent="0.6">
      <c r="A286" s="493">
        <v>4</v>
      </c>
      <c r="B286" s="405" t="s">
        <v>674</v>
      </c>
      <c r="C286" s="400" t="s">
        <v>596</v>
      </c>
      <c r="D286" s="406">
        <v>0.03</v>
      </c>
      <c r="E286" s="86">
        <v>0.2</v>
      </c>
      <c r="F286" s="32">
        <f t="shared" si="34"/>
        <v>3.5999999999999997E-2</v>
      </c>
      <c r="G286" s="143">
        <v>21000</v>
      </c>
      <c r="H286" s="68">
        <f t="shared" si="35"/>
        <v>755.99999999999989</v>
      </c>
      <c r="I286" s="161">
        <f t="shared" si="36"/>
        <v>0.35999999999999993</v>
      </c>
    </row>
    <row r="287" spans="1:9" x14ac:dyDescent="0.6">
      <c r="A287" s="494">
        <v>5</v>
      </c>
      <c r="B287" s="405" t="s">
        <v>692</v>
      </c>
      <c r="C287" s="400" t="s">
        <v>596</v>
      </c>
      <c r="D287" s="406">
        <v>0.02</v>
      </c>
      <c r="E287" s="86">
        <v>0.2</v>
      </c>
      <c r="F287" s="32">
        <f t="shared" si="34"/>
        <v>2.4E-2</v>
      </c>
      <c r="G287" s="143">
        <v>5000</v>
      </c>
      <c r="H287" s="68">
        <f t="shared" si="35"/>
        <v>120</v>
      </c>
      <c r="I287" s="161">
        <f t="shared" si="36"/>
        <v>5.7142857142857141E-2</v>
      </c>
    </row>
    <row r="288" spans="1:9" x14ac:dyDescent="0.6">
      <c r="A288" s="493">
        <v>6</v>
      </c>
      <c r="B288" s="405" t="s">
        <v>652</v>
      </c>
      <c r="C288" s="400" t="s">
        <v>596</v>
      </c>
      <c r="D288" s="406">
        <v>0.03</v>
      </c>
      <c r="E288" s="86">
        <v>0.05</v>
      </c>
      <c r="F288" s="32">
        <f t="shared" si="34"/>
        <v>3.15E-2</v>
      </c>
      <c r="G288" s="35">
        <v>6000</v>
      </c>
      <c r="H288" s="68">
        <f t="shared" si="35"/>
        <v>189</v>
      </c>
      <c r="I288" s="161">
        <f t="shared" si="36"/>
        <v>0.09</v>
      </c>
    </row>
    <row r="289" spans="1:9" x14ac:dyDescent="0.6">
      <c r="A289" s="493">
        <v>7</v>
      </c>
      <c r="B289" s="405" t="s">
        <v>759</v>
      </c>
      <c r="C289" s="400" t="s">
        <v>459</v>
      </c>
      <c r="D289" s="406">
        <v>0.02</v>
      </c>
      <c r="E289" s="86">
        <v>0</v>
      </c>
      <c r="F289" s="32">
        <f t="shared" si="34"/>
        <v>0.02</v>
      </c>
      <c r="G289" s="162">
        <f>17000/4.15</f>
        <v>4096.385542168674</v>
      </c>
      <c r="H289" s="68">
        <f t="shared" si="35"/>
        <v>81.927710843373475</v>
      </c>
      <c r="I289" s="161">
        <f t="shared" si="36"/>
        <v>3.9013195639701653E-2</v>
      </c>
    </row>
    <row r="290" spans="1:9" x14ac:dyDescent="0.6">
      <c r="A290" s="494">
        <v>8</v>
      </c>
      <c r="B290" s="405" t="s">
        <v>709</v>
      </c>
      <c r="C290" s="400" t="s">
        <v>13</v>
      </c>
      <c r="D290" s="406">
        <v>1</v>
      </c>
      <c r="E290" s="86">
        <v>0</v>
      </c>
      <c r="F290" s="32">
        <f t="shared" si="34"/>
        <v>1</v>
      </c>
      <c r="G290" s="35">
        <v>180</v>
      </c>
      <c r="H290" s="68">
        <f t="shared" si="35"/>
        <v>180</v>
      </c>
      <c r="I290" s="161">
        <f t="shared" si="36"/>
        <v>8.5714285714285715E-2</v>
      </c>
    </row>
    <row r="291" spans="1:9" x14ac:dyDescent="0.6">
      <c r="A291" s="493">
        <v>9</v>
      </c>
      <c r="B291" s="405" t="s">
        <v>622</v>
      </c>
      <c r="C291" s="400" t="s">
        <v>596</v>
      </c>
      <c r="D291" s="406">
        <v>0.02</v>
      </c>
      <c r="E291" s="86">
        <v>0</v>
      </c>
      <c r="F291" s="32">
        <f t="shared" si="34"/>
        <v>0.02</v>
      </c>
      <c r="G291" s="35">
        <v>24000</v>
      </c>
      <c r="H291" s="68">
        <f t="shared" si="35"/>
        <v>480</v>
      </c>
      <c r="I291" s="161">
        <f t="shared" si="36"/>
        <v>0.22857142857142856</v>
      </c>
    </row>
    <row r="292" spans="1:9" x14ac:dyDescent="0.6">
      <c r="A292" s="493">
        <v>10</v>
      </c>
      <c r="B292" s="405" t="s">
        <v>705</v>
      </c>
      <c r="C292" s="400" t="s">
        <v>26</v>
      </c>
      <c r="D292" s="406">
        <v>0.5</v>
      </c>
      <c r="E292" s="86">
        <v>0</v>
      </c>
      <c r="F292" s="32">
        <f t="shared" si="34"/>
        <v>0.5</v>
      </c>
      <c r="G292" s="143">
        <f>190000/24/8</f>
        <v>989.58333333333337</v>
      </c>
      <c r="H292" s="68">
        <f t="shared" si="35"/>
        <v>494.79166666666669</v>
      </c>
      <c r="I292" s="161">
        <f t="shared" si="36"/>
        <v>0.23561507936507936</v>
      </c>
    </row>
    <row r="293" spans="1:9" x14ac:dyDescent="0.6">
      <c r="A293" s="494">
        <v>11</v>
      </c>
      <c r="B293" s="405" t="s">
        <v>672</v>
      </c>
      <c r="C293" s="400" t="s">
        <v>596</v>
      </c>
      <c r="D293" s="406">
        <v>0.05</v>
      </c>
      <c r="E293" s="86">
        <v>0</v>
      </c>
      <c r="F293" s="32">
        <f t="shared" si="34"/>
        <v>0.05</v>
      </c>
      <c r="G293" s="162">
        <v>7800</v>
      </c>
      <c r="H293" s="68">
        <f t="shared" si="35"/>
        <v>390</v>
      </c>
      <c r="I293" s="161">
        <f t="shared" ref="I293:I295" si="37">H293/I$3</f>
        <v>0.18571428571428572</v>
      </c>
    </row>
    <row r="294" spans="1:9" x14ac:dyDescent="0.6">
      <c r="A294" s="493">
        <v>12</v>
      </c>
      <c r="B294" s="396" t="s">
        <v>719</v>
      </c>
      <c r="C294" s="397" t="s">
        <v>459</v>
      </c>
      <c r="D294" s="398">
        <v>0.01</v>
      </c>
      <c r="E294" s="199">
        <v>0</v>
      </c>
      <c r="F294" s="177">
        <f t="shared" si="34"/>
        <v>0.01</v>
      </c>
      <c r="G294" s="162">
        <f>42000/4.15</f>
        <v>10120.481927710842</v>
      </c>
      <c r="H294" s="68">
        <f t="shared" si="35"/>
        <v>101.20481927710841</v>
      </c>
      <c r="I294" s="161">
        <f t="shared" si="37"/>
        <v>4.8192771084337338E-2</v>
      </c>
    </row>
    <row r="295" spans="1:9" ht="21.75" thickBot="1" x14ac:dyDescent="0.65">
      <c r="A295" s="493">
        <v>13</v>
      </c>
      <c r="B295" s="396" t="s">
        <v>609</v>
      </c>
      <c r="C295" s="397" t="s">
        <v>463</v>
      </c>
      <c r="D295" s="408">
        <v>0.01</v>
      </c>
      <c r="E295" s="86">
        <v>0</v>
      </c>
      <c r="F295" s="255">
        <f t="shared" si="34"/>
        <v>0.01</v>
      </c>
      <c r="G295" s="256">
        <v>14000</v>
      </c>
      <c r="H295" s="68">
        <f t="shared" si="35"/>
        <v>140</v>
      </c>
      <c r="I295" s="161">
        <f t="shared" si="37"/>
        <v>6.6666666666666666E-2</v>
      </c>
    </row>
    <row r="296" spans="1:9" x14ac:dyDescent="0.6">
      <c r="A296" s="124"/>
      <c r="B296" s="165" t="s">
        <v>4</v>
      </c>
      <c r="C296" s="166"/>
      <c r="D296" s="117"/>
      <c r="E296" s="117"/>
      <c r="F296" s="117"/>
      <c r="G296" s="117"/>
      <c r="H296" s="192">
        <f>SUM(H283:H292)</f>
        <v>6656.7193775100404</v>
      </c>
      <c r="I296" s="197">
        <f>SUM(I283:I295)</f>
        <v>3.4704400937081665</v>
      </c>
    </row>
    <row r="297" spans="1:9" x14ac:dyDescent="0.6">
      <c r="A297" s="124"/>
      <c r="B297" s="168" t="s">
        <v>14</v>
      </c>
      <c r="C297" s="43"/>
      <c r="D297" s="121"/>
      <c r="E297" s="121"/>
      <c r="F297" s="121"/>
      <c r="G297" s="121"/>
      <c r="H297" s="169">
        <f>H296/1</f>
        <v>6656.7193775100404</v>
      </c>
      <c r="I297" s="104"/>
    </row>
    <row r="298" spans="1:9" x14ac:dyDescent="0.6">
      <c r="A298" s="124"/>
      <c r="B298" s="168" t="s">
        <v>453</v>
      </c>
      <c r="C298" s="43"/>
      <c r="D298" s="121"/>
      <c r="E298" s="121"/>
      <c r="F298" s="121"/>
      <c r="G298" s="121"/>
      <c r="H298" s="104">
        <f>G280</f>
        <v>20000</v>
      </c>
      <c r="I298" s="104"/>
    </row>
    <row r="299" spans="1:9" x14ac:dyDescent="0.6">
      <c r="A299" s="124"/>
      <c r="B299" s="168" t="s">
        <v>455</v>
      </c>
      <c r="C299" s="43"/>
      <c r="D299" s="121"/>
      <c r="E299" s="121"/>
      <c r="F299" s="121"/>
      <c r="G299" s="121"/>
      <c r="H299" s="104">
        <f>H298/113.3%</f>
        <v>17652.250661959399</v>
      </c>
      <c r="I299" s="104"/>
    </row>
    <row r="300" spans="1:9" x14ac:dyDescent="0.6">
      <c r="A300" s="124"/>
      <c r="B300" s="168" t="s">
        <v>16</v>
      </c>
      <c r="C300" s="43"/>
      <c r="D300" s="121"/>
      <c r="E300" s="121"/>
      <c r="F300" s="121"/>
      <c r="G300" s="121"/>
      <c r="H300" s="588">
        <f>H297/H299</f>
        <v>0.3771031527359438</v>
      </c>
      <c r="I300" s="588"/>
    </row>
    <row r="301" spans="1:9" x14ac:dyDescent="0.6">
      <c r="A301" s="124"/>
      <c r="B301" s="168"/>
      <c r="C301" s="43"/>
      <c r="D301" s="121"/>
      <c r="E301" s="121"/>
      <c r="F301" s="121"/>
      <c r="G301" s="121"/>
      <c r="H301" s="169"/>
      <c r="I301" s="171"/>
    </row>
    <row r="302" spans="1:9" ht="21.75" thickBot="1" x14ac:dyDescent="0.65">
      <c r="A302" s="124"/>
      <c r="B302" s="172"/>
      <c r="C302" s="147"/>
      <c r="D302" s="58"/>
      <c r="E302" s="58"/>
      <c r="F302" s="58"/>
      <c r="G302" s="58"/>
      <c r="H302" s="173"/>
      <c r="I302" s="164"/>
    </row>
    <row r="304" spans="1:9" ht="21.75" thickBot="1" x14ac:dyDescent="0.65">
      <c r="A304" s="938" t="s">
        <v>0</v>
      </c>
      <c r="B304" s="938"/>
      <c r="C304" s="938"/>
      <c r="D304" s="938"/>
      <c r="E304" s="938"/>
      <c r="F304" s="938"/>
      <c r="G304" s="938"/>
      <c r="H304" s="938"/>
      <c r="I304" s="938"/>
    </row>
    <row r="305" spans="1:9" ht="21.75" thickBot="1" x14ac:dyDescent="0.65">
      <c r="A305" s="562" t="s">
        <v>722</v>
      </c>
      <c r="B305" s="771" t="s">
        <v>777</v>
      </c>
      <c r="C305" s="772"/>
      <c r="D305" s="772"/>
      <c r="E305" s="772"/>
      <c r="F305" s="772"/>
      <c r="G305" s="590" t="s">
        <v>1</v>
      </c>
      <c r="H305" s="541" t="s">
        <v>868</v>
      </c>
      <c r="I305" s="564" t="s">
        <v>595</v>
      </c>
    </row>
    <row r="306" spans="1:9" x14ac:dyDescent="0.6">
      <c r="A306" s="550">
        <v>12</v>
      </c>
      <c r="B306" s="539" t="s">
        <v>5</v>
      </c>
      <c r="C306" s="539" t="s">
        <v>4</v>
      </c>
      <c r="D306" s="540" t="s">
        <v>3</v>
      </c>
      <c r="E306" s="540" t="s">
        <v>613</v>
      </c>
      <c r="F306" s="540" t="s">
        <v>614</v>
      </c>
      <c r="G306" s="586" t="s">
        <v>510</v>
      </c>
      <c r="H306" s="543" t="s">
        <v>7</v>
      </c>
      <c r="I306" s="637">
        <f>I279</f>
        <v>45574</v>
      </c>
    </row>
    <row r="307" spans="1:9" ht="21.75" thickBot="1" x14ac:dyDescent="0.65">
      <c r="A307" s="551"/>
      <c r="B307" s="587"/>
      <c r="C307" s="552"/>
      <c r="D307" s="553">
        <v>1</v>
      </c>
      <c r="E307" s="553"/>
      <c r="F307" s="553"/>
      <c r="G307" s="653">
        <f>Summary!J51</f>
        <v>20000</v>
      </c>
      <c r="H307" s="554">
        <f>H328</f>
        <v>0.42667674301204828</v>
      </c>
      <c r="I307" s="555"/>
    </row>
    <row r="308" spans="1:9" ht="21.75" thickBot="1" x14ac:dyDescent="0.65">
      <c r="A308" s="124"/>
      <c r="B308" s="43"/>
      <c r="C308" s="124"/>
      <c r="D308" s="125"/>
      <c r="E308" s="125"/>
      <c r="F308" s="125"/>
      <c r="G308" s="125"/>
      <c r="H308" s="126"/>
      <c r="I308" s="124"/>
    </row>
    <row r="309" spans="1:9" x14ac:dyDescent="0.6">
      <c r="A309" s="194" t="s">
        <v>904</v>
      </c>
      <c r="B309" s="186" t="s">
        <v>10</v>
      </c>
      <c r="C309" s="166" t="s">
        <v>9</v>
      </c>
      <c r="D309" s="117" t="s">
        <v>8</v>
      </c>
      <c r="E309" s="117" t="s">
        <v>613</v>
      </c>
      <c r="F309" s="117" t="s">
        <v>614</v>
      </c>
      <c r="G309" s="117" t="s">
        <v>11</v>
      </c>
      <c r="H309" s="118" t="s">
        <v>12</v>
      </c>
      <c r="I309" s="195" t="s">
        <v>12</v>
      </c>
    </row>
    <row r="310" spans="1:9" x14ac:dyDescent="0.6">
      <c r="A310" s="144"/>
      <c r="B310" s="399" t="s">
        <v>772</v>
      </c>
      <c r="C310" s="400" t="s">
        <v>596</v>
      </c>
      <c r="D310" s="406">
        <v>0.1</v>
      </c>
      <c r="E310" s="86">
        <v>0.1</v>
      </c>
      <c r="F310" s="32">
        <f t="shared" ref="F310:F322" si="38">D310+D310*E310</f>
        <v>0.11000000000000001</v>
      </c>
      <c r="G310" s="35">
        <v>33000</v>
      </c>
      <c r="H310" s="68">
        <f t="shared" ref="H310:H323" si="39">F310*G310</f>
        <v>3630.0000000000005</v>
      </c>
      <c r="I310" s="161">
        <f t="shared" ref="I310:I319" si="40">H310/I$3</f>
        <v>1.7285714285714289</v>
      </c>
    </row>
    <row r="311" spans="1:9" x14ac:dyDescent="0.6">
      <c r="A311" s="141"/>
      <c r="B311" s="399" t="s">
        <v>601</v>
      </c>
      <c r="C311" s="400" t="s">
        <v>13</v>
      </c>
      <c r="D311" s="406">
        <v>0.2</v>
      </c>
      <c r="E311" s="86">
        <v>10</v>
      </c>
      <c r="F311" s="32">
        <f t="shared" si="38"/>
        <v>2.2000000000000002</v>
      </c>
      <c r="G311" s="143">
        <v>700</v>
      </c>
      <c r="H311" s="68">
        <f t="shared" si="39"/>
        <v>1540.0000000000002</v>
      </c>
      <c r="I311" s="161">
        <f t="shared" si="40"/>
        <v>0.73333333333333339</v>
      </c>
    </row>
    <row r="312" spans="1:9" x14ac:dyDescent="0.6">
      <c r="A312" s="144"/>
      <c r="B312" s="399" t="s">
        <v>602</v>
      </c>
      <c r="C312" s="400" t="s">
        <v>13</v>
      </c>
      <c r="D312" s="406">
        <v>0.1</v>
      </c>
      <c r="E312" s="86">
        <v>0.3</v>
      </c>
      <c r="F312" s="32">
        <f t="shared" si="38"/>
        <v>0.13</v>
      </c>
      <c r="G312" s="143">
        <v>1800</v>
      </c>
      <c r="H312" s="68">
        <f t="shared" si="39"/>
        <v>234</v>
      </c>
      <c r="I312" s="161">
        <f t="shared" si="40"/>
        <v>0.11142857142857143</v>
      </c>
    </row>
    <row r="313" spans="1:9" x14ac:dyDescent="0.6">
      <c r="A313" s="144"/>
      <c r="B313" s="399" t="s">
        <v>760</v>
      </c>
      <c r="C313" s="400" t="s">
        <v>596</v>
      </c>
      <c r="D313" s="406">
        <v>0.05</v>
      </c>
      <c r="E313" s="86">
        <v>0.1</v>
      </c>
      <c r="F313" s="32">
        <f t="shared" si="38"/>
        <v>5.5000000000000007E-2</v>
      </c>
      <c r="G313" s="143">
        <v>22000</v>
      </c>
      <c r="H313" s="68">
        <f t="shared" si="39"/>
        <v>1210.0000000000002</v>
      </c>
      <c r="I313" s="161">
        <f t="shared" si="40"/>
        <v>0.57619047619047625</v>
      </c>
    </row>
    <row r="314" spans="1:9" x14ac:dyDescent="0.6">
      <c r="A314" s="141"/>
      <c r="B314" s="399" t="s">
        <v>673</v>
      </c>
      <c r="C314" s="400" t="s">
        <v>596</v>
      </c>
      <c r="D314" s="406">
        <v>0.03</v>
      </c>
      <c r="E314" s="86">
        <v>0.2</v>
      </c>
      <c r="F314" s="32">
        <f t="shared" si="38"/>
        <v>3.5999999999999997E-2</v>
      </c>
      <c r="G314" s="143">
        <v>4500</v>
      </c>
      <c r="H314" s="68">
        <f t="shared" si="39"/>
        <v>162</v>
      </c>
      <c r="I314" s="161">
        <f t="shared" si="40"/>
        <v>7.7142857142857138E-2</v>
      </c>
    </row>
    <row r="315" spans="1:9" x14ac:dyDescent="0.6">
      <c r="A315" s="144"/>
      <c r="B315" s="399" t="s">
        <v>625</v>
      </c>
      <c r="C315" s="400" t="s">
        <v>596</v>
      </c>
      <c r="D315" s="406">
        <v>0.03</v>
      </c>
      <c r="E315" s="86">
        <v>0.3</v>
      </c>
      <c r="F315" s="32">
        <f t="shared" si="38"/>
        <v>3.9E-2</v>
      </c>
      <c r="G315" s="35">
        <v>7000</v>
      </c>
      <c r="H315" s="68">
        <f t="shared" si="39"/>
        <v>273</v>
      </c>
      <c r="I315" s="161">
        <f t="shared" si="40"/>
        <v>0.13</v>
      </c>
    </row>
    <row r="316" spans="1:9" x14ac:dyDescent="0.6">
      <c r="A316" s="253"/>
      <c r="B316" s="399" t="s">
        <v>692</v>
      </c>
      <c r="C316" s="400" t="s">
        <v>596</v>
      </c>
      <c r="D316" s="406">
        <v>0.01</v>
      </c>
      <c r="E316" s="86">
        <v>0.2</v>
      </c>
      <c r="F316" s="32">
        <f t="shared" si="38"/>
        <v>1.2E-2</v>
      </c>
      <c r="G316" s="162">
        <v>5000</v>
      </c>
      <c r="H316" s="68">
        <f t="shared" si="39"/>
        <v>60</v>
      </c>
      <c r="I316" s="161">
        <f t="shared" si="40"/>
        <v>2.8571428571428571E-2</v>
      </c>
    </row>
    <row r="317" spans="1:9" x14ac:dyDescent="0.6">
      <c r="A317" s="26"/>
      <c r="B317" s="399" t="s">
        <v>674</v>
      </c>
      <c r="C317" s="400" t="s">
        <v>596</v>
      </c>
      <c r="D317" s="406">
        <v>0.01</v>
      </c>
      <c r="E317" s="86">
        <v>0.2</v>
      </c>
      <c r="F317" s="32">
        <f t="shared" si="38"/>
        <v>1.2E-2</v>
      </c>
      <c r="G317" s="35">
        <v>21000</v>
      </c>
      <c r="H317" s="68">
        <f t="shared" si="39"/>
        <v>252</v>
      </c>
      <c r="I317" s="161">
        <f t="shared" si="40"/>
        <v>0.12</v>
      </c>
    </row>
    <row r="318" spans="1:9" x14ac:dyDescent="0.6">
      <c r="A318" s="26"/>
      <c r="B318" s="399" t="s">
        <v>612</v>
      </c>
      <c r="C318" s="400" t="s">
        <v>596</v>
      </c>
      <c r="D318" s="406">
        <v>0.01</v>
      </c>
      <c r="E318" s="86">
        <v>0.2</v>
      </c>
      <c r="F318" s="32">
        <f t="shared" si="38"/>
        <v>1.2E-2</v>
      </c>
      <c r="G318" s="35">
        <v>5800</v>
      </c>
      <c r="H318" s="68">
        <f t="shared" si="39"/>
        <v>69.600000000000009</v>
      </c>
      <c r="I318" s="161">
        <f t="shared" si="40"/>
        <v>3.3142857142857148E-2</v>
      </c>
    </row>
    <row r="319" spans="1:9" x14ac:dyDescent="0.6">
      <c r="A319" s="26"/>
      <c r="B319" s="399" t="s">
        <v>639</v>
      </c>
      <c r="C319" s="400" t="s">
        <v>459</v>
      </c>
      <c r="D319" s="406">
        <v>0.02</v>
      </c>
      <c r="E319" s="86">
        <v>0</v>
      </c>
      <c r="F319" s="32">
        <f t="shared" si="38"/>
        <v>0.02</v>
      </c>
      <c r="G319" s="143">
        <f>21000/4.15</f>
        <v>5060.2409638554209</v>
      </c>
      <c r="H319" s="68">
        <f t="shared" si="39"/>
        <v>101.20481927710841</v>
      </c>
      <c r="I319" s="161">
        <f t="shared" si="40"/>
        <v>4.8192771084337338E-2</v>
      </c>
    </row>
    <row r="320" spans="1:9" x14ac:dyDescent="0.6">
      <c r="A320" s="415"/>
      <c r="B320" s="399" t="s">
        <v>761</v>
      </c>
      <c r="C320" s="400" t="s">
        <v>459</v>
      </c>
      <c r="D320" s="406">
        <v>0.01</v>
      </c>
      <c r="E320" s="86">
        <v>0</v>
      </c>
      <c r="F320" s="32">
        <f t="shared" si="38"/>
        <v>0.01</v>
      </c>
      <c r="G320" s="162">
        <v>1800</v>
      </c>
      <c r="H320" s="68">
        <f t="shared" si="39"/>
        <v>18</v>
      </c>
      <c r="I320" s="161">
        <f t="shared" ref="I320:I323" si="41">H320/I$3</f>
        <v>8.5714285714285719E-3</v>
      </c>
    </row>
    <row r="321" spans="1:9" x14ac:dyDescent="0.6">
      <c r="A321" s="415"/>
      <c r="B321" s="399" t="s">
        <v>609</v>
      </c>
      <c r="C321" s="400" t="s">
        <v>463</v>
      </c>
      <c r="D321" s="406">
        <v>0.01</v>
      </c>
      <c r="E321" s="199">
        <v>0</v>
      </c>
      <c r="F321" s="177">
        <f t="shared" si="38"/>
        <v>0.01</v>
      </c>
      <c r="G321" s="162">
        <v>14000</v>
      </c>
      <c r="H321" s="68">
        <f t="shared" si="39"/>
        <v>140</v>
      </c>
      <c r="I321" s="161">
        <f t="shared" si="41"/>
        <v>6.6666666666666666E-2</v>
      </c>
    </row>
    <row r="322" spans="1:9" x14ac:dyDescent="0.6">
      <c r="A322" s="24"/>
      <c r="B322" s="396" t="s">
        <v>672</v>
      </c>
      <c r="C322" s="397" t="s">
        <v>596</v>
      </c>
      <c r="D322" s="408">
        <v>0.05</v>
      </c>
      <c r="E322" s="86">
        <v>0</v>
      </c>
      <c r="F322" s="25">
        <f t="shared" si="38"/>
        <v>0.05</v>
      </c>
      <c r="G322" s="35">
        <v>7800</v>
      </c>
      <c r="H322" s="122">
        <f t="shared" si="39"/>
        <v>390</v>
      </c>
      <c r="I322" s="161">
        <f t="shared" si="41"/>
        <v>0.18571428571428572</v>
      </c>
    </row>
    <row r="323" spans="1:9" ht="21.75" thickBot="1" x14ac:dyDescent="0.65">
      <c r="A323" s="254"/>
      <c r="B323" s="402" t="s">
        <v>705</v>
      </c>
      <c r="C323" s="403" t="s">
        <v>26</v>
      </c>
      <c r="D323" s="428">
        <v>0.5</v>
      </c>
      <c r="E323" s="496">
        <v>0</v>
      </c>
      <c r="F323" s="255">
        <v>0.5</v>
      </c>
      <c r="G323" s="256">
        <f>190000/24/8</f>
        <v>989.58333333333337</v>
      </c>
      <c r="H323" s="123">
        <f t="shared" si="39"/>
        <v>494.79166666666669</v>
      </c>
      <c r="I323" s="196">
        <f t="shared" si="41"/>
        <v>0.23561507936507936</v>
      </c>
    </row>
    <row r="324" spans="1:9" x14ac:dyDescent="0.6">
      <c r="A324" s="124"/>
      <c r="B324" s="421" t="s">
        <v>4</v>
      </c>
      <c r="C324" s="422"/>
      <c r="D324" s="423"/>
      <c r="E324" s="136"/>
      <c r="F324" s="187"/>
      <c r="G324" s="187"/>
      <c r="H324" s="68">
        <f>SUM(H310:H319)</f>
        <v>7531.8048192771093</v>
      </c>
      <c r="I324" s="495">
        <f>SUM(I310:I322)</f>
        <v>3.8475261044176712</v>
      </c>
    </row>
    <row r="325" spans="1:9" x14ac:dyDescent="0.6">
      <c r="A325" s="124"/>
      <c r="B325" s="29" t="s">
        <v>14</v>
      </c>
      <c r="C325" s="43"/>
      <c r="D325" s="121"/>
      <c r="E325" s="121"/>
      <c r="F325" s="121"/>
      <c r="G325" s="121"/>
      <c r="H325" s="122">
        <f>H324/1</f>
        <v>7531.8048192771093</v>
      </c>
      <c r="I325" s="121"/>
    </row>
    <row r="326" spans="1:9" x14ac:dyDescent="0.6">
      <c r="A326" s="124"/>
      <c r="B326" s="29" t="s">
        <v>453</v>
      </c>
      <c r="C326" s="43"/>
      <c r="D326" s="121"/>
      <c r="E326" s="121"/>
      <c r="F326" s="121"/>
      <c r="G326" s="121"/>
      <c r="H326" s="121">
        <f>G307</f>
        <v>20000</v>
      </c>
      <c r="I326" s="121"/>
    </row>
    <row r="327" spans="1:9" x14ac:dyDescent="0.6">
      <c r="A327" s="124"/>
      <c r="B327" s="29" t="s">
        <v>455</v>
      </c>
      <c r="C327" s="43"/>
      <c r="D327" s="121"/>
      <c r="E327" s="121"/>
      <c r="F327" s="121"/>
      <c r="G327" s="121"/>
      <c r="H327" s="121">
        <f>H326/113.3%</f>
        <v>17652.250661959399</v>
      </c>
      <c r="I327" s="121"/>
    </row>
    <row r="328" spans="1:9" x14ac:dyDescent="0.6">
      <c r="A328" s="124"/>
      <c r="B328" s="29" t="s">
        <v>16</v>
      </c>
      <c r="C328" s="43"/>
      <c r="D328" s="121"/>
      <c r="E328" s="121"/>
      <c r="F328" s="121"/>
      <c r="G328" s="121"/>
      <c r="H328" s="591">
        <f>H325/H327</f>
        <v>0.42667674301204828</v>
      </c>
      <c r="I328" s="591"/>
    </row>
    <row r="329" spans="1:9" x14ac:dyDescent="0.6">
      <c r="A329" s="124"/>
      <c r="B329" s="29"/>
      <c r="C329" s="43"/>
      <c r="D329" s="121"/>
      <c r="E329" s="121"/>
      <c r="F329" s="121"/>
      <c r="G329" s="121"/>
      <c r="H329" s="122"/>
      <c r="I329" s="43"/>
    </row>
    <row r="330" spans="1:9" x14ac:dyDescent="0.6">
      <c r="A330" s="124"/>
      <c r="B330" s="29"/>
      <c r="C330" s="43"/>
      <c r="D330" s="121"/>
      <c r="E330" s="121"/>
      <c r="F330" s="121"/>
      <c r="G330" s="121"/>
      <c r="H330" s="122"/>
      <c r="I330" s="43"/>
    </row>
    <row r="333" spans="1:9" ht="21.75" thickBot="1" x14ac:dyDescent="0.65">
      <c r="A333" s="938" t="s">
        <v>0</v>
      </c>
      <c r="B333" s="938"/>
      <c r="C333" s="938"/>
      <c r="D333" s="938"/>
      <c r="E333" s="938"/>
      <c r="F333" s="938"/>
      <c r="G333" s="938"/>
      <c r="H333" s="938"/>
      <c r="I333" s="938"/>
    </row>
    <row r="334" spans="1:9" ht="21.75" thickBot="1" x14ac:dyDescent="0.65">
      <c r="A334" s="562" t="s">
        <v>722</v>
      </c>
      <c r="B334" s="771" t="s">
        <v>778</v>
      </c>
      <c r="C334" s="772"/>
      <c r="D334" s="772"/>
      <c r="E334" s="772"/>
      <c r="F334" s="772"/>
      <c r="G334" s="590" t="s">
        <v>1</v>
      </c>
      <c r="H334" s="541" t="s">
        <v>868</v>
      </c>
      <c r="I334" s="564" t="s">
        <v>595</v>
      </c>
    </row>
    <row r="335" spans="1:9" x14ac:dyDescent="0.6">
      <c r="A335" s="550">
        <v>13</v>
      </c>
      <c r="B335" s="539" t="s">
        <v>5</v>
      </c>
      <c r="C335" s="539" t="s">
        <v>4</v>
      </c>
      <c r="D335" s="540" t="s">
        <v>3</v>
      </c>
      <c r="E335" s="540" t="s">
        <v>613</v>
      </c>
      <c r="F335" s="540" t="s">
        <v>614</v>
      </c>
      <c r="G335" s="586" t="s">
        <v>510</v>
      </c>
      <c r="H335" s="543" t="s">
        <v>7</v>
      </c>
      <c r="I335" s="637">
        <f>I306</f>
        <v>45574</v>
      </c>
    </row>
    <row r="336" spans="1:9" ht="21.75" thickBot="1" x14ac:dyDescent="0.65">
      <c r="A336" s="551"/>
      <c r="B336" s="587"/>
      <c r="C336" s="552"/>
      <c r="D336" s="553">
        <v>1</v>
      </c>
      <c r="E336" s="553"/>
      <c r="F336" s="553"/>
      <c r="G336" s="653">
        <f>Summary!J52</f>
        <v>20000</v>
      </c>
      <c r="H336" s="645">
        <f>H355</f>
        <v>0.42803559791666668</v>
      </c>
      <c r="I336" s="555"/>
    </row>
    <row r="337" spans="1:9" ht="21.75" thickBot="1" x14ac:dyDescent="0.65">
      <c r="A337" s="124"/>
      <c r="B337" s="43"/>
      <c r="C337" s="124"/>
      <c r="D337" s="125"/>
      <c r="E337" s="125"/>
      <c r="F337" s="125"/>
      <c r="G337" s="125"/>
      <c r="H337" s="126"/>
      <c r="I337" s="124"/>
    </row>
    <row r="338" spans="1:9" x14ac:dyDescent="0.6">
      <c r="A338" s="194" t="s">
        <v>904</v>
      </c>
      <c r="B338" s="186" t="s">
        <v>10</v>
      </c>
      <c r="C338" s="166" t="s">
        <v>9</v>
      </c>
      <c r="D338" s="117" t="s">
        <v>8</v>
      </c>
      <c r="E338" s="117" t="s">
        <v>613</v>
      </c>
      <c r="F338" s="117" t="s">
        <v>614</v>
      </c>
      <c r="G338" s="117" t="s">
        <v>11</v>
      </c>
      <c r="H338" s="118" t="s">
        <v>12</v>
      </c>
      <c r="I338" s="195" t="s">
        <v>12</v>
      </c>
    </row>
    <row r="339" spans="1:9" x14ac:dyDescent="0.6">
      <c r="A339" s="493">
        <v>1</v>
      </c>
      <c r="B339" s="405" t="s">
        <v>773</v>
      </c>
      <c r="C339" s="400" t="s">
        <v>596</v>
      </c>
      <c r="D339" s="406">
        <v>0.15</v>
      </c>
      <c r="E339" s="86">
        <v>0.1</v>
      </c>
      <c r="F339" s="32">
        <f t="shared" ref="F339:F349" si="42">D339+D339*E339</f>
        <v>0.16499999999999998</v>
      </c>
      <c r="G339" s="35">
        <v>26000</v>
      </c>
      <c r="H339" s="68">
        <f t="shared" ref="H339:H350" si="43">F339*G339</f>
        <v>4289.9999999999991</v>
      </c>
      <c r="I339" s="161">
        <f t="shared" ref="I339:I348" si="44">H339/I$3</f>
        <v>2.0428571428571423</v>
      </c>
    </row>
    <row r="340" spans="1:9" x14ac:dyDescent="0.6">
      <c r="A340" s="494">
        <v>2</v>
      </c>
      <c r="B340" s="405" t="s">
        <v>625</v>
      </c>
      <c r="C340" s="400" t="s">
        <v>463</v>
      </c>
      <c r="D340" s="406">
        <v>0.05</v>
      </c>
      <c r="E340" s="86">
        <v>0.3</v>
      </c>
      <c r="F340" s="32">
        <f t="shared" si="42"/>
        <v>6.5000000000000002E-2</v>
      </c>
      <c r="G340" s="143">
        <v>7000</v>
      </c>
      <c r="H340" s="68">
        <f t="shared" si="43"/>
        <v>455</v>
      </c>
      <c r="I340" s="161">
        <f t="shared" si="44"/>
        <v>0.21666666666666667</v>
      </c>
    </row>
    <row r="341" spans="1:9" x14ac:dyDescent="0.6">
      <c r="A341" s="493">
        <v>3</v>
      </c>
      <c r="B341" s="405" t="s">
        <v>673</v>
      </c>
      <c r="C341" s="400" t="s">
        <v>596</v>
      </c>
      <c r="D341" s="406">
        <v>0.05</v>
      </c>
      <c r="E341" s="86">
        <v>0.2</v>
      </c>
      <c r="F341" s="32">
        <f t="shared" si="42"/>
        <v>6.0000000000000005E-2</v>
      </c>
      <c r="G341" s="143">
        <v>4500</v>
      </c>
      <c r="H341" s="68">
        <f t="shared" si="43"/>
        <v>270</v>
      </c>
      <c r="I341" s="161">
        <f t="shared" si="44"/>
        <v>0.12857142857142856</v>
      </c>
    </row>
    <row r="342" spans="1:9" x14ac:dyDescent="0.6">
      <c r="A342" s="494">
        <v>4</v>
      </c>
      <c r="B342" s="405" t="s">
        <v>674</v>
      </c>
      <c r="C342" s="400" t="s">
        <v>596</v>
      </c>
      <c r="D342" s="406">
        <v>0.03</v>
      </c>
      <c r="E342" s="86">
        <v>0.2</v>
      </c>
      <c r="F342" s="32">
        <f t="shared" si="42"/>
        <v>3.5999999999999997E-2</v>
      </c>
      <c r="G342" s="143">
        <v>21000</v>
      </c>
      <c r="H342" s="68">
        <f t="shared" si="43"/>
        <v>755.99999999999989</v>
      </c>
      <c r="I342" s="161">
        <f t="shared" si="44"/>
        <v>0.35999999999999993</v>
      </c>
    </row>
    <row r="343" spans="1:9" x14ac:dyDescent="0.6">
      <c r="A343" s="493">
        <v>5</v>
      </c>
      <c r="B343" s="405" t="s">
        <v>692</v>
      </c>
      <c r="C343" s="400" t="s">
        <v>596</v>
      </c>
      <c r="D343" s="406">
        <v>0.02</v>
      </c>
      <c r="E343" s="86">
        <v>0.2</v>
      </c>
      <c r="F343" s="32">
        <f t="shared" si="42"/>
        <v>2.4E-2</v>
      </c>
      <c r="G343" s="143">
        <v>5000</v>
      </c>
      <c r="H343" s="68">
        <f t="shared" si="43"/>
        <v>120</v>
      </c>
      <c r="I343" s="161">
        <f t="shared" si="44"/>
        <v>5.7142857142857141E-2</v>
      </c>
    </row>
    <row r="344" spans="1:9" x14ac:dyDescent="0.6">
      <c r="A344" s="494">
        <v>6</v>
      </c>
      <c r="B344" s="405" t="s">
        <v>644</v>
      </c>
      <c r="C344" s="400" t="s">
        <v>596</v>
      </c>
      <c r="D344" s="406">
        <v>0.01</v>
      </c>
      <c r="E344" s="86">
        <v>0</v>
      </c>
      <c r="F344" s="32">
        <f t="shared" si="42"/>
        <v>0.01</v>
      </c>
      <c r="G344" s="35">
        <v>10000</v>
      </c>
      <c r="H344" s="68">
        <f t="shared" si="43"/>
        <v>100</v>
      </c>
      <c r="I344" s="161">
        <f t="shared" si="44"/>
        <v>4.7619047619047616E-2</v>
      </c>
    </row>
    <row r="345" spans="1:9" x14ac:dyDescent="0.6">
      <c r="A345" s="493">
        <v>7</v>
      </c>
      <c r="B345" s="405" t="s">
        <v>709</v>
      </c>
      <c r="C345" s="400" t="s">
        <v>13</v>
      </c>
      <c r="D345" s="406">
        <v>1</v>
      </c>
      <c r="E345" s="86">
        <v>0</v>
      </c>
      <c r="F345" s="32">
        <f t="shared" si="42"/>
        <v>1</v>
      </c>
      <c r="G345" s="162">
        <v>200</v>
      </c>
      <c r="H345" s="68">
        <f t="shared" si="43"/>
        <v>200</v>
      </c>
      <c r="I345" s="161">
        <f t="shared" si="44"/>
        <v>9.5238095238095233E-2</v>
      </c>
    </row>
    <row r="346" spans="1:9" x14ac:dyDescent="0.6">
      <c r="A346" s="494">
        <v>8</v>
      </c>
      <c r="B346" s="405" t="s">
        <v>622</v>
      </c>
      <c r="C346" s="400" t="s">
        <v>596</v>
      </c>
      <c r="D346" s="406">
        <v>0.02</v>
      </c>
      <c r="E346" s="86">
        <v>0</v>
      </c>
      <c r="F346" s="32">
        <f t="shared" si="42"/>
        <v>0.02</v>
      </c>
      <c r="G346" s="35">
        <v>24000</v>
      </c>
      <c r="H346" s="68">
        <f t="shared" si="43"/>
        <v>480</v>
      </c>
      <c r="I346" s="161">
        <f t="shared" si="44"/>
        <v>0.22857142857142856</v>
      </c>
    </row>
    <row r="347" spans="1:9" x14ac:dyDescent="0.6">
      <c r="A347" s="493">
        <v>9</v>
      </c>
      <c r="B347" s="405" t="s">
        <v>705</v>
      </c>
      <c r="C347" s="400" t="s">
        <v>26</v>
      </c>
      <c r="D347" s="406">
        <v>0.5</v>
      </c>
      <c r="E347" s="86">
        <v>0</v>
      </c>
      <c r="F347" s="32">
        <f t="shared" si="42"/>
        <v>0.5</v>
      </c>
      <c r="G347" s="35">
        <f>190000/24/8</f>
        <v>989.58333333333337</v>
      </c>
      <c r="H347" s="68">
        <f t="shared" si="43"/>
        <v>494.79166666666669</v>
      </c>
      <c r="I347" s="161">
        <f t="shared" si="44"/>
        <v>0.23561507936507936</v>
      </c>
    </row>
    <row r="348" spans="1:9" x14ac:dyDescent="0.6">
      <c r="A348" s="494">
        <v>10</v>
      </c>
      <c r="B348" s="405" t="s">
        <v>672</v>
      </c>
      <c r="C348" s="400" t="s">
        <v>596</v>
      </c>
      <c r="D348" s="406">
        <v>0.05</v>
      </c>
      <c r="E348" s="86">
        <v>0</v>
      </c>
      <c r="F348" s="32">
        <f t="shared" si="42"/>
        <v>0.05</v>
      </c>
      <c r="G348" s="143">
        <v>7800</v>
      </c>
      <c r="H348" s="68">
        <f t="shared" si="43"/>
        <v>390</v>
      </c>
      <c r="I348" s="161">
        <f t="shared" si="44"/>
        <v>0.18571428571428572</v>
      </c>
    </row>
    <row r="349" spans="1:9" x14ac:dyDescent="0.6">
      <c r="A349" s="493">
        <v>11</v>
      </c>
      <c r="B349" s="396" t="s">
        <v>719</v>
      </c>
      <c r="C349" s="397" t="s">
        <v>459</v>
      </c>
      <c r="D349" s="398">
        <v>0.01</v>
      </c>
      <c r="E349" s="86">
        <v>0</v>
      </c>
      <c r="F349" s="32">
        <f t="shared" si="42"/>
        <v>0.01</v>
      </c>
      <c r="G349" s="162">
        <f>42000/4.15</f>
        <v>10120.481927710842</v>
      </c>
      <c r="H349" s="68">
        <f t="shared" si="43"/>
        <v>101.20481927710841</v>
      </c>
      <c r="I349" s="161">
        <f t="shared" ref="I349:I350" si="45">H349/I$3</f>
        <v>4.8192771084337338E-2</v>
      </c>
    </row>
    <row r="350" spans="1:9" ht="21.75" thickBot="1" x14ac:dyDescent="0.65">
      <c r="A350" s="644">
        <v>12</v>
      </c>
      <c r="B350" s="402" t="s">
        <v>609</v>
      </c>
      <c r="C350" s="403" t="s">
        <v>463</v>
      </c>
      <c r="D350" s="404">
        <v>0.01</v>
      </c>
      <c r="E350" s="394">
        <v>0</v>
      </c>
      <c r="F350" s="255">
        <v>0.01</v>
      </c>
      <c r="G350" s="498">
        <v>14000</v>
      </c>
      <c r="H350" s="123">
        <f t="shared" si="43"/>
        <v>140</v>
      </c>
      <c r="I350" s="196">
        <f t="shared" si="45"/>
        <v>6.6666666666666666E-2</v>
      </c>
    </row>
    <row r="351" spans="1:9" x14ac:dyDescent="0.6">
      <c r="A351" s="124"/>
      <c r="B351" s="421" t="s">
        <v>4</v>
      </c>
      <c r="C351" s="422"/>
      <c r="D351" s="423"/>
      <c r="E351" s="187"/>
      <c r="F351" s="187"/>
      <c r="G351" s="187"/>
      <c r="H351" s="167">
        <f>SUM(H339:H348)</f>
        <v>7555.7916666666661</v>
      </c>
      <c r="I351" s="160">
        <f>SUM(I339:I350)</f>
        <v>3.7128554694970353</v>
      </c>
    </row>
    <row r="352" spans="1:9" x14ac:dyDescent="0.6">
      <c r="A352" s="124"/>
      <c r="B352" s="168" t="s">
        <v>14</v>
      </c>
      <c r="C352" s="43"/>
      <c r="D352" s="121"/>
      <c r="E352" s="121"/>
      <c r="F352" s="121"/>
      <c r="G352" s="121"/>
      <c r="H352" s="169">
        <f>H351/1</f>
        <v>7555.7916666666661</v>
      </c>
      <c r="I352" s="104"/>
    </row>
    <row r="353" spans="1:9" x14ac:dyDescent="0.6">
      <c r="A353" s="124"/>
      <c r="B353" s="168" t="s">
        <v>453</v>
      </c>
      <c r="C353" s="43"/>
      <c r="D353" s="121"/>
      <c r="E353" s="121"/>
      <c r="F353" s="121"/>
      <c r="G353" s="121"/>
      <c r="H353" s="104">
        <f>G336</f>
        <v>20000</v>
      </c>
      <c r="I353" s="104"/>
    </row>
    <row r="354" spans="1:9" x14ac:dyDescent="0.6">
      <c r="A354" s="124"/>
      <c r="B354" s="168" t="s">
        <v>455</v>
      </c>
      <c r="C354" s="43"/>
      <c r="D354" s="121"/>
      <c r="E354" s="121"/>
      <c r="F354" s="121"/>
      <c r="G354" s="121"/>
      <c r="H354" s="104">
        <f>H353/113.3%</f>
        <v>17652.250661959399</v>
      </c>
      <c r="I354" s="104"/>
    </row>
    <row r="355" spans="1:9" x14ac:dyDescent="0.6">
      <c r="A355" s="124"/>
      <c r="B355" s="168" t="s">
        <v>16</v>
      </c>
      <c r="C355" s="43"/>
      <c r="D355" s="121"/>
      <c r="E355" s="121"/>
      <c r="F355" s="121"/>
      <c r="G355" s="121"/>
      <c r="H355" s="489">
        <f>H352/H354</f>
        <v>0.42803559791666668</v>
      </c>
      <c r="I355" s="489"/>
    </row>
    <row r="356" spans="1:9" x14ac:dyDescent="0.6">
      <c r="A356" s="124"/>
      <c r="B356" s="168"/>
      <c r="C356" s="43"/>
      <c r="D356" s="121"/>
      <c r="E356" s="121"/>
      <c r="F356" s="121"/>
      <c r="G356" s="121"/>
      <c r="H356" s="169"/>
      <c r="I356" s="171"/>
    </row>
    <row r="357" spans="1:9" ht="21.75" thickBot="1" x14ac:dyDescent="0.65">
      <c r="A357" s="124"/>
      <c r="B357" s="172"/>
      <c r="C357" s="147"/>
      <c r="D357" s="58"/>
      <c r="E357" s="58"/>
      <c r="F357" s="58"/>
      <c r="G357" s="58"/>
      <c r="H357" s="173"/>
      <c r="I357" s="164"/>
    </row>
    <row r="360" spans="1:9" ht="21.75" thickBot="1" x14ac:dyDescent="0.65">
      <c r="A360" s="938" t="s">
        <v>0</v>
      </c>
      <c r="B360" s="938"/>
      <c r="C360" s="938"/>
      <c r="D360" s="938"/>
      <c r="E360" s="938"/>
      <c r="F360" s="938"/>
      <c r="G360" s="938"/>
      <c r="H360" s="938"/>
      <c r="I360" s="938"/>
    </row>
    <row r="361" spans="1:9" ht="21.75" thickBot="1" x14ac:dyDescent="0.65">
      <c r="A361" s="562" t="s">
        <v>722</v>
      </c>
      <c r="B361" s="771" t="s">
        <v>779</v>
      </c>
      <c r="C361" s="772"/>
      <c r="D361" s="772"/>
      <c r="E361" s="772"/>
      <c r="F361" s="772"/>
      <c r="G361" s="590" t="s">
        <v>1</v>
      </c>
      <c r="H361" s="541" t="s">
        <v>868</v>
      </c>
      <c r="I361" s="564" t="s">
        <v>595</v>
      </c>
    </row>
    <row r="362" spans="1:9" x14ac:dyDescent="0.6">
      <c r="A362" s="550">
        <v>14</v>
      </c>
      <c r="B362" s="539" t="s">
        <v>5</v>
      </c>
      <c r="C362" s="539" t="s">
        <v>4</v>
      </c>
      <c r="D362" s="540" t="s">
        <v>3</v>
      </c>
      <c r="E362" s="540" t="s">
        <v>613</v>
      </c>
      <c r="F362" s="540" t="s">
        <v>614</v>
      </c>
      <c r="G362" s="586" t="s">
        <v>510</v>
      </c>
      <c r="H362" s="543" t="s">
        <v>7</v>
      </c>
      <c r="I362" s="637">
        <f>I335</f>
        <v>45574</v>
      </c>
    </row>
    <row r="363" spans="1:9" ht="21.75" thickBot="1" x14ac:dyDescent="0.65">
      <c r="A363" s="551"/>
      <c r="B363" s="587"/>
      <c r="C363" s="552"/>
      <c r="D363" s="553">
        <v>1</v>
      </c>
      <c r="E363" s="553"/>
      <c r="F363" s="553"/>
      <c r="G363" s="553">
        <f>Summary!J53</f>
        <v>30000</v>
      </c>
      <c r="H363" s="633">
        <f>H384</f>
        <v>0.35155101666666677</v>
      </c>
      <c r="I363" s="555"/>
    </row>
    <row r="364" spans="1:9" ht="21.75" thickBot="1" x14ac:dyDescent="0.65">
      <c r="A364" s="124"/>
      <c r="B364" s="43"/>
      <c r="C364" s="124"/>
      <c r="D364" s="125"/>
      <c r="E364" s="125"/>
      <c r="F364" s="125"/>
      <c r="G364" s="125"/>
      <c r="H364" s="126"/>
      <c r="I364" s="124"/>
    </row>
    <row r="365" spans="1:9" x14ac:dyDescent="0.6">
      <c r="A365" s="194" t="s">
        <v>605</v>
      </c>
      <c r="B365" s="186" t="s">
        <v>10</v>
      </c>
      <c r="C365" s="166" t="s">
        <v>9</v>
      </c>
      <c r="D365" s="117" t="s">
        <v>8</v>
      </c>
      <c r="E365" s="117" t="s">
        <v>613</v>
      </c>
      <c r="F365" s="117" t="s">
        <v>614</v>
      </c>
      <c r="G365" s="117" t="s">
        <v>11</v>
      </c>
      <c r="H365" s="118" t="s">
        <v>12</v>
      </c>
      <c r="I365" s="195" t="s">
        <v>12</v>
      </c>
    </row>
    <row r="366" spans="1:9" x14ac:dyDescent="0.6">
      <c r="A366" s="144" t="s">
        <v>514</v>
      </c>
      <c r="B366" s="417" t="s">
        <v>780</v>
      </c>
      <c r="C366" s="418" t="s">
        <v>471</v>
      </c>
      <c r="D366" s="419">
        <v>0.2</v>
      </c>
      <c r="E366" s="86">
        <v>0.1</v>
      </c>
      <c r="F366" s="32">
        <f t="shared" ref="F366:F379" si="46">D366+D366*E366</f>
        <v>0.22000000000000003</v>
      </c>
      <c r="G366" s="35">
        <v>26000</v>
      </c>
      <c r="H366" s="68">
        <f t="shared" ref="H366:H379" si="47">F366*G366</f>
        <v>5720.0000000000009</v>
      </c>
      <c r="I366" s="161">
        <f t="shared" ref="I366:I376" si="48">H366/I$3</f>
        <v>2.7238095238095243</v>
      </c>
    </row>
    <row r="367" spans="1:9" x14ac:dyDescent="0.6">
      <c r="A367" s="141" t="s">
        <v>484</v>
      </c>
      <c r="B367" s="399" t="s">
        <v>673</v>
      </c>
      <c r="C367" s="400" t="s">
        <v>471</v>
      </c>
      <c r="D367" s="398">
        <v>0.05</v>
      </c>
      <c r="E367" s="86">
        <v>0.2</v>
      </c>
      <c r="F367" s="32">
        <f t="shared" si="46"/>
        <v>6.0000000000000005E-2</v>
      </c>
      <c r="G367" s="143">
        <v>4500</v>
      </c>
      <c r="H367" s="68">
        <f t="shared" si="47"/>
        <v>270</v>
      </c>
      <c r="I367" s="161">
        <f t="shared" si="48"/>
        <v>0.12857142857142856</v>
      </c>
    </row>
    <row r="368" spans="1:9" x14ac:dyDescent="0.6">
      <c r="A368" s="144" t="s">
        <v>588</v>
      </c>
      <c r="B368" s="399" t="s">
        <v>692</v>
      </c>
      <c r="C368" s="400" t="s">
        <v>471</v>
      </c>
      <c r="D368" s="398">
        <v>0.02</v>
      </c>
      <c r="E368" s="86">
        <v>0.2</v>
      </c>
      <c r="F368" s="32">
        <f t="shared" si="46"/>
        <v>2.4E-2</v>
      </c>
      <c r="G368" s="143">
        <v>5000</v>
      </c>
      <c r="H368" s="68">
        <f t="shared" si="47"/>
        <v>120</v>
      </c>
      <c r="I368" s="161">
        <f t="shared" si="48"/>
        <v>5.7142857142857141E-2</v>
      </c>
    </row>
    <row r="369" spans="1:9" x14ac:dyDescent="0.6">
      <c r="A369" s="144" t="s">
        <v>501</v>
      </c>
      <c r="B369" s="399" t="s">
        <v>674</v>
      </c>
      <c r="C369" s="400" t="s">
        <v>471</v>
      </c>
      <c r="D369" s="398">
        <v>0.05</v>
      </c>
      <c r="E369" s="86">
        <v>0.2</v>
      </c>
      <c r="F369" s="32">
        <f t="shared" si="46"/>
        <v>6.0000000000000005E-2</v>
      </c>
      <c r="G369" s="143">
        <v>21000</v>
      </c>
      <c r="H369" s="68">
        <f t="shared" si="47"/>
        <v>1260</v>
      </c>
      <c r="I369" s="161">
        <f t="shared" si="48"/>
        <v>0.6</v>
      </c>
    </row>
    <row r="370" spans="1:9" x14ac:dyDescent="0.6">
      <c r="A370" s="141" t="s">
        <v>499</v>
      </c>
      <c r="B370" s="399" t="s">
        <v>662</v>
      </c>
      <c r="C370" s="400" t="s">
        <v>20</v>
      </c>
      <c r="D370" s="398">
        <v>0.1</v>
      </c>
      <c r="E370" s="86">
        <v>0.1</v>
      </c>
      <c r="F370" s="32">
        <f t="shared" si="46"/>
        <v>0.11000000000000001</v>
      </c>
      <c r="G370" s="143">
        <v>400</v>
      </c>
      <c r="H370" s="68">
        <f t="shared" si="47"/>
        <v>44.000000000000007</v>
      </c>
      <c r="I370" s="161">
        <f t="shared" si="48"/>
        <v>2.0952380952380955E-2</v>
      </c>
    </row>
    <row r="371" spans="1:9" x14ac:dyDescent="0.6">
      <c r="A371" s="144" t="s">
        <v>503</v>
      </c>
      <c r="B371" s="399" t="s">
        <v>622</v>
      </c>
      <c r="C371" s="400" t="s">
        <v>471</v>
      </c>
      <c r="D371" s="398">
        <v>0.02</v>
      </c>
      <c r="E371" s="86">
        <v>0</v>
      </c>
      <c r="F371" s="32">
        <f t="shared" si="46"/>
        <v>0.02</v>
      </c>
      <c r="G371" s="35">
        <v>24000</v>
      </c>
      <c r="H371" s="68">
        <f t="shared" si="47"/>
        <v>480</v>
      </c>
      <c r="I371" s="161">
        <f t="shared" si="48"/>
        <v>0.22857142857142856</v>
      </c>
    </row>
    <row r="372" spans="1:9" x14ac:dyDescent="0.6">
      <c r="A372" s="253"/>
      <c r="B372" s="399" t="s">
        <v>747</v>
      </c>
      <c r="C372" s="400" t="s">
        <v>459</v>
      </c>
      <c r="D372" s="398">
        <v>0.05</v>
      </c>
      <c r="E372" s="86">
        <v>0.08</v>
      </c>
      <c r="F372" s="32">
        <f t="shared" si="46"/>
        <v>5.4000000000000006E-2</v>
      </c>
      <c r="G372" s="162">
        <v>8500</v>
      </c>
      <c r="H372" s="68">
        <f t="shared" si="47"/>
        <v>459.00000000000006</v>
      </c>
      <c r="I372" s="161">
        <f t="shared" si="48"/>
        <v>0.21857142857142861</v>
      </c>
    </row>
    <row r="373" spans="1:9" x14ac:dyDescent="0.6">
      <c r="A373" s="26"/>
      <c r="B373" s="399" t="s">
        <v>620</v>
      </c>
      <c r="C373" s="400" t="s">
        <v>20</v>
      </c>
      <c r="D373" s="398">
        <v>0.1</v>
      </c>
      <c r="E373" s="86">
        <v>0.05</v>
      </c>
      <c r="F373" s="32">
        <f t="shared" si="46"/>
        <v>0.10500000000000001</v>
      </c>
      <c r="G373" s="35">
        <v>300</v>
      </c>
      <c r="H373" s="68">
        <f t="shared" si="47"/>
        <v>31.500000000000004</v>
      </c>
      <c r="I373" s="161">
        <f t="shared" si="48"/>
        <v>1.5000000000000001E-2</v>
      </c>
    </row>
    <row r="374" spans="1:9" x14ac:dyDescent="0.6">
      <c r="A374" s="26"/>
      <c r="B374" s="399" t="s">
        <v>709</v>
      </c>
      <c r="C374" s="400" t="s">
        <v>19</v>
      </c>
      <c r="D374" s="398">
        <v>2</v>
      </c>
      <c r="E374" s="86">
        <v>0</v>
      </c>
      <c r="F374" s="32">
        <f t="shared" si="46"/>
        <v>2</v>
      </c>
      <c r="G374" s="35">
        <v>200</v>
      </c>
      <c r="H374" s="68">
        <f t="shared" si="47"/>
        <v>400</v>
      </c>
      <c r="I374" s="161">
        <f t="shared" si="48"/>
        <v>0.19047619047619047</v>
      </c>
    </row>
    <row r="375" spans="1:9" x14ac:dyDescent="0.6">
      <c r="A375" s="26"/>
      <c r="B375" s="399" t="s">
        <v>652</v>
      </c>
      <c r="C375" s="400" t="s">
        <v>471</v>
      </c>
      <c r="D375" s="406">
        <v>0.05</v>
      </c>
      <c r="E375" s="86">
        <v>0</v>
      </c>
      <c r="F375" s="32">
        <f t="shared" si="46"/>
        <v>0.05</v>
      </c>
      <c r="G375" s="143">
        <v>7000</v>
      </c>
      <c r="H375" s="68">
        <f t="shared" si="47"/>
        <v>350</v>
      </c>
      <c r="I375" s="161">
        <f t="shared" si="48"/>
        <v>0.16666666666666666</v>
      </c>
    </row>
    <row r="376" spans="1:9" x14ac:dyDescent="0.6">
      <c r="A376" s="415"/>
      <c r="B376" s="399" t="s">
        <v>612</v>
      </c>
      <c r="C376" s="400" t="s">
        <v>471</v>
      </c>
      <c r="D376" s="406">
        <v>0.03</v>
      </c>
      <c r="E376" s="86">
        <v>0</v>
      </c>
      <c r="F376" s="32">
        <f t="shared" si="46"/>
        <v>0.03</v>
      </c>
      <c r="G376" s="162">
        <v>5800</v>
      </c>
      <c r="H376" s="122">
        <f t="shared" si="47"/>
        <v>174</v>
      </c>
      <c r="I376" s="163">
        <f t="shared" si="48"/>
        <v>8.2857142857142851E-2</v>
      </c>
    </row>
    <row r="377" spans="1:9" x14ac:dyDescent="0.6">
      <c r="A377" s="415"/>
      <c r="B377" s="399" t="s">
        <v>719</v>
      </c>
      <c r="C377" s="400" t="s">
        <v>459</v>
      </c>
      <c r="D377" s="406">
        <v>0.01</v>
      </c>
      <c r="E377" s="86">
        <v>0</v>
      </c>
      <c r="F377" s="32">
        <f t="shared" si="46"/>
        <v>0.01</v>
      </c>
      <c r="G377" s="162">
        <f>42000/4.15</f>
        <v>10120.481927710842</v>
      </c>
      <c r="H377" s="122">
        <f t="shared" si="47"/>
        <v>101.20481927710841</v>
      </c>
      <c r="I377" s="163">
        <f t="shared" ref="I377:I379" si="49">H377/I$3</f>
        <v>4.8192771084337338E-2</v>
      </c>
    </row>
    <row r="378" spans="1:9" x14ac:dyDescent="0.6">
      <c r="A378" s="415"/>
      <c r="B378" s="399" t="s">
        <v>609</v>
      </c>
      <c r="C378" s="400" t="s">
        <v>463</v>
      </c>
      <c r="D378" s="406">
        <v>0.01</v>
      </c>
      <c r="E378" s="86">
        <v>0</v>
      </c>
      <c r="F378" s="32">
        <f t="shared" si="46"/>
        <v>0.01</v>
      </c>
      <c r="G378" s="162">
        <v>14000</v>
      </c>
      <c r="H378" s="122">
        <f t="shared" si="47"/>
        <v>140</v>
      </c>
      <c r="I378" s="163">
        <f t="shared" si="49"/>
        <v>6.6666666666666666E-2</v>
      </c>
    </row>
    <row r="379" spans="1:9" ht="21.75" thickBot="1" x14ac:dyDescent="0.65">
      <c r="A379" s="497"/>
      <c r="B379" s="402" t="s">
        <v>705</v>
      </c>
      <c r="C379" s="403" t="s">
        <v>26</v>
      </c>
      <c r="D379" s="428">
        <v>0.5</v>
      </c>
      <c r="E379" s="496">
        <v>0</v>
      </c>
      <c r="F379" s="255">
        <f t="shared" si="46"/>
        <v>0.5</v>
      </c>
      <c r="G379" s="498">
        <f>190000/24/8</f>
        <v>989.58333333333337</v>
      </c>
      <c r="H379" s="123">
        <f t="shared" si="47"/>
        <v>494.79166666666669</v>
      </c>
      <c r="I379" s="196">
        <f t="shared" si="49"/>
        <v>0.23561507936507936</v>
      </c>
    </row>
    <row r="380" spans="1:9" x14ac:dyDescent="0.6">
      <c r="A380" s="124"/>
      <c r="B380" s="421" t="s">
        <v>4</v>
      </c>
      <c r="C380" s="422"/>
      <c r="D380" s="423"/>
      <c r="E380" s="187"/>
      <c r="F380" s="187"/>
      <c r="G380" s="187"/>
      <c r="H380" s="167">
        <f>SUM(H366:H376)</f>
        <v>9308.5000000000018</v>
      </c>
      <c r="I380" s="160">
        <f>SUM(I366:I379)</f>
        <v>4.7830935647351307</v>
      </c>
    </row>
    <row r="381" spans="1:9" x14ac:dyDescent="0.6">
      <c r="A381" s="124"/>
      <c r="B381" s="168" t="s">
        <v>14</v>
      </c>
      <c r="C381" s="43"/>
      <c r="D381" s="121"/>
      <c r="E381" s="121"/>
      <c r="F381" s="121"/>
      <c r="G381" s="121"/>
      <c r="H381" s="169">
        <f>H380/1</f>
        <v>9308.5000000000018</v>
      </c>
      <c r="I381" s="104"/>
    </row>
    <row r="382" spans="1:9" x14ac:dyDescent="0.6">
      <c r="A382" s="124"/>
      <c r="B382" s="168" t="s">
        <v>453</v>
      </c>
      <c r="C382" s="43"/>
      <c r="D382" s="121"/>
      <c r="E382" s="121"/>
      <c r="F382" s="121"/>
      <c r="G382" s="121"/>
      <c r="H382" s="104">
        <f>G363</f>
        <v>30000</v>
      </c>
      <c r="I382" s="104"/>
    </row>
    <row r="383" spans="1:9" x14ac:dyDescent="0.6">
      <c r="A383" s="124"/>
      <c r="B383" s="168" t="s">
        <v>455</v>
      </c>
      <c r="C383" s="43"/>
      <c r="D383" s="121"/>
      <c r="E383" s="121"/>
      <c r="F383" s="121"/>
      <c r="G383" s="121"/>
      <c r="H383" s="104">
        <f>H382/113.3%</f>
        <v>26478.375992939098</v>
      </c>
      <c r="I383" s="104"/>
    </row>
    <row r="384" spans="1:9" x14ac:dyDescent="0.6">
      <c r="A384" s="124"/>
      <c r="B384" s="168" t="s">
        <v>16</v>
      </c>
      <c r="C384" s="43"/>
      <c r="D384" s="121"/>
      <c r="E384" s="121"/>
      <c r="F384" s="121"/>
      <c r="G384" s="121"/>
      <c r="H384" s="588">
        <f>H381/H383</f>
        <v>0.35155101666666677</v>
      </c>
      <c r="I384" s="588"/>
    </row>
    <row r="385" spans="1:9" x14ac:dyDescent="0.6">
      <c r="A385" s="124"/>
      <c r="B385" s="168"/>
      <c r="C385" s="43"/>
      <c r="D385" s="121"/>
      <c r="E385" s="121"/>
      <c r="F385" s="121"/>
      <c r="G385" s="121"/>
      <c r="H385" s="169"/>
      <c r="I385" s="171"/>
    </row>
    <row r="386" spans="1:9" ht="21.75" thickBot="1" x14ac:dyDescent="0.65">
      <c r="A386" s="124"/>
      <c r="B386" s="172"/>
      <c r="C386" s="147"/>
      <c r="D386" s="58"/>
      <c r="E386" s="58"/>
      <c r="F386" s="58"/>
      <c r="G386" s="58"/>
      <c r="H386" s="173"/>
      <c r="I386" s="164"/>
    </row>
    <row r="389" spans="1:9" ht="21.75" thickBot="1" x14ac:dyDescent="0.65">
      <c r="A389" s="938" t="s">
        <v>0</v>
      </c>
      <c r="B389" s="938"/>
      <c r="C389" s="938"/>
      <c r="D389" s="938"/>
      <c r="E389" s="938"/>
      <c r="F389" s="938"/>
      <c r="G389" s="938"/>
      <c r="H389" s="938"/>
      <c r="I389" s="938"/>
    </row>
    <row r="390" spans="1:9" ht="21.75" thickBot="1" x14ac:dyDescent="0.65">
      <c r="A390" s="562" t="s">
        <v>722</v>
      </c>
      <c r="B390" s="771" t="s">
        <v>781</v>
      </c>
      <c r="C390" s="772"/>
      <c r="D390" s="772"/>
      <c r="E390" s="772"/>
      <c r="F390" s="772"/>
      <c r="G390" s="590" t="s">
        <v>1</v>
      </c>
      <c r="H390" s="541" t="s">
        <v>868</v>
      </c>
      <c r="I390" s="564" t="s">
        <v>595</v>
      </c>
    </row>
    <row r="391" spans="1:9" x14ac:dyDescent="0.6">
      <c r="A391" s="550">
        <v>15</v>
      </c>
      <c r="B391" s="539" t="s">
        <v>5</v>
      </c>
      <c r="C391" s="539" t="s">
        <v>4</v>
      </c>
      <c r="D391" s="540" t="s">
        <v>3</v>
      </c>
      <c r="E391" s="540" t="s">
        <v>613</v>
      </c>
      <c r="F391" s="540" t="s">
        <v>614</v>
      </c>
      <c r="G391" s="586" t="s">
        <v>510</v>
      </c>
      <c r="H391" s="543" t="s">
        <v>7</v>
      </c>
      <c r="I391" s="637">
        <f>I362</f>
        <v>45574</v>
      </c>
    </row>
    <row r="392" spans="1:9" ht="21.75" thickBot="1" x14ac:dyDescent="0.65">
      <c r="A392" s="551"/>
      <c r="B392" s="587"/>
      <c r="C392" s="552"/>
      <c r="D392" s="553">
        <v>1</v>
      </c>
      <c r="E392" s="553"/>
      <c r="F392" s="553"/>
      <c r="G392" s="553">
        <f>Summary!J54</f>
        <v>25000</v>
      </c>
      <c r="H392" s="645">
        <f>H408</f>
        <v>0.32633993293574298</v>
      </c>
      <c r="I392" s="555"/>
    </row>
    <row r="393" spans="1:9" ht="21.75" thickBot="1" x14ac:dyDescent="0.65">
      <c r="A393" s="124"/>
      <c r="B393" s="43"/>
      <c r="C393" s="124"/>
      <c r="D393" s="125"/>
      <c r="E393" s="125"/>
      <c r="F393" s="125"/>
      <c r="G393" s="125"/>
      <c r="H393" s="126"/>
      <c r="I393" s="124"/>
    </row>
    <row r="394" spans="1:9" x14ac:dyDescent="0.6">
      <c r="A394" s="194" t="s">
        <v>904</v>
      </c>
      <c r="B394" s="186" t="s">
        <v>10</v>
      </c>
      <c r="C394" s="166" t="s">
        <v>9</v>
      </c>
      <c r="D394" s="117" t="s">
        <v>8</v>
      </c>
      <c r="E394" s="117" t="s">
        <v>613</v>
      </c>
      <c r="F394" s="117" t="s">
        <v>614</v>
      </c>
      <c r="G394" s="117" t="s">
        <v>11</v>
      </c>
      <c r="H394" s="118" t="s">
        <v>12</v>
      </c>
      <c r="I394" s="195" t="s">
        <v>12</v>
      </c>
    </row>
    <row r="395" spans="1:9" x14ac:dyDescent="0.6">
      <c r="A395" s="493">
        <v>1</v>
      </c>
      <c r="B395" s="405" t="s">
        <v>684</v>
      </c>
      <c r="C395" s="400" t="s">
        <v>596</v>
      </c>
      <c r="D395" s="406">
        <v>0.15</v>
      </c>
      <c r="E395" s="86">
        <v>0.34</v>
      </c>
      <c r="F395" s="32">
        <f t="shared" ref="F395:F403" si="50">D395+D395*E395</f>
        <v>0.20100000000000001</v>
      </c>
      <c r="G395" s="35">
        <v>22000</v>
      </c>
      <c r="H395" s="68">
        <f t="shared" ref="H395:H403" si="51">F395*G395</f>
        <v>4422</v>
      </c>
      <c r="I395" s="161">
        <f t="shared" ref="I395:I403" si="52">H395/I$3</f>
        <v>2.1057142857142859</v>
      </c>
    </row>
    <row r="396" spans="1:9" x14ac:dyDescent="0.6">
      <c r="A396" s="494">
        <v>2</v>
      </c>
      <c r="B396" s="405" t="s">
        <v>674</v>
      </c>
      <c r="C396" s="400" t="s">
        <v>596</v>
      </c>
      <c r="D396" s="406">
        <v>0.03</v>
      </c>
      <c r="E396" s="86">
        <v>0.2</v>
      </c>
      <c r="F396" s="32">
        <f t="shared" si="50"/>
        <v>3.5999999999999997E-2</v>
      </c>
      <c r="G396" s="143">
        <v>21000</v>
      </c>
      <c r="H396" s="68">
        <f t="shared" si="51"/>
        <v>755.99999999999989</v>
      </c>
      <c r="I396" s="161">
        <f t="shared" si="52"/>
        <v>0.35999999999999993</v>
      </c>
    </row>
    <row r="397" spans="1:9" x14ac:dyDescent="0.6">
      <c r="A397" s="493">
        <v>3</v>
      </c>
      <c r="B397" s="405" t="s">
        <v>692</v>
      </c>
      <c r="C397" s="400" t="s">
        <v>596</v>
      </c>
      <c r="D397" s="406">
        <v>0.02</v>
      </c>
      <c r="E397" s="86">
        <v>0.05</v>
      </c>
      <c r="F397" s="32">
        <f t="shared" si="50"/>
        <v>2.1000000000000001E-2</v>
      </c>
      <c r="G397" s="143">
        <v>5000</v>
      </c>
      <c r="H397" s="68">
        <f t="shared" si="51"/>
        <v>105</v>
      </c>
      <c r="I397" s="161">
        <f t="shared" si="52"/>
        <v>0.05</v>
      </c>
    </row>
    <row r="398" spans="1:9" x14ac:dyDescent="0.6">
      <c r="A398" s="494">
        <v>4</v>
      </c>
      <c r="B398" s="405" t="s">
        <v>672</v>
      </c>
      <c r="C398" s="400" t="s">
        <v>596</v>
      </c>
      <c r="D398" s="406">
        <v>0.03</v>
      </c>
      <c r="E398" s="86">
        <v>0.05</v>
      </c>
      <c r="F398" s="32">
        <f t="shared" si="50"/>
        <v>3.15E-2</v>
      </c>
      <c r="G398" s="143">
        <v>7800</v>
      </c>
      <c r="H398" s="68">
        <f t="shared" si="51"/>
        <v>245.7</v>
      </c>
      <c r="I398" s="161">
        <f t="shared" si="52"/>
        <v>0.11699999999999999</v>
      </c>
    </row>
    <row r="399" spans="1:9" x14ac:dyDescent="0.6">
      <c r="A399" s="493">
        <v>5</v>
      </c>
      <c r="B399" s="405" t="s">
        <v>709</v>
      </c>
      <c r="C399" s="400" t="s">
        <v>13</v>
      </c>
      <c r="D399" s="406">
        <v>2</v>
      </c>
      <c r="E399" s="86">
        <v>0</v>
      </c>
      <c r="F399" s="32">
        <f t="shared" si="50"/>
        <v>2</v>
      </c>
      <c r="G399" s="143">
        <v>200</v>
      </c>
      <c r="H399" s="68">
        <f t="shared" si="51"/>
        <v>400</v>
      </c>
      <c r="I399" s="161">
        <f t="shared" si="52"/>
        <v>0.19047619047619047</v>
      </c>
    </row>
    <row r="400" spans="1:9" x14ac:dyDescent="0.6">
      <c r="A400" s="494">
        <v>6</v>
      </c>
      <c r="B400" s="405" t="s">
        <v>622</v>
      </c>
      <c r="C400" s="400" t="s">
        <v>596</v>
      </c>
      <c r="D400" s="406">
        <v>0.02</v>
      </c>
      <c r="E400" s="86">
        <v>0.1</v>
      </c>
      <c r="F400" s="32">
        <f t="shared" si="50"/>
        <v>2.1999999999999999E-2</v>
      </c>
      <c r="G400" s="35">
        <v>24000</v>
      </c>
      <c r="H400" s="68">
        <f t="shared" si="51"/>
        <v>528</v>
      </c>
      <c r="I400" s="161">
        <f t="shared" si="52"/>
        <v>0.25142857142857145</v>
      </c>
    </row>
    <row r="401" spans="1:9" x14ac:dyDescent="0.6">
      <c r="A401" s="493">
        <v>7</v>
      </c>
      <c r="B401" s="396" t="s">
        <v>719</v>
      </c>
      <c r="C401" s="397" t="s">
        <v>459</v>
      </c>
      <c r="D401" s="398">
        <v>0.01</v>
      </c>
      <c r="E401" s="86">
        <v>0.08</v>
      </c>
      <c r="F401" s="32">
        <f t="shared" si="50"/>
        <v>1.0800000000000001E-2</v>
      </c>
      <c r="G401" s="162">
        <f>42000/4.15</f>
        <v>10120.481927710842</v>
      </c>
      <c r="H401" s="68">
        <f t="shared" si="51"/>
        <v>109.3012048192771</v>
      </c>
      <c r="I401" s="161">
        <f t="shared" si="52"/>
        <v>5.2048192771084335E-2</v>
      </c>
    </row>
    <row r="402" spans="1:9" x14ac:dyDescent="0.6">
      <c r="A402" s="494">
        <v>8</v>
      </c>
      <c r="B402" s="396" t="s">
        <v>705</v>
      </c>
      <c r="C402" s="397" t="s">
        <v>907</v>
      </c>
      <c r="D402" s="398">
        <v>0.5</v>
      </c>
      <c r="E402" s="86">
        <v>0</v>
      </c>
      <c r="F402" s="32">
        <f t="shared" si="50"/>
        <v>0.5</v>
      </c>
      <c r="G402" s="162">
        <f>190000/24/8</f>
        <v>989.58333333333337</v>
      </c>
      <c r="H402" s="68">
        <f t="shared" si="51"/>
        <v>494.79166666666669</v>
      </c>
      <c r="I402" s="161">
        <f t="shared" si="52"/>
        <v>0.23561507936507936</v>
      </c>
    </row>
    <row r="403" spans="1:9" ht="21.75" thickBot="1" x14ac:dyDescent="0.65">
      <c r="A403" s="499">
        <v>9</v>
      </c>
      <c r="B403" s="402" t="s">
        <v>609</v>
      </c>
      <c r="C403" s="403" t="s">
        <v>463</v>
      </c>
      <c r="D403" s="404">
        <v>0.01</v>
      </c>
      <c r="E403" s="394">
        <v>0</v>
      </c>
      <c r="F403" s="255">
        <f t="shared" si="50"/>
        <v>0.01</v>
      </c>
      <c r="G403" s="256">
        <v>14000</v>
      </c>
      <c r="H403" s="123">
        <f t="shared" si="51"/>
        <v>140</v>
      </c>
      <c r="I403" s="196">
        <f t="shared" si="52"/>
        <v>6.6666666666666666E-2</v>
      </c>
    </row>
    <row r="404" spans="1:9" x14ac:dyDescent="0.6">
      <c r="A404" s="124"/>
      <c r="B404" s="421" t="s">
        <v>4</v>
      </c>
      <c r="C404" s="422"/>
      <c r="D404" s="423"/>
      <c r="E404" s="187"/>
      <c r="F404" s="187"/>
      <c r="G404" s="187"/>
      <c r="H404" s="167">
        <f>SUM(H395:H403)</f>
        <v>7200.7928714859436</v>
      </c>
      <c r="I404" s="160">
        <f>SUM(I395:I403)</f>
        <v>3.4289489864218781</v>
      </c>
    </row>
    <row r="405" spans="1:9" x14ac:dyDescent="0.6">
      <c r="A405" s="124"/>
      <c r="B405" s="168" t="s">
        <v>14</v>
      </c>
      <c r="C405" s="43"/>
      <c r="D405" s="121"/>
      <c r="E405" s="121"/>
      <c r="F405" s="121"/>
      <c r="G405" s="121"/>
      <c r="H405" s="169">
        <f>H404/1</f>
        <v>7200.7928714859436</v>
      </c>
      <c r="I405" s="104"/>
    </row>
    <row r="406" spans="1:9" x14ac:dyDescent="0.6">
      <c r="A406" s="124"/>
      <c r="B406" s="168" t="s">
        <v>453</v>
      </c>
      <c r="C406" s="43"/>
      <c r="D406" s="121"/>
      <c r="E406" s="121"/>
      <c r="F406" s="121"/>
      <c r="G406" s="121"/>
      <c r="H406" s="104">
        <f>G392</f>
        <v>25000</v>
      </c>
      <c r="I406" s="104"/>
    </row>
    <row r="407" spans="1:9" x14ac:dyDescent="0.6">
      <c r="A407" s="124"/>
      <c r="B407" s="168" t="s">
        <v>455</v>
      </c>
      <c r="C407" s="43"/>
      <c r="D407" s="121"/>
      <c r="E407" s="121"/>
      <c r="F407" s="121"/>
      <c r="G407" s="121"/>
      <c r="H407" s="104">
        <f>H406/113.3%</f>
        <v>22065.31332744925</v>
      </c>
      <c r="I407" s="104"/>
    </row>
    <row r="408" spans="1:9" x14ac:dyDescent="0.6">
      <c r="A408" s="124"/>
      <c r="B408" s="168" t="s">
        <v>16</v>
      </c>
      <c r="C408" s="43"/>
      <c r="D408" s="121"/>
      <c r="E408" s="121"/>
      <c r="F408" s="121"/>
      <c r="G408" s="121"/>
      <c r="H408" s="588">
        <f>H405/H407</f>
        <v>0.32633993293574298</v>
      </c>
      <c r="I408" s="588"/>
    </row>
    <row r="409" spans="1:9" x14ac:dyDescent="0.6">
      <c r="A409" s="124"/>
      <c r="B409" s="168"/>
      <c r="C409" s="43"/>
      <c r="D409" s="121"/>
      <c r="E409" s="121"/>
      <c r="F409" s="121"/>
      <c r="G409" s="121"/>
      <c r="H409" s="169"/>
      <c r="I409" s="171"/>
    </row>
    <row r="410" spans="1:9" ht="21.75" thickBot="1" x14ac:dyDescent="0.65">
      <c r="A410" s="124"/>
      <c r="B410" s="172"/>
      <c r="C410" s="147"/>
      <c r="D410" s="58"/>
      <c r="E410" s="58"/>
      <c r="F410" s="58"/>
      <c r="G410" s="58"/>
      <c r="H410" s="173"/>
      <c r="I410" s="164"/>
    </row>
    <row r="411" spans="1:9" x14ac:dyDescent="0.6">
      <c r="G411" s="74"/>
      <c r="H411" s="74"/>
    </row>
  </sheetData>
  <mergeCells count="16">
    <mergeCell ref="A333:I333"/>
    <mergeCell ref="A360:I360"/>
    <mergeCell ref="A389:I389"/>
    <mergeCell ref="A4:I4"/>
    <mergeCell ref="A2:I2"/>
    <mergeCell ref="A227:I227"/>
    <mergeCell ref="A175:I175"/>
    <mergeCell ref="A118:I118"/>
    <mergeCell ref="A145:I145"/>
    <mergeCell ref="A200:I200"/>
    <mergeCell ref="A32:I32"/>
    <mergeCell ref="A61:I61"/>
    <mergeCell ref="A90:I90"/>
    <mergeCell ref="A252:I252"/>
    <mergeCell ref="A277:I277"/>
    <mergeCell ref="A304:I304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theme="3" tint="0.39997558519241921"/>
  </sheetPr>
  <dimension ref="A2:R104"/>
  <sheetViews>
    <sheetView topLeftCell="A84" zoomScale="96" zoomScaleNormal="96" workbookViewId="0">
      <selection activeCell="H97" sqref="H97"/>
    </sheetView>
  </sheetViews>
  <sheetFormatPr defaultColWidth="9.140625" defaultRowHeight="21" x14ac:dyDescent="0.6"/>
  <cols>
    <col min="1" max="1" width="13.5703125" style="74" customWidth="1"/>
    <col min="2" max="2" width="35.7109375" style="74" customWidth="1"/>
    <col min="3" max="6" width="13.140625" style="74" customWidth="1"/>
    <col min="7" max="7" width="13.28515625" style="74" customWidth="1"/>
    <col min="8" max="8" width="17.140625" style="74" customWidth="1"/>
    <col min="9" max="9" width="20" style="74" customWidth="1"/>
    <col min="10" max="16384" width="9.140625" style="51"/>
  </cols>
  <sheetData>
    <row r="2" spans="1:9" s="74" customFormat="1" ht="18" x14ac:dyDescent="0.5">
      <c r="A2" s="940" t="s">
        <v>782</v>
      </c>
      <c r="B2" s="940"/>
      <c r="C2" s="940"/>
      <c r="D2" s="940"/>
      <c r="E2" s="940"/>
      <c r="F2" s="940"/>
      <c r="G2" s="940"/>
      <c r="H2" s="940"/>
      <c r="I2" s="940"/>
    </row>
    <row r="3" spans="1:9" s="74" customFormat="1" ht="18" x14ac:dyDescent="0.5">
      <c r="D3" s="188"/>
      <c r="E3" s="188"/>
      <c r="F3" s="188"/>
      <c r="G3" s="296"/>
      <c r="H3" s="190"/>
      <c r="I3" s="74">
        <v>2100</v>
      </c>
    </row>
    <row r="4" spans="1:9" s="74" customFormat="1" ht="18" x14ac:dyDescent="0.5">
      <c r="D4" s="77"/>
      <c r="E4" s="77"/>
      <c r="F4" s="77"/>
      <c r="G4" s="287"/>
      <c r="H4" s="115"/>
    </row>
    <row r="5" spans="1:9" s="119" customFormat="1" ht="18.75" thickBot="1" x14ac:dyDescent="0.55000000000000004">
      <c r="A5" s="154"/>
      <c r="B5" s="154"/>
      <c r="C5" s="154"/>
      <c r="D5" s="155" t="s">
        <v>0</v>
      </c>
      <c r="E5" s="155"/>
      <c r="F5" s="155"/>
      <c r="G5" s="284"/>
      <c r="H5" s="126"/>
      <c r="I5" s="124"/>
    </row>
    <row r="6" spans="1:9" s="119" customFormat="1" ht="18" x14ac:dyDescent="0.5">
      <c r="A6" s="558" t="s">
        <v>665</v>
      </c>
      <c r="B6" s="614" t="s">
        <v>784</v>
      </c>
      <c r="C6" s="547"/>
      <c r="D6" s="548"/>
      <c r="E6" s="548"/>
      <c r="F6" s="548"/>
      <c r="G6" s="599" t="s">
        <v>1</v>
      </c>
      <c r="H6" s="541" t="s">
        <v>868</v>
      </c>
      <c r="I6" s="549" t="s">
        <v>2</v>
      </c>
    </row>
    <row r="7" spans="1:9" s="119" customFormat="1" ht="18" x14ac:dyDescent="0.5">
      <c r="A7" s="565">
        <v>1</v>
      </c>
      <c r="B7" s="539" t="s">
        <v>5</v>
      </c>
      <c r="C7" s="539" t="s">
        <v>4</v>
      </c>
      <c r="D7" s="540" t="s">
        <v>3</v>
      </c>
      <c r="E7" s="540" t="s">
        <v>613</v>
      </c>
      <c r="F7" s="540" t="s">
        <v>614</v>
      </c>
      <c r="G7" s="600" t="s">
        <v>500</v>
      </c>
      <c r="H7" s="543" t="s">
        <v>7</v>
      </c>
      <c r="I7" s="637">
        <v>45574</v>
      </c>
    </row>
    <row r="8" spans="1:9" s="119" customFormat="1" ht="18.75" thickBot="1" x14ac:dyDescent="0.55000000000000004">
      <c r="A8" s="551"/>
      <c r="B8" s="552"/>
      <c r="C8" s="552"/>
      <c r="D8" s="553">
        <v>1</v>
      </c>
      <c r="E8" s="553"/>
      <c r="F8" s="553"/>
      <c r="G8" s="632">
        <f>Summary!J57</f>
        <v>15000</v>
      </c>
      <c r="H8" s="633">
        <f>H29</f>
        <v>0.34382773333333333</v>
      </c>
      <c r="I8" s="646"/>
    </row>
    <row r="9" spans="1:9" s="119" customFormat="1" ht="18.75" thickBot="1" x14ac:dyDescent="0.55000000000000004">
      <c r="A9" s="124"/>
      <c r="B9" s="124"/>
      <c r="C9" s="124"/>
      <c r="D9" s="125"/>
      <c r="E9" s="125"/>
      <c r="F9" s="125"/>
      <c r="G9" s="284"/>
      <c r="H9" s="126"/>
      <c r="I9" s="124"/>
    </row>
    <row r="10" spans="1:9" s="119" customFormat="1" ht="18" x14ac:dyDescent="0.5">
      <c r="A10" s="194" t="s">
        <v>605</v>
      </c>
      <c r="B10" s="166" t="s">
        <v>10</v>
      </c>
      <c r="C10" s="166" t="s">
        <v>9</v>
      </c>
      <c r="D10" s="117" t="s">
        <v>8</v>
      </c>
      <c r="E10" s="117" t="s">
        <v>613</v>
      </c>
      <c r="F10" s="117" t="s">
        <v>614</v>
      </c>
      <c r="G10" s="282" t="s">
        <v>11</v>
      </c>
      <c r="H10" s="118" t="s">
        <v>24</v>
      </c>
      <c r="I10" s="195" t="s">
        <v>25</v>
      </c>
    </row>
    <row r="11" spans="1:9" s="119" customFormat="1" ht="18" x14ac:dyDescent="0.5">
      <c r="A11" s="141" t="s">
        <v>556</v>
      </c>
      <c r="B11" s="396" t="s">
        <v>785</v>
      </c>
      <c r="C11" s="397" t="s">
        <v>26</v>
      </c>
      <c r="D11" s="398">
        <v>0.1</v>
      </c>
      <c r="E11" s="139">
        <v>0</v>
      </c>
      <c r="F11" s="32">
        <f t="shared" ref="F11:F23" si="0">D11+D11*E11</f>
        <v>0.1</v>
      </c>
      <c r="G11" s="35">
        <v>600</v>
      </c>
      <c r="H11" s="68">
        <f t="shared" ref="H11:H23" si="1">F11*G11</f>
        <v>60</v>
      </c>
      <c r="I11" s="161">
        <f t="shared" ref="I11:I23" si="2">H11/I$3</f>
        <v>2.8571428571428571E-2</v>
      </c>
    </row>
    <row r="12" spans="1:9" s="119" customFormat="1" ht="18" x14ac:dyDescent="0.5">
      <c r="A12" s="962" t="s">
        <v>473</v>
      </c>
      <c r="B12" s="963" t="s">
        <v>673</v>
      </c>
      <c r="C12" s="964" t="s">
        <v>471</v>
      </c>
      <c r="D12" s="965">
        <v>0.1</v>
      </c>
      <c r="E12" s="957">
        <v>0.2</v>
      </c>
      <c r="F12" s="956">
        <f t="shared" si="0"/>
        <v>0.12000000000000001</v>
      </c>
      <c r="G12" s="974">
        <v>4500</v>
      </c>
      <c r="H12" s="959">
        <f t="shared" si="1"/>
        <v>540</v>
      </c>
      <c r="I12" s="980">
        <f t="shared" si="2"/>
        <v>0.25714285714285712</v>
      </c>
    </row>
    <row r="13" spans="1:9" s="119" customFormat="1" ht="18" x14ac:dyDescent="0.5">
      <c r="A13" s="962" t="s">
        <v>591</v>
      </c>
      <c r="B13" s="963" t="s">
        <v>625</v>
      </c>
      <c r="C13" s="964" t="s">
        <v>471</v>
      </c>
      <c r="D13" s="965">
        <v>0.1</v>
      </c>
      <c r="E13" s="957">
        <v>0.3</v>
      </c>
      <c r="F13" s="956">
        <f t="shared" si="0"/>
        <v>0.13</v>
      </c>
      <c r="G13" s="981">
        <v>7000</v>
      </c>
      <c r="H13" s="959">
        <f t="shared" si="1"/>
        <v>910</v>
      </c>
      <c r="I13" s="980">
        <f t="shared" si="2"/>
        <v>0.43333333333333335</v>
      </c>
    </row>
    <row r="14" spans="1:9" s="119" customFormat="1" ht="18" x14ac:dyDescent="0.5">
      <c r="A14" s="141" t="s">
        <v>554</v>
      </c>
      <c r="B14" s="399" t="s">
        <v>674</v>
      </c>
      <c r="C14" s="400" t="s">
        <v>471</v>
      </c>
      <c r="D14" s="406">
        <v>0.03</v>
      </c>
      <c r="E14" s="139">
        <v>0</v>
      </c>
      <c r="F14" s="32">
        <f t="shared" si="0"/>
        <v>0.03</v>
      </c>
      <c r="G14" s="35">
        <v>21000</v>
      </c>
      <c r="H14" s="68">
        <f t="shared" si="1"/>
        <v>630</v>
      </c>
      <c r="I14" s="161">
        <f t="shared" si="2"/>
        <v>0.3</v>
      </c>
    </row>
    <row r="15" spans="1:9" s="119" customFormat="1" ht="18" x14ac:dyDescent="0.5">
      <c r="A15" s="976" t="s">
        <v>555</v>
      </c>
      <c r="B15" s="963" t="s">
        <v>692</v>
      </c>
      <c r="C15" s="964" t="s">
        <v>471</v>
      </c>
      <c r="D15" s="965">
        <v>0.05</v>
      </c>
      <c r="E15" s="957">
        <v>0.2</v>
      </c>
      <c r="F15" s="956">
        <f t="shared" si="0"/>
        <v>6.0000000000000005E-2</v>
      </c>
      <c r="G15" s="981">
        <v>5000</v>
      </c>
      <c r="H15" s="959">
        <f t="shared" si="1"/>
        <v>300</v>
      </c>
      <c r="I15" s="980">
        <f t="shared" si="2"/>
        <v>0.14285714285714285</v>
      </c>
    </row>
    <row r="16" spans="1:9" s="119" customFormat="1" ht="18" x14ac:dyDescent="0.5">
      <c r="A16" s="144" t="s">
        <v>588</v>
      </c>
      <c r="B16" s="396" t="s">
        <v>610</v>
      </c>
      <c r="C16" s="397" t="s">
        <v>463</v>
      </c>
      <c r="D16" s="398">
        <v>0.01</v>
      </c>
      <c r="E16" s="139">
        <v>0</v>
      </c>
      <c r="F16" s="32">
        <f t="shared" si="0"/>
        <v>0.01</v>
      </c>
      <c r="G16" s="143">
        <v>1200</v>
      </c>
      <c r="H16" s="68">
        <f t="shared" si="1"/>
        <v>12</v>
      </c>
      <c r="I16" s="161">
        <f t="shared" si="2"/>
        <v>5.7142857142857143E-3</v>
      </c>
    </row>
    <row r="17" spans="1:9" s="119" customFormat="1" ht="18" x14ac:dyDescent="0.5">
      <c r="A17" s="144" t="s">
        <v>568</v>
      </c>
      <c r="B17" s="396" t="s">
        <v>644</v>
      </c>
      <c r="C17" s="397" t="s">
        <v>471</v>
      </c>
      <c r="D17" s="398">
        <v>0.01</v>
      </c>
      <c r="E17" s="139">
        <v>0</v>
      </c>
      <c r="F17" s="32">
        <f t="shared" si="0"/>
        <v>0.01</v>
      </c>
      <c r="G17" s="35">
        <v>10000</v>
      </c>
      <c r="H17" s="68">
        <f t="shared" si="1"/>
        <v>100</v>
      </c>
      <c r="I17" s="161">
        <f t="shared" si="2"/>
        <v>4.7619047619047616E-2</v>
      </c>
    </row>
    <row r="18" spans="1:9" s="119" customFormat="1" ht="18" x14ac:dyDescent="0.5">
      <c r="A18" s="962" t="s">
        <v>499</v>
      </c>
      <c r="B18" s="963" t="s">
        <v>652</v>
      </c>
      <c r="C18" s="964" t="s">
        <v>471</v>
      </c>
      <c r="D18" s="965">
        <v>0.05</v>
      </c>
      <c r="E18" s="957">
        <v>0</v>
      </c>
      <c r="F18" s="956">
        <f t="shared" si="0"/>
        <v>0.05</v>
      </c>
      <c r="G18" s="974">
        <v>7000</v>
      </c>
      <c r="H18" s="959">
        <f t="shared" si="1"/>
        <v>350</v>
      </c>
      <c r="I18" s="980">
        <f t="shared" si="2"/>
        <v>0.16666666666666666</v>
      </c>
    </row>
    <row r="19" spans="1:9" s="119" customFormat="1" ht="18" x14ac:dyDescent="0.5">
      <c r="A19" s="145"/>
      <c r="B19" s="396" t="s">
        <v>672</v>
      </c>
      <c r="C19" s="397" t="s">
        <v>471</v>
      </c>
      <c r="D19" s="398">
        <v>0.1</v>
      </c>
      <c r="E19" s="139">
        <v>0</v>
      </c>
      <c r="F19" s="32">
        <f t="shared" si="0"/>
        <v>0.1</v>
      </c>
      <c r="G19" s="162">
        <v>7800</v>
      </c>
      <c r="H19" s="68">
        <f t="shared" si="1"/>
        <v>780</v>
      </c>
      <c r="I19" s="161">
        <f t="shared" si="2"/>
        <v>0.37142857142857144</v>
      </c>
    </row>
    <row r="20" spans="1:9" s="119" customFormat="1" ht="18" x14ac:dyDescent="0.5">
      <c r="A20" s="145"/>
      <c r="B20" s="396" t="s">
        <v>786</v>
      </c>
      <c r="C20" s="397" t="s">
        <v>23</v>
      </c>
      <c r="D20" s="398">
        <v>0.05</v>
      </c>
      <c r="E20" s="139">
        <v>0</v>
      </c>
      <c r="F20" s="32">
        <f t="shared" si="0"/>
        <v>0.05</v>
      </c>
      <c r="G20" s="35">
        <v>3600</v>
      </c>
      <c r="H20" s="68">
        <f t="shared" si="1"/>
        <v>180</v>
      </c>
      <c r="I20" s="161">
        <f t="shared" si="2"/>
        <v>8.5714285714285715E-2</v>
      </c>
    </row>
    <row r="21" spans="1:9" s="119" customFormat="1" ht="18" x14ac:dyDescent="0.5">
      <c r="A21" s="145"/>
      <c r="B21" s="399" t="s">
        <v>783</v>
      </c>
      <c r="C21" s="400" t="s">
        <v>471</v>
      </c>
      <c r="D21" s="406">
        <v>0.02</v>
      </c>
      <c r="E21" s="139">
        <v>0</v>
      </c>
      <c r="F21" s="32">
        <f t="shared" si="0"/>
        <v>0.02</v>
      </c>
      <c r="G21" s="35">
        <v>24000</v>
      </c>
      <c r="H21" s="68">
        <f t="shared" si="1"/>
        <v>480</v>
      </c>
      <c r="I21" s="161">
        <f t="shared" si="2"/>
        <v>0.22857142857142856</v>
      </c>
    </row>
    <row r="22" spans="1:9" s="119" customFormat="1" ht="18" x14ac:dyDescent="0.5">
      <c r="A22" s="145"/>
      <c r="B22" s="396" t="s">
        <v>787</v>
      </c>
      <c r="C22" s="397" t="s">
        <v>596</v>
      </c>
      <c r="D22" s="398">
        <v>0.01</v>
      </c>
      <c r="E22" s="139">
        <v>0</v>
      </c>
      <c r="F22" s="32">
        <f t="shared" si="0"/>
        <v>0.01</v>
      </c>
      <c r="G22" s="35">
        <v>15000</v>
      </c>
      <c r="H22" s="68">
        <f t="shared" si="1"/>
        <v>150</v>
      </c>
      <c r="I22" s="161">
        <f t="shared" si="2"/>
        <v>7.1428571428571425E-2</v>
      </c>
    </row>
    <row r="23" spans="1:9" s="119" customFormat="1" ht="18" x14ac:dyDescent="0.5">
      <c r="A23" s="145"/>
      <c r="B23" s="396" t="s">
        <v>788</v>
      </c>
      <c r="C23" s="397" t="s">
        <v>471</v>
      </c>
      <c r="D23" s="398">
        <v>0.01</v>
      </c>
      <c r="E23" s="139">
        <v>0</v>
      </c>
      <c r="F23" s="32">
        <f t="shared" si="0"/>
        <v>0.01</v>
      </c>
      <c r="G23" s="35">
        <v>6000</v>
      </c>
      <c r="H23" s="68">
        <f t="shared" si="1"/>
        <v>60</v>
      </c>
      <c r="I23" s="161">
        <f t="shared" si="2"/>
        <v>2.8571428571428571E-2</v>
      </c>
    </row>
    <row r="24" spans="1:9" s="119" customFormat="1" ht="18.75" thickBot="1" x14ac:dyDescent="0.55000000000000004">
      <c r="A24" s="146"/>
      <c r="B24" s="147"/>
      <c r="C24" s="147"/>
      <c r="D24" s="58"/>
      <c r="E24" s="58"/>
      <c r="F24" s="58"/>
      <c r="G24" s="286"/>
      <c r="H24" s="123"/>
      <c r="I24" s="164"/>
    </row>
    <row r="25" spans="1:9" s="119" customFormat="1" ht="18" x14ac:dyDescent="0.5">
      <c r="A25" s="124"/>
      <c r="B25" s="180" t="s">
        <v>4</v>
      </c>
      <c r="C25" s="186"/>
      <c r="D25" s="187"/>
      <c r="E25" s="187"/>
      <c r="F25" s="187"/>
      <c r="G25" s="288"/>
      <c r="H25" s="167">
        <f>SUM(H11:H24)</f>
        <v>4552</v>
      </c>
      <c r="I25" s="160">
        <f>SUM(I11:I24)</f>
        <v>2.1676190476190476</v>
      </c>
    </row>
    <row r="26" spans="1:9" s="119" customFormat="1" ht="18" x14ac:dyDescent="0.5">
      <c r="A26" s="124"/>
      <c r="B26" s="168" t="s">
        <v>14</v>
      </c>
      <c r="C26" s="43"/>
      <c r="D26" s="121"/>
      <c r="E26" s="121"/>
      <c r="F26" s="121"/>
      <c r="G26" s="283"/>
      <c r="H26" s="169">
        <f>H25/1</f>
        <v>4552</v>
      </c>
      <c r="I26" s="104"/>
    </row>
    <row r="27" spans="1:9" s="119" customFormat="1" ht="18" x14ac:dyDescent="0.5">
      <c r="A27" s="124"/>
      <c r="B27" s="168" t="s">
        <v>15</v>
      </c>
      <c r="C27" s="43"/>
      <c r="D27" s="121"/>
      <c r="E27" s="121"/>
      <c r="F27" s="121"/>
      <c r="G27" s="283"/>
      <c r="H27" s="104">
        <f>G8</f>
        <v>15000</v>
      </c>
      <c r="I27" s="104"/>
    </row>
    <row r="28" spans="1:9" s="119" customFormat="1" ht="18" x14ac:dyDescent="0.5">
      <c r="A28" s="124"/>
      <c r="B28" s="168" t="s">
        <v>455</v>
      </c>
      <c r="C28" s="43"/>
      <c r="D28" s="121"/>
      <c r="E28" s="121"/>
      <c r="F28" s="121"/>
      <c r="G28" s="283"/>
      <c r="H28" s="104">
        <f>H27/113.3%</f>
        <v>13239.187996469549</v>
      </c>
      <c r="I28" s="104"/>
    </row>
    <row r="29" spans="1:9" s="119" customFormat="1" ht="18" x14ac:dyDescent="0.5">
      <c r="A29" s="124"/>
      <c r="B29" s="168" t="s">
        <v>16</v>
      </c>
      <c r="C29" s="43"/>
      <c r="D29" s="121"/>
      <c r="E29" s="121"/>
      <c r="F29" s="121"/>
      <c r="G29" s="283"/>
      <c r="H29" s="588">
        <f>H26/H28</f>
        <v>0.34382773333333333</v>
      </c>
      <c r="I29" s="588"/>
    </row>
    <row r="30" spans="1:9" s="119" customFormat="1" ht="18" x14ac:dyDescent="0.5">
      <c r="A30" s="124"/>
      <c r="B30" s="168"/>
      <c r="C30" s="43"/>
      <c r="D30" s="121"/>
      <c r="E30" s="121"/>
      <c r="F30" s="121"/>
      <c r="G30" s="283"/>
      <c r="H30" s="169"/>
      <c r="I30" s="171"/>
    </row>
    <row r="31" spans="1:9" s="119" customFormat="1" ht="18.75" thickBot="1" x14ac:dyDescent="0.55000000000000004">
      <c r="A31" s="124"/>
      <c r="B31" s="172"/>
      <c r="C31" s="147"/>
      <c r="D31" s="58"/>
      <c r="E31" s="58"/>
      <c r="F31" s="58"/>
      <c r="G31" s="286"/>
      <c r="H31" s="173"/>
      <c r="I31" s="164"/>
    </row>
    <row r="32" spans="1:9" s="74" customFormat="1" ht="18" x14ac:dyDescent="0.5">
      <c r="D32" s="77"/>
      <c r="E32" s="77"/>
      <c r="F32" s="77"/>
      <c r="G32" s="287"/>
      <c r="H32" s="115"/>
    </row>
    <row r="33" spans="1:18" s="119" customFormat="1" ht="18.75" thickBot="1" x14ac:dyDescent="0.55000000000000004">
      <c r="A33" s="154"/>
      <c r="B33" s="154"/>
      <c r="C33" s="154"/>
      <c r="D33" s="155" t="s">
        <v>0</v>
      </c>
      <c r="E33" s="155"/>
      <c r="F33" s="155"/>
      <c r="G33" s="284"/>
      <c r="H33" s="126"/>
      <c r="I33" s="124"/>
    </row>
    <row r="34" spans="1:18" s="297" customFormat="1" ht="18" x14ac:dyDescent="0.5">
      <c r="A34" s="558" t="s">
        <v>722</v>
      </c>
      <c r="B34" s="770" t="s">
        <v>789</v>
      </c>
      <c r="C34" s="547"/>
      <c r="D34" s="548"/>
      <c r="E34" s="548"/>
      <c r="F34" s="548"/>
      <c r="G34" s="599" t="s">
        <v>1</v>
      </c>
      <c r="H34" s="541" t="s">
        <v>868</v>
      </c>
      <c r="I34" s="549" t="s">
        <v>2</v>
      </c>
      <c r="J34" s="119">
        <v>4</v>
      </c>
      <c r="K34" s="119"/>
      <c r="L34" s="119"/>
      <c r="M34" s="119"/>
      <c r="N34" s="119"/>
      <c r="O34" s="119"/>
      <c r="P34" s="119"/>
      <c r="Q34" s="119"/>
      <c r="R34" s="119"/>
    </row>
    <row r="35" spans="1:18" s="119" customFormat="1" ht="18" x14ac:dyDescent="0.5">
      <c r="A35" s="565">
        <v>2</v>
      </c>
      <c r="B35" s="539" t="s">
        <v>5</v>
      </c>
      <c r="C35" s="539" t="s">
        <v>4</v>
      </c>
      <c r="D35" s="540" t="s">
        <v>3</v>
      </c>
      <c r="E35" s="540" t="s">
        <v>613</v>
      </c>
      <c r="F35" s="540" t="s">
        <v>614</v>
      </c>
      <c r="G35" s="600" t="s">
        <v>510</v>
      </c>
      <c r="H35" s="543" t="s">
        <v>7</v>
      </c>
      <c r="I35" s="636">
        <f>I7</f>
        <v>45574</v>
      </c>
    </row>
    <row r="36" spans="1:18" s="119" customFormat="1" ht="18.75" thickBot="1" x14ac:dyDescent="0.55000000000000004">
      <c r="A36" s="551"/>
      <c r="B36" s="552"/>
      <c r="C36" s="552"/>
      <c r="D36" s="553">
        <v>1</v>
      </c>
      <c r="E36" s="553"/>
      <c r="F36" s="553"/>
      <c r="G36" s="632">
        <f>Summary!J58</f>
        <v>18000</v>
      </c>
      <c r="H36" s="633">
        <f>H64</f>
        <v>0.35286655555555557</v>
      </c>
      <c r="I36" s="555"/>
    </row>
    <row r="37" spans="1:18" s="119" customFormat="1" ht="18.75" thickBot="1" x14ac:dyDescent="0.55000000000000004">
      <c r="A37" s="124"/>
      <c r="B37" s="124"/>
      <c r="C37" s="124"/>
      <c r="D37" s="125"/>
      <c r="E37" s="125"/>
      <c r="F37" s="125"/>
      <c r="G37" s="284"/>
      <c r="H37" s="126"/>
      <c r="I37" s="124"/>
    </row>
    <row r="38" spans="1:18" s="119" customFormat="1" ht="18" x14ac:dyDescent="0.5">
      <c r="A38" s="194" t="s">
        <v>605</v>
      </c>
      <c r="B38" s="166" t="s">
        <v>10</v>
      </c>
      <c r="C38" s="166" t="s">
        <v>9</v>
      </c>
      <c r="D38" s="117" t="s">
        <v>8</v>
      </c>
      <c r="E38" s="117" t="s">
        <v>613</v>
      </c>
      <c r="F38" s="117" t="s">
        <v>614</v>
      </c>
      <c r="G38" s="282" t="s">
        <v>11</v>
      </c>
      <c r="H38" s="118" t="s">
        <v>24</v>
      </c>
      <c r="I38" s="195" t="s">
        <v>25</v>
      </c>
    </row>
    <row r="39" spans="1:18" s="119" customFormat="1" ht="18" x14ac:dyDescent="0.5">
      <c r="A39" s="141" t="s">
        <v>556</v>
      </c>
      <c r="B39" s="421" t="s">
        <v>675</v>
      </c>
      <c r="C39" s="422" t="s">
        <v>471</v>
      </c>
      <c r="D39" s="982">
        <v>0.05</v>
      </c>
      <c r="E39" s="139">
        <v>0.1</v>
      </c>
      <c r="F39" s="32">
        <f t="shared" ref="F39:F47" si="3">D39+D39*E39</f>
        <v>5.5000000000000007E-2</v>
      </c>
      <c r="G39" s="35">
        <v>10000</v>
      </c>
      <c r="H39" s="68">
        <f t="shared" ref="H39:H58" si="4">F39*G39</f>
        <v>550.00000000000011</v>
      </c>
      <c r="I39" s="161">
        <f t="shared" ref="I39:I58" si="5">H39/I$3</f>
        <v>0.26190476190476197</v>
      </c>
    </row>
    <row r="40" spans="1:18" s="119" customFormat="1" ht="18" x14ac:dyDescent="0.5">
      <c r="A40" s="144" t="s">
        <v>559</v>
      </c>
      <c r="B40" s="396" t="s">
        <v>790</v>
      </c>
      <c r="C40" s="397" t="s">
        <v>471</v>
      </c>
      <c r="D40" s="965">
        <v>0.05</v>
      </c>
      <c r="E40" s="139">
        <v>0.08</v>
      </c>
      <c r="F40" s="32">
        <f t="shared" si="3"/>
        <v>5.4000000000000006E-2</v>
      </c>
      <c r="G40" s="35">
        <v>6000</v>
      </c>
      <c r="H40" s="68">
        <f t="shared" si="4"/>
        <v>324.00000000000006</v>
      </c>
      <c r="I40" s="161">
        <f t="shared" si="5"/>
        <v>0.1542857142857143</v>
      </c>
    </row>
    <row r="41" spans="1:18" s="119" customFormat="1" ht="18" x14ac:dyDescent="0.5">
      <c r="A41" s="144" t="s">
        <v>588</v>
      </c>
      <c r="B41" s="396" t="s">
        <v>686</v>
      </c>
      <c r="C41" s="397" t="s">
        <v>13</v>
      </c>
      <c r="D41" s="965">
        <v>0.05</v>
      </c>
      <c r="E41" s="139">
        <v>0.2</v>
      </c>
      <c r="F41" s="32">
        <f t="shared" si="3"/>
        <v>6.0000000000000005E-2</v>
      </c>
      <c r="G41" s="143">
        <v>1400</v>
      </c>
      <c r="H41" s="68">
        <f t="shared" si="4"/>
        <v>84</v>
      </c>
      <c r="I41" s="161">
        <f t="shared" si="5"/>
        <v>0.04</v>
      </c>
    </row>
    <row r="42" spans="1:18" s="119" customFormat="1" ht="18" x14ac:dyDescent="0.5">
      <c r="A42" s="144" t="s">
        <v>568</v>
      </c>
      <c r="B42" s="396" t="s">
        <v>673</v>
      </c>
      <c r="C42" s="397" t="s">
        <v>471</v>
      </c>
      <c r="D42" s="965">
        <v>0.05</v>
      </c>
      <c r="E42" s="139">
        <v>0.2</v>
      </c>
      <c r="F42" s="32">
        <f t="shared" si="3"/>
        <v>6.0000000000000005E-2</v>
      </c>
      <c r="G42" s="35">
        <v>4500</v>
      </c>
      <c r="H42" s="68">
        <f t="shared" si="4"/>
        <v>270</v>
      </c>
      <c r="I42" s="161">
        <f t="shared" si="5"/>
        <v>0.12857142857142856</v>
      </c>
    </row>
    <row r="43" spans="1:18" s="119" customFormat="1" ht="18" x14ac:dyDescent="0.5">
      <c r="A43" s="141" t="s">
        <v>499</v>
      </c>
      <c r="B43" s="396" t="s">
        <v>625</v>
      </c>
      <c r="C43" s="397" t="s">
        <v>471</v>
      </c>
      <c r="D43" s="965">
        <v>0.05</v>
      </c>
      <c r="E43" s="139">
        <v>0.3</v>
      </c>
      <c r="F43" s="32">
        <f t="shared" si="3"/>
        <v>6.5000000000000002E-2</v>
      </c>
      <c r="G43" s="143">
        <v>7000</v>
      </c>
      <c r="H43" s="68">
        <f t="shared" si="4"/>
        <v>455</v>
      </c>
      <c r="I43" s="161">
        <f t="shared" si="5"/>
        <v>0.21666666666666667</v>
      </c>
    </row>
    <row r="44" spans="1:18" s="119" customFormat="1" ht="18" x14ac:dyDescent="0.5">
      <c r="A44" s="145"/>
      <c r="B44" s="396" t="s">
        <v>760</v>
      </c>
      <c r="C44" s="397" t="s">
        <v>471</v>
      </c>
      <c r="D44" s="965">
        <v>0.03</v>
      </c>
      <c r="E44" s="139">
        <v>0.1</v>
      </c>
      <c r="F44" s="32">
        <f t="shared" si="3"/>
        <v>3.3000000000000002E-2</v>
      </c>
      <c r="G44" s="162">
        <v>22000</v>
      </c>
      <c r="H44" s="68">
        <f t="shared" si="4"/>
        <v>726</v>
      </c>
      <c r="I44" s="161">
        <f t="shared" si="5"/>
        <v>0.3457142857142857</v>
      </c>
    </row>
    <row r="45" spans="1:18" s="119" customFormat="1" ht="18" x14ac:dyDescent="0.5">
      <c r="A45" s="145"/>
      <c r="B45" s="396" t="s">
        <v>674</v>
      </c>
      <c r="C45" s="397" t="s">
        <v>471</v>
      </c>
      <c r="D45" s="965">
        <v>0.02</v>
      </c>
      <c r="E45" s="139">
        <v>0.2</v>
      </c>
      <c r="F45" s="32">
        <f t="shared" si="3"/>
        <v>2.4E-2</v>
      </c>
      <c r="G45" s="35">
        <v>21000</v>
      </c>
      <c r="H45" s="68">
        <f t="shared" si="4"/>
        <v>504</v>
      </c>
      <c r="I45" s="161">
        <f t="shared" si="5"/>
        <v>0.24</v>
      </c>
    </row>
    <row r="46" spans="1:18" s="119" customFormat="1" ht="18" x14ac:dyDescent="0.5">
      <c r="A46" s="145"/>
      <c r="B46" s="396" t="s">
        <v>692</v>
      </c>
      <c r="C46" s="397" t="s">
        <v>471</v>
      </c>
      <c r="D46" s="965">
        <v>0.02</v>
      </c>
      <c r="E46" s="139">
        <v>0.2</v>
      </c>
      <c r="F46" s="32">
        <f t="shared" si="3"/>
        <v>2.4E-2</v>
      </c>
      <c r="G46" s="35">
        <v>5000</v>
      </c>
      <c r="H46" s="68">
        <f t="shared" si="4"/>
        <v>120</v>
      </c>
      <c r="I46" s="161">
        <f t="shared" si="5"/>
        <v>5.7142857142857141E-2</v>
      </c>
    </row>
    <row r="47" spans="1:18" s="119" customFormat="1" ht="18" x14ac:dyDescent="0.5">
      <c r="A47" s="145"/>
      <c r="B47" s="396" t="s">
        <v>622</v>
      </c>
      <c r="C47" s="397" t="s">
        <v>471</v>
      </c>
      <c r="D47" s="965">
        <v>0.01</v>
      </c>
      <c r="E47" s="139">
        <v>0</v>
      </c>
      <c r="F47" s="32">
        <f t="shared" si="3"/>
        <v>0.01</v>
      </c>
      <c r="G47" s="35">
        <v>24000</v>
      </c>
      <c r="H47" s="68">
        <f t="shared" si="4"/>
        <v>240</v>
      </c>
      <c r="I47" s="161">
        <f t="shared" si="5"/>
        <v>0.11428571428571428</v>
      </c>
    </row>
    <row r="48" spans="1:18" s="119" customFormat="1" ht="18" x14ac:dyDescent="0.5">
      <c r="A48" s="145"/>
      <c r="B48" s="396" t="s">
        <v>791</v>
      </c>
      <c r="C48" s="397" t="s">
        <v>471</v>
      </c>
      <c r="D48" s="965">
        <v>0.01</v>
      </c>
      <c r="E48" s="139">
        <v>0</v>
      </c>
      <c r="F48" s="25">
        <v>0.01</v>
      </c>
      <c r="G48" s="35">
        <v>44000</v>
      </c>
      <c r="H48" s="68">
        <f t="shared" si="4"/>
        <v>440</v>
      </c>
      <c r="I48" s="161">
        <f t="shared" si="5"/>
        <v>0.20952380952380953</v>
      </c>
    </row>
    <row r="49" spans="1:9" s="119" customFormat="1" ht="18" x14ac:dyDescent="0.5">
      <c r="A49" s="145"/>
      <c r="B49" s="396" t="s">
        <v>664</v>
      </c>
      <c r="C49" s="397" t="s">
        <v>463</v>
      </c>
      <c r="D49" s="398">
        <v>0.01</v>
      </c>
      <c r="E49" s="139">
        <v>0</v>
      </c>
      <c r="F49" s="25">
        <v>0.01</v>
      </c>
      <c r="G49" s="35">
        <v>40000</v>
      </c>
      <c r="H49" s="68">
        <f t="shared" si="4"/>
        <v>400</v>
      </c>
      <c r="I49" s="161">
        <f t="shared" si="5"/>
        <v>0.19047619047619047</v>
      </c>
    </row>
    <row r="50" spans="1:9" s="119" customFormat="1" ht="18" x14ac:dyDescent="0.5">
      <c r="A50" s="145"/>
      <c r="B50" s="396" t="s">
        <v>672</v>
      </c>
      <c r="C50" s="397" t="s">
        <v>471</v>
      </c>
      <c r="D50" s="398">
        <v>0.05</v>
      </c>
      <c r="E50" s="139">
        <v>0</v>
      </c>
      <c r="F50" s="25">
        <v>0.05</v>
      </c>
      <c r="G50" s="35">
        <v>7800</v>
      </c>
      <c r="H50" s="68">
        <f t="shared" si="4"/>
        <v>390</v>
      </c>
      <c r="I50" s="161">
        <f t="shared" si="5"/>
        <v>0.18571428571428572</v>
      </c>
    </row>
    <row r="51" spans="1:9" s="119" customFormat="1" ht="18" x14ac:dyDescent="0.5">
      <c r="A51" s="145"/>
      <c r="B51" s="396" t="s">
        <v>610</v>
      </c>
      <c r="C51" s="397" t="s">
        <v>463</v>
      </c>
      <c r="D51" s="398">
        <v>0.01</v>
      </c>
      <c r="E51" s="139">
        <v>0</v>
      </c>
      <c r="F51" s="25">
        <v>0.01</v>
      </c>
      <c r="G51" s="35">
        <v>1200</v>
      </c>
      <c r="H51" s="68">
        <f t="shared" si="4"/>
        <v>12</v>
      </c>
      <c r="I51" s="161">
        <f t="shared" si="5"/>
        <v>5.7142857142857143E-3</v>
      </c>
    </row>
    <row r="52" spans="1:9" s="119" customFormat="1" ht="18" x14ac:dyDescent="0.5">
      <c r="A52" s="145"/>
      <c r="B52" s="396" t="s">
        <v>612</v>
      </c>
      <c r="C52" s="397" t="s">
        <v>471</v>
      </c>
      <c r="D52" s="398">
        <v>0.02</v>
      </c>
      <c r="E52" s="139">
        <v>0</v>
      </c>
      <c r="F52" s="25">
        <v>0.02</v>
      </c>
      <c r="G52" s="35">
        <v>5800</v>
      </c>
      <c r="H52" s="68">
        <f t="shared" si="4"/>
        <v>116</v>
      </c>
      <c r="I52" s="161">
        <f t="shared" si="5"/>
        <v>5.5238095238095239E-2</v>
      </c>
    </row>
    <row r="53" spans="1:9" s="119" customFormat="1" ht="18" x14ac:dyDescent="0.5">
      <c r="A53" s="145"/>
      <c r="B53" s="396" t="s">
        <v>787</v>
      </c>
      <c r="C53" s="397" t="s">
        <v>471</v>
      </c>
      <c r="D53" s="424">
        <v>1E-3</v>
      </c>
      <c r="E53" s="139">
        <v>0</v>
      </c>
      <c r="F53" s="25">
        <v>1E-3</v>
      </c>
      <c r="G53" s="35">
        <v>15000</v>
      </c>
      <c r="H53" s="68">
        <f t="shared" si="4"/>
        <v>15</v>
      </c>
      <c r="I53" s="161">
        <f t="shared" si="5"/>
        <v>7.1428571428571426E-3</v>
      </c>
    </row>
    <row r="54" spans="1:9" s="74" customFormat="1" ht="18" x14ac:dyDescent="0.5">
      <c r="A54" s="240"/>
      <c r="B54" s="396" t="s">
        <v>649</v>
      </c>
      <c r="C54" s="397" t="s">
        <v>471</v>
      </c>
      <c r="D54" s="398">
        <v>0.01</v>
      </c>
      <c r="E54" s="86">
        <v>0</v>
      </c>
      <c r="F54" s="20">
        <v>0.01</v>
      </c>
      <c r="G54" s="34">
        <v>80000</v>
      </c>
      <c r="H54" s="46">
        <f t="shared" si="4"/>
        <v>800</v>
      </c>
      <c r="I54" s="47">
        <f t="shared" si="5"/>
        <v>0.38095238095238093</v>
      </c>
    </row>
    <row r="55" spans="1:9" s="119" customFormat="1" ht="18" x14ac:dyDescent="0.5">
      <c r="A55" s="145"/>
      <c r="B55" s="399" t="s">
        <v>792</v>
      </c>
      <c r="C55" s="400" t="s">
        <v>471</v>
      </c>
      <c r="D55" s="406">
        <v>0.01</v>
      </c>
      <c r="E55" s="139">
        <v>0</v>
      </c>
      <c r="F55" s="25">
        <v>0.01</v>
      </c>
      <c r="G55" s="35">
        <v>0</v>
      </c>
      <c r="H55" s="68">
        <f t="shared" si="4"/>
        <v>0</v>
      </c>
      <c r="I55" s="161">
        <f t="shared" si="5"/>
        <v>0</v>
      </c>
    </row>
    <row r="56" spans="1:9" s="119" customFormat="1" ht="18" x14ac:dyDescent="0.5">
      <c r="A56" s="145"/>
      <c r="B56" s="399" t="s">
        <v>793</v>
      </c>
      <c r="C56" s="400" t="s">
        <v>463</v>
      </c>
      <c r="D56" s="406">
        <v>0.01</v>
      </c>
      <c r="E56" s="139">
        <v>0</v>
      </c>
      <c r="F56" s="25">
        <v>0.01</v>
      </c>
      <c r="G56" s="35">
        <v>0</v>
      </c>
      <c r="H56" s="68">
        <f t="shared" si="4"/>
        <v>0</v>
      </c>
      <c r="I56" s="161">
        <f t="shared" si="5"/>
        <v>0</v>
      </c>
    </row>
    <row r="57" spans="1:9" s="119" customFormat="1" ht="18" x14ac:dyDescent="0.5">
      <c r="A57" s="145"/>
      <c r="B57" s="396" t="s">
        <v>644</v>
      </c>
      <c r="C57" s="397" t="s">
        <v>471</v>
      </c>
      <c r="D57" s="398">
        <v>0.01</v>
      </c>
      <c r="E57" s="139">
        <v>0</v>
      </c>
      <c r="F57" s="25">
        <v>0.01</v>
      </c>
      <c r="G57" s="35">
        <v>10000</v>
      </c>
      <c r="H57" s="68">
        <f t="shared" si="4"/>
        <v>100</v>
      </c>
      <c r="I57" s="161">
        <f t="shared" si="5"/>
        <v>4.7619047619047616E-2</v>
      </c>
    </row>
    <row r="58" spans="1:9" s="119" customFormat="1" ht="18" x14ac:dyDescent="0.5">
      <c r="A58" s="145"/>
      <c r="B58" s="396" t="s">
        <v>788</v>
      </c>
      <c r="C58" s="397" t="s">
        <v>471</v>
      </c>
      <c r="D58" s="398">
        <v>0.01</v>
      </c>
      <c r="E58" s="139">
        <v>0</v>
      </c>
      <c r="F58" s="25">
        <v>0.01</v>
      </c>
      <c r="G58" s="35">
        <v>6000</v>
      </c>
      <c r="H58" s="68">
        <f t="shared" si="4"/>
        <v>60</v>
      </c>
      <c r="I58" s="161">
        <f t="shared" si="5"/>
        <v>2.8571428571428571E-2</v>
      </c>
    </row>
    <row r="59" spans="1:9" s="119" customFormat="1" ht="18.75" thickBot="1" x14ac:dyDescent="0.55000000000000004">
      <c r="A59" s="146"/>
      <c r="B59" s="147"/>
      <c r="C59" s="147"/>
      <c r="D59" s="58"/>
      <c r="E59" s="58"/>
      <c r="F59" s="58"/>
      <c r="G59" s="286"/>
      <c r="H59" s="123"/>
      <c r="I59" s="164"/>
    </row>
    <row r="60" spans="1:9" s="119" customFormat="1" ht="18" x14ac:dyDescent="0.5">
      <c r="A60" s="124"/>
      <c r="B60" s="165" t="s">
        <v>4</v>
      </c>
      <c r="C60" s="166"/>
      <c r="D60" s="117"/>
      <c r="E60" s="117"/>
      <c r="F60" s="117"/>
      <c r="G60" s="282"/>
      <c r="H60" s="192">
        <f>SUM(H39:H59)</f>
        <v>5606</v>
      </c>
      <c r="I60" s="197">
        <f>SUM(I39:I59)</f>
        <v>2.6695238095238092</v>
      </c>
    </row>
    <row r="61" spans="1:9" s="119" customFormat="1" ht="18" x14ac:dyDescent="0.5">
      <c r="A61" s="124"/>
      <c r="B61" s="168" t="s">
        <v>14</v>
      </c>
      <c r="C61" s="43"/>
      <c r="D61" s="121"/>
      <c r="E61" s="121"/>
      <c r="F61" s="121"/>
      <c r="G61" s="283"/>
      <c r="H61" s="169">
        <f>H60/1</f>
        <v>5606</v>
      </c>
      <c r="I61" s="104"/>
    </row>
    <row r="62" spans="1:9" s="119" customFormat="1" ht="18" x14ac:dyDescent="0.5">
      <c r="A62" s="124"/>
      <c r="B62" s="168" t="s">
        <v>15</v>
      </c>
      <c r="C62" s="43"/>
      <c r="D62" s="121"/>
      <c r="E62" s="121"/>
      <c r="F62" s="121"/>
      <c r="G62" s="283"/>
      <c r="H62" s="104">
        <f>G36</f>
        <v>18000</v>
      </c>
      <c r="I62" s="104"/>
    </row>
    <row r="63" spans="1:9" s="119" customFormat="1" ht="18" x14ac:dyDescent="0.5">
      <c r="A63" s="124"/>
      <c r="B63" s="168" t="s">
        <v>455</v>
      </c>
      <c r="C63" s="43"/>
      <c r="D63" s="121"/>
      <c r="E63" s="121"/>
      <c r="F63" s="121"/>
      <c r="G63" s="283"/>
      <c r="H63" s="104">
        <f>H62/113.3%</f>
        <v>15887.02559576346</v>
      </c>
      <c r="I63" s="104"/>
    </row>
    <row r="64" spans="1:9" s="119" customFormat="1" ht="18" x14ac:dyDescent="0.5">
      <c r="A64" s="124"/>
      <c r="B64" s="168" t="s">
        <v>16</v>
      </c>
      <c r="C64" s="43"/>
      <c r="D64" s="121"/>
      <c r="E64" s="121"/>
      <c r="F64" s="121"/>
      <c r="G64" s="283"/>
      <c r="H64" s="588">
        <f>H61/H63</f>
        <v>0.35286655555555557</v>
      </c>
      <c r="I64" s="588"/>
    </row>
    <row r="65" spans="1:10" s="119" customFormat="1" ht="18" x14ac:dyDescent="0.5">
      <c r="A65" s="124"/>
      <c r="B65" s="168"/>
      <c r="C65" s="43"/>
      <c r="D65" s="121"/>
      <c r="E65" s="121"/>
      <c r="F65" s="121"/>
      <c r="G65" s="283"/>
      <c r="H65" s="169"/>
      <c r="I65" s="171"/>
    </row>
    <row r="66" spans="1:10" s="119" customFormat="1" ht="18.75" thickBot="1" x14ac:dyDescent="0.55000000000000004">
      <c r="A66" s="124"/>
      <c r="B66" s="172"/>
      <c r="C66" s="147"/>
      <c r="D66" s="58"/>
      <c r="E66" s="58"/>
      <c r="F66" s="58"/>
      <c r="G66" s="286"/>
      <c r="H66" s="173"/>
      <c r="I66" s="164"/>
    </row>
    <row r="67" spans="1:10" s="74" customFormat="1" ht="18" x14ac:dyDescent="0.5">
      <c r="D67" s="77"/>
      <c r="E67" s="77"/>
      <c r="F67" s="77"/>
      <c r="G67" s="287"/>
      <c r="H67" s="115"/>
    </row>
    <row r="68" spans="1:10" s="74" customFormat="1" ht="18" x14ac:dyDescent="0.5">
      <c r="D68" s="77"/>
      <c r="E68" s="77"/>
      <c r="F68" s="77"/>
      <c r="G68" s="287"/>
      <c r="H68" s="115"/>
    </row>
    <row r="69" spans="1:10" s="74" customFormat="1" ht="18" x14ac:dyDescent="0.5">
      <c r="A69" s="941" t="s">
        <v>0</v>
      </c>
      <c r="B69" s="941"/>
      <c r="C69" s="941"/>
      <c r="D69" s="941"/>
      <c r="E69" s="941"/>
      <c r="F69" s="941"/>
      <c r="G69" s="941"/>
      <c r="H69" s="941"/>
      <c r="I69" s="941"/>
    </row>
    <row r="70" spans="1:10" s="74" customFormat="1" ht="18.75" thickBot="1" x14ac:dyDescent="0.55000000000000004">
      <c r="A70" s="60"/>
      <c r="B70" s="60"/>
      <c r="C70" s="60"/>
      <c r="D70" s="61"/>
      <c r="E70" s="61"/>
      <c r="F70" s="61"/>
      <c r="G70" s="289"/>
      <c r="H70" s="62"/>
      <c r="I70" s="60"/>
    </row>
    <row r="71" spans="1:10" s="119" customFormat="1" ht="18" x14ac:dyDescent="0.5">
      <c r="A71" s="558" t="s">
        <v>665</v>
      </c>
      <c r="B71" s="614" t="s">
        <v>794</v>
      </c>
      <c r="C71" s="547"/>
      <c r="D71" s="548"/>
      <c r="E71" s="548"/>
      <c r="F71" s="548"/>
      <c r="G71" s="599" t="s">
        <v>1</v>
      </c>
      <c r="H71" s="541" t="s">
        <v>868</v>
      </c>
      <c r="I71" s="549" t="s">
        <v>2</v>
      </c>
      <c r="J71" s="119">
        <v>5</v>
      </c>
    </row>
    <row r="72" spans="1:10" s="74" customFormat="1" ht="18" x14ac:dyDescent="0.5">
      <c r="A72" s="565">
        <v>3</v>
      </c>
      <c r="B72" s="539" t="s">
        <v>5</v>
      </c>
      <c r="C72" s="539" t="s">
        <v>4</v>
      </c>
      <c r="D72" s="540" t="s">
        <v>3</v>
      </c>
      <c r="E72" s="540" t="s">
        <v>613</v>
      </c>
      <c r="F72" s="540" t="s">
        <v>614</v>
      </c>
      <c r="G72" s="600" t="s">
        <v>510</v>
      </c>
      <c r="H72" s="543" t="s">
        <v>7</v>
      </c>
      <c r="I72" s="636">
        <f>I35</f>
        <v>45574</v>
      </c>
    </row>
    <row r="73" spans="1:10" s="74" customFormat="1" ht="18.75" thickBot="1" x14ac:dyDescent="0.55000000000000004">
      <c r="A73" s="589"/>
      <c r="B73" s="602"/>
      <c r="C73" s="602"/>
      <c r="D73" s="553">
        <v>1</v>
      </c>
      <c r="E73" s="553"/>
      <c r="F73" s="553"/>
      <c r="G73" s="632">
        <f>Summary!J59</f>
        <v>20000</v>
      </c>
      <c r="H73" s="633">
        <f>H100</f>
        <v>0.4619241</v>
      </c>
      <c r="I73" s="603"/>
    </row>
    <row r="74" spans="1:10" s="74" customFormat="1" ht="18.75" thickBot="1" x14ac:dyDescent="0.55000000000000004">
      <c r="A74" s="60"/>
      <c r="B74" s="60"/>
      <c r="C74" s="60"/>
      <c r="D74" s="61"/>
      <c r="E74" s="61"/>
      <c r="F74" s="61"/>
      <c r="G74" s="289"/>
      <c r="H74" s="62"/>
      <c r="I74" s="60"/>
    </row>
    <row r="75" spans="1:10" s="74" customFormat="1" ht="18" x14ac:dyDescent="0.5">
      <c r="A75" s="63" t="s">
        <v>605</v>
      </c>
      <c r="B75" s="64" t="s">
        <v>10</v>
      </c>
      <c r="C75" s="64" t="s">
        <v>9</v>
      </c>
      <c r="D75" s="298" t="s">
        <v>8</v>
      </c>
      <c r="E75" s="52" t="s">
        <v>613</v>
      </c>
      <c r="F75" s="52" t="s">
        <v>614</v>
      </c>
      <c r="G75" s="290" t="s">
        <v>11</v>
      </c>
      <c r="H75" s="226" t="s">
        <v>24</v>
      </c>
      <c r="I75" s="65" t="s">
        <v>25</v>
      </c>
    </row>
    <row r="76" spans="1:10" s="74" customFormat="1" ht="18" x14ac:dyDescent="0.5">
      <c r="A76" s="970" t="s">
        <v>560</v>
      </c>
      <c r="B76" s="963" t="s">
        <v>670</v>
      </c>
      <c r="C76" s="964" t="s">
        <v>471</v>
      </c>
      <c r="D76" s="965">
        <v>0.1</v>
      </c>
      <c r="E76" s="957">
        <v>0.34</v>
      </c>
      <c r="F76" s="966">
        <f t="shared" ref="F76:F84" si="6">D76+D76*E76</f>
        <v>0.13400000000000001</v>
      </c>
      <c r="G76" s="967">
        <v>22000</v>
      </c>
      <c r="H76" s="959">
        <f t="shared" ref="H76:H95" si="7">F76*G76</f>
        <v>2948</v>
      </c>
      <c r="I76" s="980">
        <f t="shared" ref="I76:I95" si="8">H76/I$3</f>
        <v>1.4038095238095238</v>
      </c>
    </row>
    <row r="77" spans="1:10" s="74" customFormat="1" ht="18" x14ac:dyDescent="0.5">
      <c r="A77" s="236" t="s">
        <v>559</v>
      </c>
      <c r="B77" s="399" t="s">
        <v>625</v>
      </c>
      <c r="C77" s="400" t="s">
        <v>471</v>
      </c>
      <c r="D77" s="406">
        <v>0.1</v>
      </c>
      <c r="E77" s="86">
        <v>0.3</v>
      </c>
      <c r="F77" s="67">
        <f t="shared" si="6"/>
        <v>0.13</v>
      </c>
      <c r="G77" s="34">
        <v>7000</v>
      </c>
      <c r="H77" s="46">
        <f t="shared" si="7"/>
        <v>910</v>
      </c>
      <c r="I77" s="47">
        <f t="shared" si="8"/>
        <v>0.43333333333333335</v>
      </c>
    </row>
    <row r="78" spans="1:10" s="74" customFormat="1" ht="18" x14ac:dyDescent="0.5">
      <c r="A78" s="236" t="s">
        <v>588</v>
      </c>
      <c r="B78" s="399" t="s">
        <v>673</v>
      </c>
      <c r="C78" s="400" t="s">
        <v>471</v>
      </c>
      <c r="D78" s="406">
        <v>0.1</v>
      </c>
      <c r="E78" s="86">
        <v>0.2</v>
      </c>
      <c r="F78" s="67">
        <f t="shared" si="6"/>
        <v>0.12000000000000001</v>
      </c>
      <c r="G78" s="91">
        <v>4500</v>
      </c>
      <c r="H78" s="46">
        <f t="shared" si="7"/>
        <v>540</v>
      </c>
      <c r="I78" s="47">
        <f t="shared" si="8"/>
        <v>0.25714285714285712</v>
      </c>
    </row>
    <row r="79" spans="1:10" s="74" customFormat="1" ht="18" x14ac:dyDescent="0.5">
      <c r="A79" s="236" t="s">
        <v>568</v>
      </c>
      <c r="B79" s="399" t="s">
        <v>791</v>
      </c>
      <c r="C79" s="400" t="s">
        <v>471</v>
      </c>
      <c r="D79" s="406">
        <v>0.02</v>
      </c>
      <c r="E79" s="86">
        <v>0</v>
      </c>
      <c r="F79" s="67">
        <f t="shared" si="6"/>
        <v>0.02</v>
      </c>
      <c r="G79" s="34">
        <f>44000</f>
        <v>44000</v>
      </c>
      <c r="H79" s="46">
        <f t="shared" si="7"/>
        <v>880</v>
      </c>
      <c r="I79" s="47">
        <f t="shared" si="8"/>
        <v>0.41904761904761906</v>
      </c>
    </row>
    <row r="80" spans="1:10" s="74" customFormat="1" ht="18" x14ac:dyDescent="0.5">
      <c r="A80" s="66" t="s">
        <v>499</v>
      </c>
      <c r="B80" s="399" t="s">
        <v>664</v>
      </c>
      <c r="C80" s="400" t="s">
        <v>463</v>
      </c>
      <c r="D80" s="406">
        <v>0.01</v>
      </c>
      <c r="E80" s="86">
        <v>0</v>
      </c>
      <c r="F80" s="67">
        <f t="shared" si="6"/>
        <v>0.01</v>
      </c>
      <c r="G80" s="143">
        <v>40000</v>
      </c>
      <c r="H80" s="46">
        <f t="shared" si="7"/>
        <v>400</v>
      </c>
      <c r="I80" s="47">
        <f t="shared" si="8"/>
        <v>0.19047619047619047</v>
      </c>
    </row>
    <row r="81" spans="1:9" s="74" customFormat="1" ht="18" x14ac:dyDescent="0.5">
      <c r="A81" s="240"/>
      <c r="B81" s="396" t="s">
        <v>786</v>
      </c>
      <c r="C81" s="400" t="s">
        <v>23</v>
      </c>
      <c r="D81" s="406">
        <v>0.02</v>
      </c>
      <c r="E81" s="86">
        <v>0</v>
      </c>
      <c r="F81" s="67">
        <f t="shared" si="6"/>
        <v>0.02</v>
      </c>
      <c r="G81" s="222">
        <v>14000</v>
      </c>
      <c r="H81" s="46">
        <f t="shared" si="7"/>
        <v>280</v>
      </c>
      <c r="I81" s="47">
        <f t="shared" si="8"/>
        <v>0.13333333333333333</v>
      </c>
    </row>
    <row r="82" spans="1:9" s="74" customFormat="1" ht="18" x14ac:dyDescent="0.5">
      <c r="A82" s="84"/>
      <c r="B82" s="399" t="s">
        <v>787</v>
      </c>
      <c r="C82" s="400" t="s">
        <v>471</v>
      </c>
      <c r="D82" s="406">
        <v>0.01</v>
      </c>
      <c r="E82" s="86">
        <v>0</v>
      </c>
      <c r="F82" s="67">
        <f t="shared" si="6"/>
        <v>0.01</v>
      </c>
      <c r="G82" s="34">
        <v>15000</v>
      </c>
      <c r="H82" s="46">
        <f t="shared" si="7"/>
        <v>150</v>
      </c>
      <c r="I82" s="47">
        <f t="shared" si="8"/>
        <v>7.1428571428571425E-2</v>
      </c>
    </row>
    <row r="83" spans="1:9" s="74" customFormat="1" ht="18" x14ac:dyDescent="0.5">
      <c r="A83" s="240"/>
      <c r="B83" s="399" t="s">
        <v>610</v>
      </c>
      <c r="C83" s="400" t="s">
        <v>463</v>
      </c>
      <c r="D83" s="406">
        <v>0.01</v>
      </c>
      <c r="E83" s="86">
        <v>0</v>
      </c>
      <c r="F83" s="67">
        <f t="shared" si="6"/>
        <v>0.01</v>
      </c>
      <c r="G83" s="34">
        <v>1200</v>
      </c>
      <c r="H83" s="46">
        <f t="shared" si="7"/>
        <v>12</v>
      </c>
      <c r="I83" s="47">
        <f t="shared" si="8"/>
        <v>5.7142857142857143E-3</v>
      </c>
    </row>
    <row r="84" spans="1:9" s="74" customFormat="1" ht="18" x14ac:dyDescent="0.5">
      <c r="A84" s="240"/>
      <c r="B84" s="399" t="s">
        <v>612</v>
      </c>
      <c r="C84" s="400" t="s">
        <v>471</v>
      </c>
      <c r="D84" s="406">
        <v>0.03</v>
      </c>
      <c r="E84" s="86">
        <v>0</v>
      </c>
      <c r="F84" s="67">
        <f t="shared" si="6"/>
        <v>0.03</v>
      </c>
      <c r="G84" s="34">
        <v>5800</v>
      </c>
      <c r="H84" s="46">
        <f t="shared" si="7"/>
        <v>174</v>
      </c>
      <c r="I84" s="47">
        <f t="shared" si="8"/>
        <v>8.2857142857142851E-2</v>
      </c>
    </row>
    <row r="85" spans="1:9" s="74" customFormat="1" ht="18" x14ac:dyDescent="0.5">
      <c r="A85" s="240"/>
      <c r="B85" s="631" t="s">
        <v>793</v>
      </c>
      <c r="C85" s="400" t="s">
        <v>463</v>
      </c>
      <c r="D85" s="406">
        <v>0.02</v>
      </c>
      <c r="E85" s="86">
        <v>0</v>
      </c>
      <c r="F85" s="20">
        <v>0.02</v>
      </c>
      <c r="G85" s="35">
        <v>0</v>
      </c>
      <c r="H85" s="46">
        <f t="shared" si="7"/>
        <v>0</v>
      </c>
      <c r="I85" s="47">
        <f t="shared" si="8"/>
        <v>0</v>
      </c>
    </row>
    <row r="86" spans="1:9" s="74" customFormat="1" ht="18" x14ac:dyDescent="0.5">
      <c r="A86" s="240"/>
      <c r="B86" s="399" t="s">
        <v>672</v>
      </c>
      <c r="C86" s="400" t="s">
        <v>471</v>
      </c>
      <c r="D86" s="406">
        <v>0.05</v>
      </c>
      <c r="E86" s="86">
        <v>0</v>
      </c>
      <c r="F86" s="20">
        <v>0.05</v>
      </c>
      <c r="G86" s="34">
        <v>7800</v>
      </c>
      <c r="H86" s="46">
        <f t="shared" si="7"/>
        <v>390</v>
      </c>
      <c r="I86" s="47">
        <f t="shared" si="8"/>
        <v>0.18571428571428572</v>
      </c>
    </row>
    <row r="87" spans="1:9" s="74" customFormat="1" ht="18" x14ac:dyDescent="0.5">
      <c r="A87" s="240"/>
      <c r="B87" s="396" t="s">
        <v>649</v>
      </c>
      <c r="C87" s="397" t="s">
        <v>463</v>
      </c>
      <c r="D87" s="398">
        <v>1E-3</v>
      </c>
      <c r="E87" s="86">
        <v>0</v>
      </c>
      <c r="F87" s="20">
        <v>1E-3</v>
      </c>
      <c r="G87" s="34">
        <v>80000</v>
      </c>
      <c r="H87" s="46">
        <f t="shared" si="7"/>
        <v>80</v>
      </c>
      <c r="I87" s="47">
        <f t="shared" si="8"/>
        <v>3.8095238095238099E-2</v>
      </c>
    </row>
    <row r="88" spans="1:9" s="74" customFormat="1" ht="18" x14ac:dyDescent="0.5">
      <c r="A88" s="240"/>
      <c r="B88" s="631" t="s">
        <v>792</v>
      </c>
      <c r="C88" s="400" t="s">
        <v>463</v>
      </c>
      <c r="D88" s="406">
        <v>0.01</v>
      </c>
      <c r="E88" s="86">
        <v>0</v>
      </c>
      <c r="F88" s="20">
        <v>0.01</v>
      </c>
      <c r="G88" s="35">
        <v>0</v>
      </c>
      <c r="H88" s="46">
        <f t="shared" si="7"/>
        <v>0</v>
      </c>
      <c r="I88" s="47">
        <f t="shared" si="8"/>
        <v>0</v>
      </c>
    </row>
    <row r="89" spans="1:9" s="74" customFormat="1" ht="18" x14ac:dyDescent="0.5">
      <c r="A89" s="240"/>
      <c r="B89" s="399" t="s">
        <v>692</v>
      </c>
      <c r="C89" s="400" t="s">
        <v>471</v>
      </c>
      <c r="D89" s="406">
        <v>0.02</v>
      </c>
      <c r="E89" s="86">
        <v>0.2</v>
      </c>
      <c r="F89" s="20">
        <v>0.02</v>
      </c>
      <c r="G89" s="34">
        <v>5000</v>
      </c>
      <c r="H89" s="46">
        <f t="shared" si="7"/>
        <v>100</v>
      </c>
      <c r="I89" s="47">
        <f t="shared" si="8"/>
        <v>4.7619047619047616E-2</v>
      </c>
    </row>
    <row r="90" spans="1:9" s="74" customFormat="1" ht="18" x14ac:dyDescent="0.5">
      <c r="A90" s="240"/>
      <c r="B90" s="399" t="s">
        <v>674</v>
      </c>
      <c r="C90" s="400" t="s">
        <v>471</v>
      </c>
      <c r="D90" s="406">
        <v>0.02</v>
      </c>
      <c r="E90" s="86">
        <v>0.2</v>
      </c>
      <c r="F90" s="20">
        <v>0.02</v>
      </c>
      <c r="G90" s="34">
        <v>21000</v>
      </c>
      <c r="H90" s="46">
        <f t="shared" si="7"/>
        <v>420</v>
      </c>
      <c r="I90" s="47">
        <f t="shared" si="8"/>
        <v>0.2</v>
      </c>
    </row>
    <row r="91" spans="1:9" s="74" customFormat="1" ht="18" x14ac:dyDescent="0.5">
      <c r="A91" s="240"/>
      <c r="B91" s="396" t="s">
        <v>930</v>
      </c>
      <c r="C91" s="397" t="s">
        <v>471</v>
      </c>
      <c r="D91" s="398">
        <v>0.01</v>
      </c>
      <c r="E91" s="86">
        <v>0</v>
      </c>
      <c r="F91" s="20">
        <v>0.01</v>
      </c>
      <c r="G91" s="34">
        <v>12000</v>
      </c>
      <c r="H91" s="46">
        <f t="shared" si="7"/>
        <v>120</v>
      </c>
      <c r="I91" s="47">
        <f t="shared" si="8"/>
        <v>5.7142857142857141E-2</v>
      </c>
    </row>
    <row r="92" spans="1:9" s="74" customFormat="1" ht="18" x14ac:dyDescent="0.5">
      <c r="A92" s="240"/>
      <c r="B92" s="399" t="s">
        <v>652</v>
      </c>
      <c r="C92" s="400" t="s">
        <v>471</v>
      </c>
      <c r="D92" s="406">
        <v>0.05</v>
      </c>
      <c r="E92" s="86">
        <v>0</v>
      </c>
      <c r="F92" s="20">
        <v>0.05</v>
      </c>
      <c r="G92" s="34">
        <v>7000</v>
      </c>
      <c r="H92" s="46">
        <f t="shared" si="7"/>
        <v>350</v>
      </c>
      <c r="I92" s="47">
        <f t="shared" si="8"/>
        <v>0.16666666666666666</v>
      </c>
    </row>
    <row r="93" spans="1:9" s="74" customFormat="1" ht="18" x14ac:dyDescent="0.5">
      <c r="A93" s="240"/>
      <c r="B93" s="399" t="s">
        <v>644</v>
      </c>
      <c r="C93" s="400" t="s">
        <v>471</v>
      </c>
      <c r="D93" s="406">
        <v>0.01</v>
      </c>
      <c r="E93" s="86">
        <v>0</v>
      </c>
      <c r="F93" s="20">
        <v>0.01</v>
      </c>
      <c r="G93" s="34">
        <v>10000</v>
      </c>
      <c r="H93" s="46">
        <f t="shared" si="7"/>
        <v>100</v>
      </c>
      <c r="I93" s="47">
        <f t="shared" si="8"/>
        <v>4.7619047619047616E-2</v>
      </c>
    </row>
    <row r="94" spans="1:9" s="74" customFormat="1" ht="18" x14ac:dyDescent="0.5">
      <c r="A94" s="240"/>
      <c r="B94" s="396" t="s">
        <v>795</v>
      </c>
      <c r="C94" s="397" t="s">
        <v>471</v>
      </c>
      <c r="D94" s="398">
        <v>0.01</v>
      </c>
      <c r="E94" s="86">
        <v>0</v>
      </c>
      <c r="F94" s="20">
        <v>0.01</v>
      </c>
      <c r="G94" s="34">
        <v>24000</v>
      </c>
      <c r="H94" s="46">
        <f t="shared" si="7"/>
        <v>240</v>
      </c>
      <c r="I94" s="47">
        <f t="shared" si="8"/>
        <v>0.11428571428571428</v>
      </c>
    </row>
    <row r="95" spans="1:9" s="74" customFormat="1" ht="18.75" thickBot="1" x14ac:dyDescent="0.55000000000000004">
      <c r="A95" s="93"/>
      <c r="B95" s="425" t="s">
        <v>796</v>
      </c>
      <c r="C95" s="426" t="s">
        <v>471</v>
      </c>
      <c r="D95" s="427">
        <v>0.01</v>
      </c>
      <c r="E95" s="394">
        <v>0</v>
      </c>
      <c r="F95" s="96">
        <v>0.01</v>
      </c>
      <c r="G95" s="97">
        <v>6000</v>
      </c>
      <c r="H95" s="59">
        <f t="shared" si="7"/>
        <v>60</v>
      </c>
      <c r="I95" s="98">
        <f t="shared" si="8"/>
        <v>2.8571428571428571E-2</v>
      </c>
    </row>
    <row r="96" spans="1:9" s="74" customFormat="1" ht="18" x14ac:dyDescent="0.5">
      <c r="A96" s="60"/>
      <c r="B96" s="99" t="s">
        <v>4</v>
      </c>
      <c r="C96" s="69"/>
      <c r="D96" s="70"/>
      <c r="E96" s="70"/>
      <c r="F96" s="70"/>
      <c r="G96" s="299"/>
      <c r="H96" s="71">
        <f>SUM(H76:H95)</f>
        <v>8154</v>
      </c>
      <c r="I96" s="160">
        <f>SUM(I76:I95)</f>
        <v>3.8828571428571417</v>
      </c>
    </row>
    <row r="97" spans="1:9" s="74" customFormat="1" ht="18" x14ac:dyDescent="0.5">
      <c r="A97" s="60"/>
      <c r="B97" s="101" t="s">
        <v>14</v>
      </c>
      <c r="C97" s="22"/>
      <c r="D97" s="54"/>
      <c r="E97" s="54"/>
      <c r="F97" s="54"/>
      <c r="G97" s="291"/>
      <c r="H97" s="73">
        <f>H96/1</f>
        <v>8154</v>
      </c>
      <c r="I97" s="104"/>
    </row>
    <row r="98" spans="1:9" s="74" customFormat="1" ht="18" x14ac:dyDescent="0.5">
      <c r="A98" s="60"/>
      <c r="B98" s="101" t="s">
        <v>15</v>
      </c>
      <c r="C98" s="22"/>
      <c r="D98" s="54"/>
      <c r="E98" s="54"/>
      <c r="F98" s="54"/>
      <c r="G98" s="291"/>
      <c r="H98" s="983">
        <f>G73</f>
        <v>20000</v>
      </c>
      <c r="I98" s="104"/>
    </row>
    <row r="99" spans="1:9" s="74" customFormat="1" ht="18" x14ac:dyDescent="0.5">
      <c r="A99" s="60"/>
      <c r="B99" s="101" t="s">
        <v>454</v>
      </c>
      <c r="C99" s="22"/>
      <c r="D99" s="54"/>
      <c r="E99" s="54"/>
      <c r="F99" s="54"/>
      <c r="G99" s="291"/>
      <c r="H99" s="104">
        <f>H98/113.3%</f>
        <v>17652.250661959399</v>
      </c>
      <c r="I99" s="104"/>
    </row>
    <row r="100" spans="1:9" s="74" customFormat="1" ht="18" x14ac:dyDescent="0.5">
      <c r="A100" s="60"/>
      <c r="B100" s="101" t="s">
        <v>16</v>
      </c>
      <c r="C100" s="22"/>
      <c r="D100" s="54"/>
      <c r="E100" s="54"/>
      <c r="F100" s="54"/>
      <c r="G100" s="291"/>
      <c r="H100" s="601">
        <f>H97/H99</f>
        <v>0.4619241</v>
      </c>
      <c r="I100" s="601"/>
    </row>
    <row r="101" spans="1:9" s="74" customFormat="1" ht="18" x14ac:dyDescent="0.5">
      <c r="A101" s="60"/>
      <c r="B101" s="101"/>
      <c r="C101" s="22"/>
      <c r="D101" s="54"/>
      <c r="E101" s="54"/>
      <c r="F101" s="54"/>
      <c r="G101" s="291"/>
      <c r="H101" s="73"/>
      <c r="I101" s="171"/>
    </row>
    <row r="102" spans="1:9" s="74" customFormat="1" ht="18" x14ac:dyDescent="0.5">
      <c r="A102" s="60"/>
      <c r="B102" s="72"/>
      <c r="C102" s="22"/>
      <c r="D102" s="54"/>
      <c r="E102" s="54"/>
      <c r="F102" s="54"/>
      <c r="G102" s="291"/>
      <c r="H102" s="55"/>
      <c r="I102" s="22"/>
    </row>
    <row r="103" spans="1:9" s="74" customFormat="1" ht="18" x14ac:dyDescent="0.5">
      <c r="D103" s="77"/>
      <c r="E103" s="77"/>
      <c r="F103" s="77"/>
      <c r="G103" s="287"/>
      <c r="H103" s="115"/>
    </row>
    <row r="104" spans="1:9" x14ac:dyDescent="0.6">
      <c r="D104" s="77"/>
      <c r="E104" s="77"/>
      <c r="F104" s="77"/>
      <c r="G104" s="287"/>
      <c r="H104" s="115"/>
    </row>
  </sheetData>
  <mergeCells count="2">
    <mergeCell ref="A2:I2"/>
    <mergeCell ref="A69:I69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theme="3" tint="0.39997558519241921"/>
  </sheetPr>
  <dimension ref="A2:J105"/>
  <sheetViews>
    <sheetView workbookViewId="0">
      <selection activeCell="J84" sqref="J84"/>
    </sheetView>
  </sheetViews>
  <sheetFormatPr defaultColWidth="9.140625" defaultRowHeight="21" x14ac:dyDescent="0.6"/>
  <cols>
    <col min="1" max="1" width="11.28515625" style="74" customWidth="1"/>
    <col min="2" max="2" width="28" style="74" customWidth="1"/>
    <col min="3" max="3" width="10.42578125" style="74" customWidth="1"/>
    <col min="4" max="4" width="13.140625" style="74" customWidth="1"/>
    <col min="5" max="5" width="11.140625" style="74" customWidth="1"/>
    <col min="6" max="6" width="13.140625" style="74" customWidth="1"/>
    <col min="7" max="7" width="13.28515625" style="189" customWidth="1"/>
    <col min="8" max="8" width="17.42578125" style="189" customWidth="1"/>
    <col min="9" max="9" width="20" style="74" customWidth="1"/>
    <col min="10" max="16384" width="9.140625" style="51"/>
  </cols>
  <sheetData>
    <row r="2" spans="1:10" s="74" customFormat="1" ht="18" x14ac:dyDescent="0.5">
      <c r="A2" s="933" t="s">
        <v>925</v>
      </c>
      <c r="B2" s="933"/>
      <c r="C2" s="933"/>
      <c r="D2" s="933"/>
      <c r="E2" s="933"/>
      <c r="F2" s="933"/>
      <c r="G2" s="933"/>
      <c r="H2" s="933"/>
      <c r="I2" s="933"/>
    </row>
    <row r="3" spans="1:10" s="74" customFormat="1" ht="18" x14ac:dyDescent="0.5">
      <c r="D3" s="188"/>
      <c r="E3" s="188"/>
      <c r="F3" s="188"/>
      <c r="G3" s="189"/>
      <c r="H3" s="190"/>
      <c r="I3" s="279">
        <v>2100</v>
      </c>
    </row>
    <row r="4" spans="1:10" s="74" customFormat="1" ht="18.75" thickBot="1" x14ac:dyDescent="0.55000000000000004">
      <c r="A4" s="942" t="s">
        <v>0</v>
      </c>
      <c r="B4" s="942"/>
      <c r="C4" s="942"/>
      <c r="D4" s="942"/>
      <c r="E4" s="942"/>
      <c r="F4" s="942"/>
      <c r="G4" s="942"/>
      <c r="H4" s="942"/>
      <c r="I4" s="942"/>
    </row>
    <row r="5" spans="1:10" s="119" customFormat="1" ht="18" x14ac:dyDescent="0.5">
      <c r="A5" s="558" t="s">
        <v>665</v>
      </c>
      <c r="B5" s="614" t="s">
        <v>797</v>
      </c>
      <c r="C5" s="547"/>
      <c r="D5" s="548"/>
      <c r="E5" s="548"/>
      <c r="F5" s="548"/>
      <c r="G5" s="548" t="s">
        <v>1</v>
      </c>
      <c r="H5" s="541" t="s">
        <v>868</v>
      </c>
      <c r="I5" s="549" t="s">
        <v>2</v>
      </c>
      <c r="J5" s="119">
        <v>1</v>
      </c>
    </row>
    <row r="6" spans="1:10" s="119" customFormat="1" ht="18" x14ac:dyDescent="0.5">
      <c r="A6" s="550">
        <v>1</v>
      </c>
      <c r="B6" s="539" t="s">
        <v>5</v>
      </c>
      <c r="C6" s="539" t="s">
        <v>4</v>
      </c>
      <c r="D6" s="540" t="s">
        <v>3</v>
      </c>
      <c r="E6" s="540" t="s">
        <v>613</v>
      </c>
      <c r="F6" s="540" t="s">
        <v>614</v>
      </c>
      <c r="G6" s="540" t="s">
        <v>500</v>
      </c>
      <c r="H6" s="543" t="s">
        <v>7</v>
      </c>
      <c r="I6" s="636">
        <v>45574</v>
      </c>
    </row>
    <row r="7" spans="1:10" s="119" customFormat="1" ht="18.75" thickBot="1" x14ac:dyDescent="0.55000000000000004">
      <c r="A7" s="589"/>
      <c r="B7" s="602"/>
      <c r="C7" s="602"/>
      <c r="D7" s="553">
        <v>1</v>
      </c>
      <c r="E7" s="553"/>
      <c r="F7" s="553"/>
      <c r="G7" s="553">
        <f>Summary!J62</f>
        <v>15000</v>
      </c>
      <c r="H7" s="633">
        <f>H24</f>
        <v>0.35646994383459774</v>
      </c>
      <c r="I7" s="603"/>
    </row>
    <row r="8" spans="1:10" s="119" customFormat="1" ht="18.75" thickBot="1" x14ac:dyDescent="0.55000000000000004">
      <c r="A8" s="124"/>
      <c r="B8" s="124"/>
      <c r="C8" s="124"/>
      <c r="D8" s="125"/>
      <c r="E8" s="125"/>
      <c r="F8" s="125"/>
      <c r="G8" s="125"/>
      <c r="H8" s="126"/>
      <c r="I8" s="124"/>
    </row>
    <row r="9" spans="1:10" s="119" customFormat="1" ht="18" x14ac:dyDescent="0.5">
      <c r="A9" s="194" t="s">
        <v>605</v>
      </c>
      <c r="B9" s="166" t="s">
        <v>10</v>
      </c>
      <c r="C9" s="166" t="s">
        <v>9</v>
      </c>
      <c r="D9" s="117" t="s">
        <v>8</v>
      </c>
      <c r="E9" s="117" t="s">
        <v>613</v>
      </c>
      <c r="F9" s="117" t="s">
        <v>614</v>
      </c>
      <c r="G9" s="117" t="s">
        <v>11</v>
      </c>
      <c r="H9" s="118" t="s">
        <v>12</v>
      </c>
      <c r="I9" s="195" t="s">
        <v>12</v>
      </c>
    </row>
    <row r="10" spans="1:10" s="119" customFormat="1" ht="18" x14ac:dyDescent="0.5">
      <c r="A10" s="144"/>
      <c r="B10" s="26" t="s">
        <v>696</v>
      </c>
      <c r="C10" s="24" t="s">
        <v>23</v>
      </c>
      <c r="D10" s="25">
        <v>0.14000000000000001</v>
      </c>
      <c r="E10" s="139">
        <v>0.12</v>
      </c>
      <c r="F10" s="32">
        <f t="shared" ref="F10:F19" si="0">D10+D10*E10</f>
        <v>0.15680000000000002</v>
      </c>
      <c r="G10" s="35">
        <f>24000/1.62</f>
        <v>14814.814814814814</v>
      </c>
      <c r="H10" s="68">
        <f t="shared" ref="H10:H19" si="1">F10*G10</f>
        <v>2322.962962962963</v>
      </c>
      <c r="I10" s="161">
        <f t="shared" ref="I10:I19" si="2">H10/I$3</f>
        <v>1.106172839506173</v>
      </c>
    </row>
    <row r="11" spans="1:10" s="119" customFormat="1" ht="18" x14ac:dyDescent="0.5">
      <c r="A11" s="962" t="s">
        <v>554</v>
      </c>
      <c r="B11" s="977" t="s">
        <v>625</v>
      </c>
      <c r="C11" s="984" t="s">
        <v>471</v>
      </c>
      <c r="D11" s="966">
        <v>0.1</v>
      </c>
      <c r="E11" s="957">
        <v>0.3</v>
      </c>
      <c r="F11" s="966">
        <f t="shared" si="0"/>
        <v>0.13</v>
      </c>
      <c r="G11" s="967">
        <v>7000</v>
      </c>
      <c r="H11" s="959">
        <f t="shared" si="1"/>
        <v>910</v>
      </c>
      <c r="I11" s="980">
        <f t="shared" si="2"/>
        <v>0.43333333333333335</v>
      </c>
    </row>
    <row r="12" spans="1:10" s="119" customFormat="1" ht="18" x14ac:dyDescent="0.5">
      <c r="A12" s="144" t="s">
        <v>515</v>
      </c>
      <c r="B12" s="26" t="s">
        <v>493</v>
      </c>
      <c r="C12" s="24" t="s">
        <v>471</v>
      </c>
      <c r="D12" s="25">
        <v>0.01</v>
      </c>
      <c r="E12" s="139">
        <v>0.2</v>
      </c>
      <c r="F12" s="32">
        <f t="shared" si="0"/>
        <v>1.2E-2</v>
      </c>
      <c r="G12" s="35">
        <v>21000</v>
      </c>
      <c r="H12" s="68">
        <f t="shared" si="1"/>
        <v>252</v>
      </c>
      <c r="I12" s="161">
        <f t="shared" si="2"/>
        <v>0.12</v>
      </c>
    </row>
    <row r="13" spans="1:10" s="119" customFormat="1" ht="18" x14ac:dyDescent="0.5">
      <c r="A13" s="138" t="s">
        <v>475</v>
      </c>
      <c r="B13" s="23" t="s">
        <v>502</v>
      </c>
      <c r="C13" s="24" t="s">
        <v>471</v>
      </c>
      <c r="D13" s="25">
        <v>0.03</v>
      </c>
      <c r="E13" s="139">
        <v>0.2</v>
      </c>
      <c r="F13" s="25">
        <f t="shared" si="0"/>
        <v>3.5999999999999997E-2</v>
      </c>
      <c r="G13" s="143">
        <v>4500</v>
      </c>
      <c r="H13" s="122">
        <f t="shared" si="1"/>
        <v>162</v>
      </c>
      <c r="I13" s="161">
        <f t="shared" si="2"/>
        <v>7.7142857142857138E-2</v>
      </c>
    </row>
    <row r="14" spans="1:10" s="119" customFormat="1" ht="18" x14ac:dyDescent="0.5">
      <c r="A14" s="141" t="s">
        <v>473</v>
      </c>
      <c r="B14" s="23" t="s">
        <v>655</v>
      </c>
      <c r="C14" s="24" t="s">
        <v>471</v>
      </c>
      <c r="D14" s="25">
        <v>0.03</v>
      </c>
      <c r="E14" s="139">
        <v>0</v>
      </c>
      <c r="F14" s="32">
        <f t="shared" si="0"/>
        <v>0.03</v>
      </c>
      <c r="G14" s="143">
        <v>7800</v>
      </c>
      <c r="H14" s="68">
        <f t="shared" si="1"/>
        <v>234</v>
      </c>
      <c r="I14" s="161">
        <f t="shared" si="2"/>
        <v>0.11142857142857143</v>
      </c>
    </row>
    <row r="15" spans="1:10" s="119" customFormat="1" ht="18" x14ac:dyDescent="0.5">
      <c r="A15" s="141" t="s">
        <v>520</v>
      </c>
      <c r="B15" s="26" t="s">
        <v>616</v>
      </c>
      <c r="C15" s="43" t="s">
        <v>471</v>
      </c>
      <c r="D15" s="25">
        <v>0.02</v>
      </c>
      <c r="E15" s="139">
        <v>0</v>
      </c>
      <c r="F15" s="32">
        <f t="shared" si="0"/>
        <v>0.02</v>
      </c>
      <c r="G15" s="35">
        <v>24000</v>
      </c>
      <c r="H15" s="68">
        <f t="shared" si="1"/>
        <v>480</v>
      </c>
      <c r="I15" s="161">
        <f t="shared" si="2"/>
        <v>0.22857142857142856</v>
      </c>
    </row>
    <row r="16" spans="1:10" s="119" customFormat="1" ht="18" x14ac:dyDescent="0.5">
      <c r="A16" s="144" t="s">
        <v>517</v>
      </c>
      <c r="B16" s="26" t="s">
        <v>609</v>
      </c>
      <c r="C16" s="43" t="s">
        <v>27</v>
      </c>
      <c r="D16" s="25">
        <v>0.01</v>
      </c>
      <c r="E16" s="139">
        <v>0</v>
      </c>
      <c r="F16" s="32">
        <f t="shared" si="0"/>
        <v>0.01</v>
      </c>
      <c r="G16" s="35">
        <v>14000</v>
      </c>
      <c r="H16" s="68">
        <f t="shared" si="1"/>
        <v>140</v>
      </c>
      <c r="I16" s="161">
        <f t="shared" si="2"/>
        <v>6.6666666666666666E-2</v>
      </c>
    </row>
    <row r="17" spans="1:10" s="119" customFormat="1" ht="18" x14ac:dyDescent="0.5">
      <c r="A17" s="168" t="s">
        <v>519</v>
      </c>
      <c r="B17" s="23" t="s">
        <v>701</v>
      </c>
      <c r="C17" s="43" t="s">
        <v>471</v>
      </c>
      <c r="D17" s="25">
        <v>1E-3</v>
      </c>
      <c r="E17" s="139">
        <v>0</v>
      </c>
      <c r="F17" s="32">
        <f t="shared" si="0"/>
        <v>1E-3</v>
      </c>
      <c r="G17" s="39">
        <v>6000</v>
      </c>
      <c r="H17" s="68">
        <f t="shared" si="1"/>
        <v>6</v>
      </c>
      <c r="I17" s="161">
        <f t="shared" si="2"/>
        <v>2.8571428571428571E-3</v>
      </c>
    </row>
    <row r="18" spans="1:10" s="119" customFormat="1" ht="18" x14ac:dyDescent="0.5">
      <c r="A18" s="141" t="s">
        <v>571</v>
      </c>
      <c r="B18" s="26" t="s">
        <v>644</v>
      </c>
      <c r="C18" s="43" t="s">
        <v>471</v>
      </c>
      <c r="D18" s="25">
        <v>1E-3</v>
      </c>
      <c r="E18" s="139">
        <v>0</v>
      </c>
      <c r="F18" s="32">
        <f t="shared" si="0"/>
        <v>1E-3</v>
      </c>
      <c r="G18" s="35">
        <v>10000</v>
      </c>
      <c r="H18" s="68">
        <f t="shared" si="1"/>
        <v>10</v>
      </c>
      <c r="I18" s="161">
        <f t="shared" si="2"/>
        <v>4.7619047619047623E-3</v>
      </c>
    </row>
    <row r="19" spans="1:10" s="119" customFormat="1" ht="18.75" thickBot="1" x14ac:dyDescent="0.55000000000000004">
      <c r="A19" s="505" t="s">
        <v>532</v>
      </c>
      <c r="B19" s="501" t="s">
        <v>661</v>
      </c>
      <c r="C19" s="147" t="s">
        <v>459</v>
      </c>
      <c r="D19" s="255">
        <v>0.02</v>
      </c>
      <c r="E19" s="496">
        <v>0</v>
      </c>
      <c r="F19" s="255">
        <f t="shared" si="0"/>
        <v>0.02</v>
      </c>
      <c r="G19" s="256">
        <f>42000/4.15</f>
        <v>10120.481927710842</v>
      </c>
      <c r="H19" s="123">
        <f t="shared" si="1"/>
        <v>202.40963855421683</v>
      </c>
      <c r="I19" s="196">
        <f t="shared" si="2"/>
        <v>9.6385542168674676E-2</v>
      </c>
    </row>
    <row r="20" spans="1:10" s="119" customFormat="1" ht="18" x14ac:dyDescent="0.5">
      <c r="A20" s="124"/>
      <c r="B20" s="180" t="s">
        <v>4</v>
      </c>
      <c r="C20" s="186"/>
      <c r="D20" s="504"/>
      <c r="E20" s="263"/>
      <c r="F20" s="263"/>
      <c r="G20" s="264"/>
      <c r="H20" s="167">
        <f>SUM(H10:H19)</f>
        <v>4719.3726015171806</v>
      </c>
      <c r="I20" s="160">
        <f>SUM(I10:I19)</f>
        <v>2.2473202864367523</v>
      </c>
    </row>
    <row r="21" spans="1:10" s="119" customFormat="1" ht="18" x14ac:dyDescent="0.5">
      <c r="A21" s="124"/>
      <c r="B21" s="29" t="s">
        <v>14</v>
      </c>
      <c r="C21" s="43"/>
      <c r="D21" s="121"/>
      <c r="E21" s="121"/>
      <c r="F21" s="121"/>
      <c r="G21" s="121"/>
      <c r="H21" s="122">
        <f>H20/1</f>
        <v>4719.3726015171806</v>
      </c>
      <c r="I21" s="265"/>
    </row>
    <row r="22" spans="1:10" s="119" customFormat="1" ht="18" x14ac:dyDescent="0.5">
      <c r="A22" s="124"/>
      <c r="B22" s="168" t="s">
        <v>453</v>
      </c>
      <c r="C22" s="43"/>
      <c r="D22" s="104"/>
      <c r="E22" s="266"/>
      <c r="F22" s="266"/>
      <c r="G22" s="267"/>
      <c r="H22" s="104">
        <f>G7</f>
        <v>15000</v>
      </c>
      <c r="I22" s="104"/>
    </row>
    <row r="23" spans="1:10" s="119" customFormat="1" ht="18" x14ac:dyDescent="0.5">
      <c r="A23" s="124"/>
      <c r="B23" s="168" t="s">
        <v>455</v>
      </c>
      <c r="C23" s="43"/>
      <c r="D23" s="104"/>
      <c r="E23" s="266"/>
      <c r="F23" s="266"/>
      <c r="G23" s="267"/>
      <c r="H23" s="104">
        <f>H22/113.3%</f>
        <v>13239.187996469549</v>
      </c>
      <c r="I23" s="104"/>
    </row>
    <row r="24" spans="1:10" s="119" customFormat="1" ht="18" x14ac:dyDescent="0.5">
      <c r="A24" s="124"/>
      <c r="B24" s="168" t="s">
        <v>16</v>
      </c>
      <c r="C24" s="43"/>
      <c r="D24" s="104"/>
      <c r="E24" s="266"/>
      <c r="F24" s="266"/>
      <c r="G24" s="267"/>
      <c r="H24" s="588">
        <f>H21/H23</f>
        <v>0.35646994383459774</v>
      </c>
      <c r="I24" s="588"/>
    </row>
    <row r="25" spans="1:10" s="119" customFormat="1" ht="18" x14ac:dyDescent="0.5">
      <c r="A25" s="124"/>
      <c r="B25" s="168"/>
      <c r="C25" s="43"/>
      <c r="D25" s="104"/>
      <c r="E25" s="266"/>
      <c r="F25" s="266"/>
      <c r="G25" s="267"/>
      <c r="H25" s="169"/>
      <c r="I25" s="171"/>
    </row>
    <row r="26" spans="1:10" s="119" customFormat="1" ht="18.75" thickBot="1" x14ac:dyDescent="0.55000000000000004">
      <c r="A26" s="124"/>
      <c r="B26" s="172"/>
      <c r="C26" s="147"/>
      <c r="D26" s="268"/>
      <c r="E26" s="269"/>
      <c r="F26" s="269"/>
      <c r="G26" s="270"/>
      <c r="H26" s="173"/>
      <c r="I26" s="164"/>
    </row>
    <row r="27" spans="1:10" s="74" customFormat="1" ht="18" x14ac:dyDescent="0.5">
      <c r="D27" s="77"/>
      <c r="E27" s="77"/>
      <c r="F27" s="77"/>
      <c r="G27" s="114"/>
      <c r="H27" s="115"/>
    </row>
    <row r="28" spans="1:10" s="74" customFormat="1" ht="18.75" thickBot="1" x14ac:dyDescent="0.55000000000000004">
      <c r="A28" s="939" t="s">
        <v>0</v>
      </c>
      <c r="B28" s="939"/>
      <c r="C28" s="939"/>
      <c r="D28" s="939"/>
      <c r="E28" s="939"/>
      <c r="F28" s="939"/>
      <c r="G28" s="939"/>
      <c r="H28" s="939"/>
      <c r="I28" s="939"/>
    </row>
    <row r="29" spans="1:10" s="74" customFormat="1" ht="18" x14ac:dyDescent="0.5">
      <c r="A29" s="556" t="s">
        <v>722</v>
      </c>
      <c r="B29" s="556" t="s">
        <v>771</v>
      </c>
      <c r="C29" s="547"/>
      <c r="D29" s="548"/>
      <c r="E29" s="548"/>
      <c r="F29" s="548"/>
      <c r="G29" s="548" t="s">
        <v>1</v>
      </c>
      <c r="H29" s="541" t="s">
        <v>868</v>
      </c>
      <c r="I29" s="549" t="s">
        <v>2</v>
      </c>
      <c r="J29" s="74">
        <v>2</v>
      </c>
    </row>
    <row r="30" spans="1:10" s="74" customFormat="1" ht="18" x14ac:dyDescent="0.5">
      <c r="A30" s="550">
        <v>2</v>
      </c>
      <c r="B30" s="539"/>
      <c r="C30" s="539" t="s">
        <v>4</v>
      </c>
      <c r="D30" s="540" t="s">
        <v>3</v>
      </c>
      <c r="E30" s="540" t="s">
        <v>613</v>
      </c>
      <c r="F30" s="540" t="s">
        <v>614</v>
      </c>
      <c r="G30" s="540" t="s">
        <v>510</v>
      </c>
      <c r="H30" s="543" t="s">
        <v>7</v>
      </c>
      <c r="I30" s="636">
        <f>I6</f>
        <v>45574</v>
      </c>
    </row>
    <row r="31" spans="1:10" s="74" customFormat="1" ht="18.75" thickBot="1" x14ac:dyDescent="0.55000000000000004">
      <c r="A31" s="551"/>
      <c r="B31" s="552"/>
      <c r="C31" s="552"/>
      <c r="D31" s="553">
        <v>1</v>
      </c>
      <c r="E31" s="553"/>
      <c r="F31" s="553"/>
      <c r="G31" s="553">
        <f>Summary!J63</f>
        <v>20000</v>
      </c>
      <c r="H31" s="645">
        <f>H47</f>
        <v>0.37691373272162726</v>
      </c>
      <c r="I31" s="555"/>
    </row>
    <row r="32" spans="1:10" s="74" customFormat="1" ht="18.75" thickBot="1" x14ac:dyDescent="0.55000000000000004">
      <c r="A32" s="60"/>
      <c r="B32" s="60"/>
      <c r="C32" s="60"/>
      <c r="D32" s="61"/>
      <c r="E32" s="61"/>
      <c r="F32" s="61"/>
      <c r="G32" s="61"/>
      <c r="H32" s="62"/>
      <c r="I32" s="60"/>
    </row>
    <row r="33" spans="1:9" s="74" customFormat="1" ht="18" x14ac:dyDescent="0.5">
      <c r="A33" s="63" t="s">
        <v>605</v>
      </c>
      <c r="B33" s="64" t="s">
        <v>10</v>
      </c>
      <c r="C33" s="64" t="s">
        <v>9</v>
      </c>
      <c r="D33" s="52" t="s">
        <v>8</v>
      </c>
      <c r="E33" s="52" t="s">
        <v>613</v>
      </c>
      <c r="F33" s="52" t="s">
        <v>614</v>
      </c>
      <c r="G33" s="52" t="s">
        <v>11</v>
      </c>
      <c r="H33" s="53" t="s">
        <v>12</v>
      </c>
      <c r="I33" s="65" t="s">
        <v>12</v>
      </c>
    </row>
    <row r="34" spans="1:9" s="74" customFormat="1" ht="18" x14ac:dyDescent="0.5">
      <c r="A34" s="962" t="s">
        <v>469</v>
      </c>
      <c r="B34" s="973" t="s">
        <v>670</v>
      </c>
      <c r="C34" s="984" t="s">
        <v>23</v>
      </c>
      <c r="D34" s="966">
        <v>0.25</v>
      </c>
      <c r="E34" s="957">
        <v>0.34</v>
      </c>
      <c r="F34" s="956">
        <f t="shared" ref="F34:F42" si="3">D34+D34*E34</f>
        <v>0.33500000000000002</v>
      </c>
      <c r="G34" s="967">
        <f>22000/1.62</f>
        <v>13580.246913580246</v>
      </c>
      <c r="H34" s="959">
        <f t="shared" ref="H34:H42" si="4">F34*G34</f>
        <v>4549.3827160493829</v>
      </c>
      <c r="I34" s="980">
        <f t="shared" ref="I34:I42" si="5">H34/I$3</f>
        <v>2.1663727219282776</v>
      </c>
    </row>
    <row r="35" spans="1:9" s="74" customFormat="1" ht="18" x14ac:dyDescent="0.5">
      <c r="A35" s="236" t="s">
        <v>588</v>
      </c>
      <c r="B35" s="26" t="s">
        <v>493</v>
      </c>
      <c r="C35" s="24" t="s">
        <v>471</v>
      </c>
      <c r="D35" s="25">
        <v>0.01</v>
      </c>
      <c r="E35" s="139">
        <v>0.2</v>
      </c>
      <c r="F35" s="67">
        <f t="shared" si="3"/>
        <v>1.2E-2</v>
      </c>
      <c r="G35" s="91">
        <v>21000</v>
      </c>
      <c r="H35" s="46">
        <f t="shared" si="4"/>
        <v>252</v>
      </c>
      <c r="I35" s="47">
        <f t="shared" si="5"/>
        <v>0.12</v>
      </c>
    </row>
    <row r="36" spans="1:9" s="74" customFormat="1" ht="18" x14ac:dyDescent="0.5">
      <c r="A36" s="236" t="s">
        <v>589</v>
      </c>
      <c r="B36" s="23" t="s">
        <v>502</v>
      </c>
      <c r="C36" s="24" t="s">
        <v>471</v>
      </c>
      <c r="D36" s="25">
        <v>0.05</v>
      </c>
      <c r="E36" s="139">
        <v>0.2</v>
      </c>
      <c r="F36" s="67">
        <f t="shared" si="3"/>
        <v>6.0000000000000005E-2</v>
      </c>
      <c r="G36" s="34">
        <v>4500</v>
      </c>
      <c r="H36" s="46">
        <f t="shared" si="4"/>
        <v>270</v>
      </c>
      <c r="I36" s="47">
        <f t="shared" si="5"/>
        <v>0.12857142857142856</v>
      </c>
    </row>
    <row r="37" spans="1:9" s="74" customFormat="1" ht="18" x14ac:dyDescent="0.5">
      <c r="A37" s="66" t="s">
        <v>552</v>
      </c>
      <c r="B37" s="23" t="s">
        <v>655</v>
      </c>
      <c r="C37" s="24" t="s">
        <v>471</v>
      </c>
      <c r="D37" s="25">
        <v>0.03</v>
      </c>
      <c r="E37" s="139">
        <v>0</v>
      </c>
      <c r="F37" s="67">
        <f t="shared" si="3"/>
        <v>0.03</v>
      </c>
      <c r="G37" s="34">
        <v>7800</v>
      </c>
      <c r="H37" s="46">
        <f t="shared" si="4"/>
        <v>234</v>
      </c>
      <c r="I37" s="47">
        <f t="shared" si="5"/>
        <v>0.11142857142857143</v>
      </c>
    </row>
    <row r="38" spans="1:9" s="74" customFormat="1" ht="18" x14ac:dyDescent="0.5">
      <c r="A38" s="236" t="s">
        <v>568</v>
      </c>
      <c r="B38" s="26" t="s">
        <v>609</v>
      </c>
      <c r="C38" s="43" t="s">
        <v>27</v>
      </c>
      <c r="D38" s="25">
        <v>0.01</v>
      </c>
      <c r="E38" s="139">
        <v>0</v>
      </c>
      <c r="F38" s="67">
        <f t="shared" si="3"/>
        <v>0.01</v>
      </c>
      <c r="G38" s="34">
        <v>14000</v>
      </c>
      <c r="H38" s="46">
        <f t="shared" si="4"/>
        <v>140</v>
      </c>
      <c r="I38" s="47">
        <f t="shared" si="5"/>
        <v>6.6666666666666666E-2</v>
      </c>
    </row>
    <row r="39" spans="1:9" s="74" customFormat="1" ht="18" x14ac:dyDescent="0.5">
      <c r="A39" s="66" t="s">
        <v>473</v>
      </c>
      <c r="B39" s="23" t="s">
        <v>701</v>
      </c>
      <c r="C39" s="43" t="s">
        <v>471</v>
      </c>
      <c r="D39" s="25">
        <v>1E-3</v>
      </c>
      <c r="E39" s="139">
        <v>0</v>
      </c>
      <c r="F39" s="67">
        <f t="shared" si="3"/>
        <v>1E-3</v>
      </c>
      <c r="G39" s="91">
        <v>6000</v>
      </c>
      <c r="H39" s="46">
        <f t="shared" si="4"/>
        <v>6</v>
      </c>
      <c r="I39" s="47">
        <f t="shared" si="5"/>
        <v>2.8571428571428571E-3</v>
      </c>
    </row>
    <row r="40" spans="1:9" s="74" customFormat="1" ht="18" x14ac:dyDescent="0.5">
      <c r="A40" s="236" t="s">
        <v>590</v>
      </c>
      <c r="B40" s="26" t="s">
        <v>644</v>
      </c>
      <c r="C40" s="43" t="s">
        <v>471</v>
      </c>
      <c r="D40" s="25">
        <v>1E-3</v>
      </c>
      <c r="E40" s="139">
        <v>0</v>
      </c>
      <c r="F40" s="67">
        <f t="shared" si="3"/>
        <v>1E-3</v>
      </c>
      <c r="G40" s="34">
        <v>10000</v>
      </c>
      <c r="H40" s="46">
        <f t="shared" si="4"/>
        <v>10</v>
      </c>
      <c r="I40" s="47">
        <f t="shared" si="5"/>
        <v>4.7619047619047623E-3</v>
      </c>
    </row>
    <row r="41" spans="1:9" s="74" customFormat="1" ht="18" x14ac:dyDescent="0.5">
      <c r="A41" s="66" t="s">
        <v>499</v>
      </c>
      <c r="B41" s="23" t="s">
        <v>661</v>
      </c>
      <c r="C41" s="43" t="s">
        <v>459</v>
      </c>
      <c r="D41" s="25">
        <v>0.02</v>
      </c>
      <c r="E41" s="139">
        <v>0</v>
      </c>
      <c r="F41" s="67">
        <f t="shared" si="3"/>
        <v>0.02</v>
      </c>
      <c r="G41" s="143">
        <f>42000/4.15</f>
        <v>10120.481927710842</v>
      </c>
      <c r="H41" s="46">
        <f t="shared" si="4"/>
        <v>202.40963855421683</v>
      </c>
      <c r="I41" s="47">
        <f t="shared" si="5"/>
        <v>9.6385542168674676E-2</v>
      </c>
    </row>
    <row r="42" spans="1:9" s="74" customFormat="1" ht="18.75" thickBot="1" x14ac:dyDescent="0.55000000000000004">
      <c r="A42" s="985" t="s">
        <v>535</v>
      </c>
      <c r="B42" s="986" t="s">
        <v>705</v>
      </c>
      <c r="C42" s="987" t="s">
        <v>706</v>
      </c>
      <c r="D42" s="988">
        <v>1</v>
      </c>
      <c r="E42" s="989">
        <v>0</v>
      </c>
      <c r="F42" s="988">
        <f t="shared" si="3"/>
        <v>1</v>
      </c>
      <c r="G42" s="990">
        <f>190000/24/8</f>
        <v>989.58333333333337</v>
      </c>
      <c r="H42" s="991">
        <f t="shared" si="4"/>
        <v>989.58333333333337</v>
      </c>
      <c r="I42" s="992">
        <f t="shared" si="5"/>
        <v>0.47123015873015872</v>
      </c>
    </row>
    <row r="43" spans="1:9" s="74" customFormat="1" ht="18" x14ac:dyDescent="0.5">
      <c r="A43" s="60"/>
      <c r="B43" s="99" t="s">
        <v>4</v>
      </c>
      <c r="C43" s="69"/>
      <c r="D43" s="248"/>
      <c r="E43" s="70"/>
      <c r="F43" s="70"/>
      <c r="G43" s="70"/>
      <c r="H43" s="46">
        <f>SUM(H33:H42)</f>
        <v>6653.375687936933</v>
      </c>
      <c r="I43" s="506">
        <f>SUM(I33:I42)</f>
        <v>3.1682741371128249</v>
      </c>
    </row>
    <row r="44" spans="1:9" s="74" customFormat="1" ht="18" x14ac:dyDescent="0.5">
      <c r="A44" s="60"/>
      <c r="B44" s="101" t="s">
        <v>14</v>
      </c>
      <c r="C44" s="22"/>
      <c r="D44" s="249"/>
      <c r="E44" s="54"/>
      <c r="F44" s="54"/>
      <c r="G44" s="54"/>
      <c r="H44" s="55">
        <f>H43/1</f>
        <v>6653.375687936933</v>
      </c>
      <c r="I44" s="265"/>
    </row>
    <row r="45" spans="1:9" s="74" customFormat="1" ht="18" x14ac:dyDescent="0.5">
      <c r="A45" s="60"/>
      <c r="B45" s="101" t="s">
        <v>453</v>
      </c>
      <c r="C45" s="22"/>
      <c r="D45" s="249"/>
      <c r="E45" s="54"/>
      <c r="F45" s="54"/>
      <c r="G45" s="54"/>
      <c r="H45" s="265">
        <f>G31</f>
        <v>20000</v>
      </c>
      <c r="I45" s="265"/>
    </row>
    <row r="46" spans="1:9" s="74" customFormat="1" ht="18" x14ac:dyDescent="0.5">
      <c r="A46" s="60"/>
      <c r="B46" s="101" t="s">
        <v>455</v>
      </c>
      <c r="C46" s="22"/>
      <c r="D46" s="249"/>
      <c r="E46" s="54"/>
      <c r="F46" s="54"/>
      <c r="G46" s="54"/>
      <c r="H46" s="104">
        <f>H45/113.3%</f>
        <v>17652.250661959399</v>
      </c>
      <c r="I46" s="104"/>
    </row>
    <row r="47" spans="1:9" s="74" customFormat="1" ht="18" x14ac:dyDescent="0.5">
      <c r="A47" s="60"/>
      <c r="B47" s="101" t="s">
        <v>16</v>
      </c>
      <c r="C47" s="22"/>
      <c r="D47" s="249"/>
      <c r="E47" s="54"/>
      <c r="F47" s="54"/>
      <c r="G47" s="54"/>
      <c r="H47" s="604">
        <f>H44/H46</f>
        <v>0.37691373272162726</v>
      </c>
      <c r="I47" s="604"/>
    </row>
    <row r="48" spans="1:9" s="74" customFormat="1" ht="18" x14ac:dyDescent="0.5">
      <c r="A48" s="60"/>
      <c r="B48" s="101"/>
      <c r="C48" s="22"/>
      <c r="D48" s="249"/>
      <c r="E48" s="54"/>
      <c r="F48" s="54"/>
      <c r="G48" s="54"/>
      <c r="H48" s="55"/>
      <c r="I48" s="507"/>
    </row>
    <row r="49" spans="1:10" s="74" customFormat="1" ht="18.75" thickBot="1" x14ac:dyDescent="0.55000000000000004">
      <c r="A49" s="60"/>
      <c r="B49" s="150"/>
      <c r="C49" s="151"/>
      <c r="D49" s="250"/>
      <c r="E49" s="54"/>
      <c r="F49" s="54"/>
      <c r="G49" s="54"/>
      <c r="H49" s="55"/>
      <c r="I49" s="508"/>
    </row>
    <row r="50" spans="1:10" s="74" customFormat="1" ht="18" x14ac:dyDescent="0.5">
      <c r="D50" s="77"/>
      <c r="E50" s="77"/>
      <c r="F50" s="77"/>
      <c r="G50" s="114"/>
      <c r="H50" s="115"/>
    </row>
    <row r="51" spans="1:10" s="74" customFormat="1" ht="18.75" thickBot="1" x14ac:dyDescent="0.55000000000000004">
      <c r="A51" s="939" t="s">
        <v>0</v>
      </c>
      <c r="B51" s="939"/>
      <c r="C51" s="939"/>
      <c r="D51" s="939"/>
      <c r="E51" s="939"/>
      <c r="F51" s="939"/>
      <c r="G51" s="939"/>
      <c r="H51" s="939"/>
      <c r="I51" s="939"/>
    </row>
    <row r="52" spans="1:10" s="74" customFormat="1" ht="18" x14ac:dyDescent="0.5">
      <c r="A52" s="562" t="s">
        <v>722</v>
      </c>
      <c r="B52" s="585" t="s">
        <v>801</v>
      </c>
      <c r="C52" s="547"/>
      <c r="D52" s="548"/>
      <c r="E52" s="548"/>
      <c r="F52" s="548"/>
      <c r="G52" s="548" t="s">
        <v>1</v>
      </c>
      <c r="H52" s="541" t="s">
        <v>868</v>
      </c>
      <c r="I52" s="549" t="s">
        <v>2</v>
      </c>
    </row>
    <row r="53" spans="1:10" s="74" customFormat="1" ht="18" x14ac:dyDescent="0.5">
      <c r="A53" s="550">
        <v>3</v>
      </c>
      <c r="B53" s="539" t="s">
        <v>5</v>
      </c>
      <c r="C53" s="539" t="s">
        <v>4</v>
      </c>
      <c r="D53" s="540" t="s">
        <v>3</v>
      </c>
      <c r="E53" s="540" t="s">
        <v>613</v>
      </c>
      <c r="F53" s="540" t="s">
        <v>614</v>
      </c>
      <c r="G53" s="540" t="s">
        <v>510</v>
      </c>
      <c r="H53" s="543" t="s">
        <v>7</v>
      </c>
      <c r="I53" s="637">
        <f>I30</f>
        <v>45574</v>
      </c>
    </row>
    <row r="54" spans="1:10" s="74" customFormat="1" ht="18.75" thickBot="1" x14ac:dyDescent="0.55000000000000004">
      <c r="A54" s="551"/>
      <c r="B54" s="552"/>
      <c r="C54" s="552"/>
      <c r="D54" s="553">
        <v>1</v>
      </c>
      <c r="E54" s="553"/>
      <c r="F54" s="553"/>
      <c r="G54" s="653">
        <f>Summary!J64</f>
        <v>23000</v>
      </c>
      <c r="H54" s="633">
        <f>H73</f>
        <v>0.35848126429631566</v>
      </c>
      <c r="I54" s="555"/>
    </row>
    <row r="55" spans="1:10" s="74" customFormat="1" ht="18.75" thickBot="1" x14ac:dyDescent="0.55000000000000004">
      <c r="A55" s="60"/>
      <c r="B55" s="60"/>
      <c r="C55" s="60"/>
      <c r="D55" s="61"/>
      <c r="E55" s="61"/>
      <c r="F55" s="61"/>
      <c r="G55" s="61"/>
      <c r="H55" s="62"/>
      <c r="I55" s="60"/>
    </row>
    <row r="56" spans="1:10" s="74" customFormat="1" ht="18.75" thickBot="1" x14ac:dyDescent="0.55000000000000004">
      <c r="A56" s="63" t="s">
        <v>904</v>
      </c>
      <c r="B56" s="64" t="s">
        <v>10</v>
      </c>
      <c r="C56" s="64" t="s">
        <v>9</v>
      </c>
      <c r="D56" s="52" t="s">
        <v>8</v>
      </c>
      <c r="E56" s="52" t="s">
        <v>613</v>
      </c>
      <c r="F56" s="52" t="s">
        <v>614</v>
      </c>
      <c r="G56" s="52" t="s">
        <v>11</v>
      </c>
      <c r="H56" s="53" t="s">
        <v>12</v>
      </c>
      <c r="I56" s="273" t="s">
        <v>12</v>
      </c>
    </row>
    <row r="57" spans="1:10" s="74" customFormat="1" ht="18" x14ac:dyDescent="0.5">
      <c r="A57" s="510">
        <v>1</v>
      </c>
      <c r="B57" s="399" t="s">
        <v>773</v>
      </c>
      <c r="C57" s="400" t="s">
        <v>596</v>
      </c>
      <c r="D57" s="406">
        <v>0.15</v>
      </c>
      <c r="E57" s="86">
        <v>0.1</v>
      </c>
      <c r="F57" s="67">
        <f t="shared" ref="F57:F68" si="6">D57+D57*E57</f>
        <v>0.16499999999999998</v>
      </c>
      <c r="G57" s="274">
        <v>26000</v>
      </c>
      <c r="H57" s="46">
        <f t="shared" ref="H57:H68" si="7">F57*G57</f>
        <v>4289.9999999999991</v>
      </c>
      <c r="I57" s="47">
        <f t="shared" ref="I57:I68" si="8">H57/I$3</f>
        <v>2.0428571428571423</v>
      </c>
      <c r="J57" s="297">
        <f>+D57*1.6</f>
        <v>0.24</v>
      </c>
    </row>
    <row r="58" spans="1:10" s="74" customFormat="1" ht="18" x14ac:dyDescent="0.5">
      <c r="A58" s="510">
        <v>2</v>
      </c>
      <c r="B58" s="399" t="s">
        <v>798</v>
      </c>
      <c r="C58" s="400" t="s">
        <v>27</v>
      </c>
      <c r="D58" s="406">
        <v>2</v>
      </c>
      <c r="E58" s="86">
        <v>0</v>
      </c>
      <c r="F58" s="67">
        <f t="shared" si="6"/>
        <v>2</v>
      </c>
      <c r="G58" s="34">
        <v>200</v>
      </c>
      <c r="H58" s="46">
        <f t="shared" si="7"/>
        <v>400</v>
      </c>
      <c r="I58" s="47">
        <f t="shared" si="8"/>
        <v>0.19047619047619047</v>
      </c>
    </row>
    <row r="59" spans="1:10" s="74" customFormat="1" ht="18" x14ac:dyDescent="0.5">
      <c r="A59" s="510">
        <v>3</v>
      </c>
      <c r="B59" s="399" t="s">
        <v>799</v>
      </c>
      <c r="C59" s="400" t="s">
        <v>596</v>
      </c>
      <c r="D59" s="406">
        <v>0.05</v>
      </c>
      <c r="E59" s="86">
        <v>0.2</v>
      </c>
      <c r="F59" s="67">
        <f t="shared" si="6"/>
        <v>6.0000000000000005E-2</v>
      </c>
      <c r="G59" s="34">
        <v>2000</v>
      </c>
      <c r="H59" s="46">
        <f t="shared" si="7"/>
        <v>120.00000000000001</v>
      </c>
      <c r="I59" s="47">
        <f t="shared" si="8"/>
        <v>5.7142857142857148E-2</v>
      </c>
    </row>
    <row r="60" spans="1:10" s="74" customFormat="1" ht="18" x14ac:dyDescent="0.5">
      <c r="A60" s="510">
        <v>4</v>
      </c>
      <c r="B60" s="399" t="s">
        <v>719</v>
      </c>
      <c r="C60" s="400" t="s">
        <v>459</v>
      </c>
      <c r="D60" s="406">
        <v>0.02</v>
      </c>
      <c r="E60" s="139">
        <v>0</v>
      </c>
      <c r="F60" s="32">
        <f t="shared" si="6"/>
        <v>0.02</v>
      </c>
      <c r="G60" s="39">
        <f>42000/4.15</f>
        <v>10120.481927710842</v>
      </c>
      <c r="H60" s="68">
        <f t="shared" si="7"/>
        <v>202.40963855421683</v>
      </c>
      <c r="I60" s="161">
        <f t="shared" si="8"/>
        <v>9.6385542168674676E-2</v>
      </c>
    </row>
    <row r="61" spans="1:10" s="74" customFormat="1" ht="18" x14ac:dyDescent="0.5">
      <c r="A61" s="510">
        <v>5</v>
      </c>
      <c r="B61" s="399" t="s">
        <v>673</v>
      </c>
      <c r="C61" s="400" t="s">
        <v>596</v>
      </c>
      <c r="D61" s="406">
        <v>0.05</v>
      </c>
      <c r="E61" s="45">
        <v>0.2</v>
      </c>
      <c r="F61" s="67">
        <f t="shared" si="6"/>
        <v>6.0000000000000005E-2</v>
      </c>
      <c r="G61" s="34">
        <v>4500</v>
      </c>
      <c r="H61" s="46">
        <f t="shared" si="7"/>
        <v>270</v>
      </c>
      <c r="I61" s="100">
        <f t="shared" si="8"/>
        <v>0.12857142857142856</v>
      </c>
    </row>
    <row r="62" spans="1:10" s="119" customFormat="1" ht="18" x14ac:dyDescent="0.5">
      <c r="A62" s="494">
        <v>6</v>
      </c>
      <c r="B62" s="399" t="s">
        <v>674</v>
      </c>
      <c r="C62" s="400" t="s">
        <v>596</v>
      </c>
      <c r="D62" s="406">
        <v>0.03</v>
      </c>
      <c r="E62" s="139">
        <v>0</v>
      </c>
      <c r="F62" s="32">
        <f t="shared" si="6"/>
        <v>0.03</v>
      </c>
      <c r="G62" s="35">
        <v>21000</v>
      </c>
      <c r="H62" s="68">
        <f t="shared" si="7"/>
        <v>630</v>
      </c>
      <c r="I62" s="161">
        <f t="shared" si="8"/>
        <v>0.3</v>
      </c>
    </row>
    <row r="63" spans="1:10" s="74" customFormat="1" ht="18" x14ac:dyDescent="0.5">
      <c r="A63" s="510">
        <v>7</v>
      </c>
      <c r="B63" s="399" t="s">
        <v>648</v>
      </c>
      <c r="C63" s="400" t="s">
        <v>596</v>
      </c>
      <c r="D63" s="406">
        <v>0.01</v>
      </c>
      <c r="E63" s="86">
        <v>0</v>
      </c>
      <c r="F63" s="20">
        <f t="shared" si="6"/>
        <v>0.01</v>
      </c>
      <c r="G63" s="34">
        <v>6000</v>
      </c>
      <c r="H63" s="55">
        <f t="shared" si="7"/>
        <v>60</v>
      </c>
      <c r="I63" s="47">
        <f t="shared" si="8"/>
        <v>2.8571428571428571E-2</v>
      </c>
    </row>
    <row r="64" spans="1:10" s="74" customFormat="1" ht="18" x14ac:dyDescent="0.5">
      <c r="A64" s="510">
        <v>8</v>
      </c>
      <c r="B64" s="399" t="s">
        <v>800</v>
      </c>
      <c r="C64" s="400" t="s">
        <v>596</v>
      </c>
      <c r="D64" s="406">
        <v>0.01</v>
      </c>
      <c r="E64" s="86">
        <v>0</v>
      </c>
      <c r="F64" s="67">
        <f t="shared" si="6"/>
        <v>0.01</v>
      </c>
      <c r="G64" s="34">
        <v>10000</v>
      </c>
      <c r="H64" s="46">
        <f t="shared" si="7"/>
        <v>100</v>
      </c>
      <c r="I64" s="47">
        <f t="shared" si="8"/>
        <v>4.7619047619047616E-2</v>
      </c>
    </row>
    <row r="65" spans="1:9" s="74" customFormat="1" ht="18" x14ac:dyDescent="0.5">
      <c r="A65" s="510">
        <v>9</v>
      </c>
      <c r="B65" s="399" t="s">
        <v>609</v>
      </c>
      <c r="C65" s="400" t="s">
        <v>463</v>
      </c>
      <c r="D65" s="406">
        <v>0.01</v>
      </c>
      <c r="E65" s="86">
        <v>0</v>
      </c>
      <c r="F65" s="67">
        <f t="shared" si="6"/>
        <v>0.01</v>
      </c>
      <c r="G65" s="34">
        <v>14000</v>
      </c>
      <c r="H65" s="46">
        <f t="shared" si="7"/>
        <v>140</v>
      </c>
      <c r="I65" s="47">
        <f t="shared" si="8"/>
        <v>6.6666666666666666E-2</v>
      </c>
    </row>
    <row r="66" spans="1:9" s="74" customFormat="1" ht="18" x14ac:dyDescent="0.5">
      <c r="A66" s="510">
        <v>10</v>
      </c>
      <c r="B66" s="399" t="s">
        <v>692</v>
      </c>
      <c r="C66" s="400" t="s">
        <v>596</v>
      </c>
      <c r="D66" s="406">
        <v>0.03</v>
      </c>
      <c r="E66" s="86">
        <v>0.2</v>
      </c>
      <c r="F66" s="67">
        <f t="shared" si="6"/>
        <v>3.5999999999999997E-2</v>
      </c>
      <c r="G66" s="91">
        <v>5000</v>
      </c>
      <c r="H66" s="46">
        <f t="shared" si="7"/>
        <v>180</v>
      </c>
      <c r="I66" s="47">
        <f t="shared" si="8"/>
        <v>8.5714285714285715E-2</v>
      </c>
    </row>
    <row r="67" spans="1:9" s="74" customFormat="1" ht="18" x14ac:dyDescent="0.5">
      <c r="A67" s="993">
        <v>11</v>
      </c>
      <c r="B67" s="963" t="s">
        <v>705</v>
      </c>
      <c r="C67" s="964" t="s">
        <v>26</v>
      </c>
      <c r="D67" s="965">
        <v>0.5</v>
      </c>
      <c r="E67" s="957">
        <v>0</v>
      </c>
      <c r="F67" s="956">
        <f t="shared" si="6"/>
        <v>0.5</v>
      </c>
      <c r="G67" s="967">
        <f>190000/24/8</f>
        <v>989.58333333333337</v>
      </c>
      <c r="H67" s="959">
        <f t="shared" si="7"/>
        <v>494.79166666666669</v>
      </c>
      <c r="I67" s="47">
        <f t="shared" si="8"/>
        <v>0.23561507936507936</v>
      </c>
    </row>
    <row r="68" spans="1:9" s="74" customFormat="1" ht="18.75" thickBot="1" x14ac:dyDescent="0.55000000000000004">
      <c r="A68" s="510">
        <v>12</v>
      </c>
      <c r="B68" s="402" t="s">
        <v>672</v>
      </c>
      <c r="C68" s="403" t="s">
        <v>596</v>
      </c>
      <c r="D68" s="428">
        <v>0.05</v>
      </c>
      <c r="E68" s="86">
        <v>0</v>
      </c>
      <c r="F68" s="67">
        <f t="shared" si="6"/>
        <v>0.05</v>
      </c>
      <c r="G68" s="34">
        <v>7800</v>
      </c>
      <c r="H68" s="46">
        <f t="shared" si="7"/>
        <v>390</v>
      </c>
      <c r="I68" s="47">
        <f t="shared" si="8"/>
        <v>0.18571428571428572</v>
      </c>
    </row>
    <row r="69" spans="1:9" s="74" customFormat="1" ht="18" x14ac:dyDescent="0.5">
      <c r="A69" s="60"/>
      <c r="B69" s="224" t="s">
        <v>4</v>
      </c>
      <c r="C69" s="64"/>
      <c r="D69" s="52"/>
      <c r="E69" s="52"/>
      <c r="F69" s="52"/>
      <c r="G69" s="52"/>
      <c r="H69" s="226">
        <f>SUM(H57:H68)</f>
        <v>7277.2013052208831</v>
      </c>
      <c r="I69" s="197">
        <f>SUM(I57:I68)</f>
        <v>3.4653339548670861</v>
      </c>
    </row>
    <row r="70" spans="1:9" s="74" customFormat="1" ht="18" x14ac:dyDescent="0.5">
      <c r="A70" s="60"/>
      <c r="B70" s="101" t="s">
        <v>14</v>
      </c>
      <c r="C70" s="22"/>
      <c r="D70" s="54"/>
      <c r="E70" s="54"/>
      <c r="F70" s="54"/>
      <c r="G70" s="54"/>
      <c r="H70" s="73">
        <f>H69/1</f>
        <v>7277.2013052208831</v>
      </c>
      <c r="I70" s="104"/>
    </row>
    <row r="71" spans="1:9" s="74" customFormat="1" ht="18" x14ac:dyDescent="0.5">
      <c r="A71" s="60"/>
      <c r="B71" s="101" t="s">
        <v>453</v>
      </c>
      <c r="C71" s="22"/>
      <c r="D71" s="54"/>
      <c r="E71" s="54"/>
      <c r="F71" s="54"/>
      <c r="G71" s="54"/>
      <c r="H71" s="104">
        <f>G54</f>
        <v>23000</v>
      </c>
      <c r="I71" s="104"/>
    </row>
    <row r="72" spans="1:9" s="74" customFormat="1" ht="18" x14ac:dyDescent="0.5">
      <c r="A72" s="60"/>
      <c r="B72" s="101" t="s">
        <v>455</v>
      </c>
      <c r="C72" s="22"/>
      <c r="D72" s="54"/>
      <c r="E72" s="54"/>
      <c r="F72" s="54"/>
      <c r="G72" s="54"/>
      <c r="H72" s="104">
        <f>H71/113.3%</f>
        <v>20300.08826125331</v>
      </c>
      <c r="I72" s="104"/>
    </row>
    <row r="73" spans="1:9" s="74" customFormat="1" ht="18" x14ac:dyDescent="0.5">
      <c r="A73" s="60"/>
      <c r="B73" s="101" t="s">
        <v>16</v>
      </c>
      <c r="C73" s="22"/>
      <c r="D73" s="54"/>
      <c r="E73" s="54"/>
      <c r="F73" s="54"/>
      <c r="G73" s="54"/>
      <c r="H73" s="588">
        <f>H70/H72</f>
        <v>0.35848126429631566</v>
      </c>
      <c r="I73" s="588"/>
    </row>
    <row r="74" spans="1:9" s="74" customFormat="1" ht="18" x14ac:dyDescent="0.5">
      <c r="A74" s="60"/>
      <c r="B74" s="101"/>
      <c r="C74" s="22"/>
      <c r="D74" s="54"/>
      <c r="E74" s="54"/>
      <c r="F74" s="54"/>
      <c r="G74" s="54"/>
      <c r="H74" s="73"/>
      <c r="I74" s="171"/>
    </row>
    <row r="75" spans="1:9" s="74" customFormat="1" ht="18.75" thickBot="1" x14ac:dyDescent="0.55000000000000004">
      <c r="A75" s="60"/>
      <c r="B75" s="150"/>
      <c r="C75" s="151"/>
      <c r="D75" s="57"/>
      <c r="E75" s="57"/>
      <c r="F75" s="57"/>
      <c r="G75" s="57"/>
      <c r="H75" s="152"/>
      <c r="I75" s="153"/>
    </row>
    <row r="76" spans="1:9" s="74" customFormat="1" ht="18" x14ac:dyDescent="0.5">
      <c r="A76" s="60"/>
      <c r="B76" s="75"/>
      <c r="C76" s="60"/>
      <c r="D76" s="116"/>
      <c r="E76" s="116"/>
      <c r="F76" s="116"/>
      <c r="G76" s="116"/>
      <c r="H76" s="278"/>
      <c r="I76" s="60"/>
    </row>
    <row r="77" spans="1:9" s="511" customFormat="1" ht="18.75" thickBot="1" x14ac:dyDescent="0.55000000000000004">
      <c r="B77" s="512"/>
      <c r="C77" s="512"/>
      <c r="D77" s="513" t="s">
        <v>0</v>
      </c>
      <c r="E77" s="513"/>
      <c r="F77" s="513"/>
      <c r="G77" s="514"/>
      <c r="H77" s="515"/>
      <c r="I77" s="516"/>
    </row>
    <row r="78" spans="1:9" s="74" customFormat="1" ht="18" x14ac:dyDescent="0.5">
      <c r="A78" s="605" t="s">
        <v>665</v>
      </c>
      <c r="B78" s="547" t="s">
        <v>886</v>
      </c>
      <c r="C78" s="547"/>
      <c r="D78" s="548"/>
      <c r="E78" s="548"/>
      <c r="F78" s="548"/>
      <c r="G78" s="548" t="s">
        <v>1</v>
      </c>
      <c r="H78" s="541" t="s">
        <v>868</v>
      </c>
      <c r="I78" s="564" t="s">
        <v>595</v>
      </c>
    </row>
    <row r="79" spans="1:9" s="74" customFormat="1" ht="18" x14ac:dyDescent="0.5">
      <c r="A79" s="550">
        <v>4</v>
      </c>
      <c r="B79" s="539" t="s">
        <v>5</v>
      </c>
      <c r="C79" s="539" t="s">
        <v>4</v>
      </c>
      <c r="D79" s="540" t="s">
        <v>3</v>
      </c>
      <c r="E79" s="540" t="s">
        <v>613</v>
      </c>
      <c r="F79" s="540" t="s">
        <v>614</v>
      </c>
      <c r="G79" s="540" t="s">
        <v>500</v>
      </c>
      <c r="H79" s="543" t="s">
        <v>7</v>
      </c>
      <c r="I79" s="636">
        <f>I53</f>
        <v>45574</v>
      </c>
    </row>
    <row r="80" spans="1:9" s="74" customFormat="1" ht="18.75" thickBot="1" x14ac:dyDescent="0.55000000000000004">
      <c r="A80" s="589"/>
      <c r="B80" s="552"/>
      <c r="C80" s="552"/>
      <c r="D80" s="553">
        <v>1</v>
      </c>
      <c r="E80" s="553"/>
      <c r="F80" s="553"/>
      <c r="G80" s="553">
        <f>Summary!J65</f>
        <v>23000</v>
      </c>
      <c r="H80" s="633">
        <f>H99</f>
        <v>0.33482595732931725</v>
      </c>
      <c r="I80" s="555"/>
    </row>
    <row r="81" spans="1:10" s="74" customFormat="1" ht="18.75" thickBot="1" x14ac:dyDescent="0.55000000000000004">
      <c r="B81" s="60"/>
      <c r="C81" s="60"/>
      <c r="D81" s="61"/>
      <c r="E81" s="61"/>
      <c r="F81" s="61"/>
      <c r="G81" s="61"/>
      <c r="H81" s="62"/>
      <c r="I81" s="60"/>
    </row>
    <row r="82" spans="1:10" s="74" customFormat="1" ht="18" x14ac:dyDescent="0.5">
      <c r="A82" s="64" t="s">
        <v>904</v>
      </c>
      <c r="B82" s="80" t="s">
        <v>10</v>
      </c>
      <c r="C82" s="80" t="s">
        <v>9</v>
      </c>
      <c r="D82" s="238" t="s">
        <v>8</v>
      </c>
      <c r="E82" s="52" t="s">
        <v>613</v>
      </c>
      <c r="F82" s="52" t="s">
        <v>614</v>
      </c>
      <c r="G82" s="81" t="s">
        <v>11</v>
      </c>
      <c r="H82" s="55" t="s">
        <v>12</v>
      </c>
      <c r="I82" s="276" t="s">
        <v>12</v>
      </c>
    </row>
    <row r="83" spans="1:10" s="74" customFormat="1" ht="18" x14ac:dyDescent="0.5">
      <c r="A83" s="520">
        <v>1</v>
      </c>
      <c r="B83" s="399" t="s">
        <v>802</v>
      </c>
      <c r="C83" s="400" t="s">
        <v>596</v>
      </c>
      <c r="D83" s="406">
        <v>0.15</v>
      </c>
      <c r="E83" s="86">
        <v>0.1</v>
      </c>
      <c r="F83" s="67">
        <f t="shared" ref="F83:F92" si="9">D83+D83*E83</f>
        <v>0.16499999999999998</v>
      </c>
      <c r="G83" s="34">
        <v>22000</v>
      </c>
      <c r="H83" s="55">
        <f t="shared" ref="H83:H94" si="10">F83*G83</f>
        <v>3629.9999999999995</v>
      </c>
      <c r="I83" s="277">
        <f t="shared" ref="I83:I94" si="11">H83/I$3</f>
        <v>1.7285714285714284</v>
      </c>
      <c r="J83" s="149">
        <f>F83*1.6</f>
        <v>0.26399999999999996</v>
      </c>
    </row>
    <row r="84" spans="1:10" s="74" customFormat="1" ht="18" x14ac:dyDescent="0.5">
      <c r="A84" s="520">
        <v>2</v>
      </c>
      <c r="B84" s="399" t="s">
        <v>803</v>
      </c>
      <c r="C84" s="400" t="s">
        <v>596</v>
      </c>
      <c r="D84" s="406">
        <v>0.01</v>
      </c>
      <c r="E84" s="86">
        <v>0</v>
      </c>
      <c r="F84" s="67">
        <f t="shared" si="9"/>
        <v>0.01</v>
      </c>
      <c r="G84" s="34">
        <v>6000</v>
      </c>
      <c r="H84" s="46">
        <f t="shared" si="10"/>
        <v>60</v>
      </c>
      <c r="I84" s="47">
        <f t="shared" si="11"/>
        <v>2.8571428571428571E-2</v>
      </c>
    </row>
    <row r="85" spans="1:10" s="74" customFormat="1" ht="18" x14ac:dyDescent="0.5">
      <c r="A85" s="393">
        <v>3</v>
      </c>
      <c r="B85" s="399" t="s">
        <v>729</v>
      </c>
      <c r="C85" s="400" t="s">
        <v>459</v>
      </c>
      <c r="D85" s="406">
        <v>0.01</v>
      </c>
      <c r="E85" s="86">
        <v>0</v>
      </c>
      <c r="F85" s="67">
        <f t="shared" si="9"/>
        <v>0.01</v>
      </c>
      <c r="G85" s="91">
        <f>42000/4.15</f>
        <v>10120.481927710842</v>
      </c>
      <c r="H85" s="46">
        <f t="shared" si="10"/>
        <v>101.20481927710841</v>
      </c>
      <c r="I85" s="47">
        <f t="shared" si="11"/>
        <v>4.8192771084337338E-2</v>
      </c>
    </row>
    <row r="86" spans="1:10" s="74" customFormat="1" ht="18" x14ac:dyDescent="0.5">
      <c r="A86" s="520">
        <v>4</v>
      </c>
      <c r="B86" s="399" t="s">
        <v>609</v>
      </c>
      <c r="C86" s="400" t="s">
        <v>27</v>
      </c>
      <c r="D86" s="406">
        <v>0.01</v>
      </c>
      <c r="E86" s="86">
        <v>0</v>
      </c>
      <c r="F86" s="67">
        <f t="shared" si="9"/>
        <v>0.01</v>
      </c>
      <c r="G86" s="91">
        <v>14000</v>
      </c>
      <c r="H86" s="46">
        <f t="shared" si="10"/>
        <v>140</v>
      </c>
      <c r="I86" s="47">
        <f t="shared" si="11"/>
        <v>6.6666666666666666E-2</v>
      </c>
    </row>
    <row r="87" spans="1:10" s="74" customFormat="1" ht="18" x14ac:dyDescent="0.5">
      <c r="A87" s="520">
        <v>5</v>
      </c>
      <c r="B87" s="399" t="s">
        <v>648</v>
      </c>
      <c r="C87" s="400" t="s">
        <v>596</v>
      </c>
      <c r="D87" s="406">
        <v>0.01</v>
      </c>
      <c r="E87" s="86">
        <v>0</v>
      </c>
      <c r="F87" s="67">
        <f t="shared" si="9"/>
        <v>0.01</v>
      </c>
      <c r="G87" s="34">
        <v>6000</v>
      </c>
      <c r="H87" s="46">
        <f t="shared" si="10"/>
        <v>60</v>
      </c>
      <c r="I87" s="47">
        <f t="shared" si="11"/>
        <v>2.8571428571428571E-2</v>
      </c>
    </row>
    <row r="88" spans="1:10" s="74" customFormat="1" ht="18" x14ac:dyDescent="0.5">
      <c r="A88" s="393">
        <v>6</v>
      </c>
      <c r="B88" s="399" t="s">
        <v>644</v>
      </c>
      <c r="C88" s="400" t="s">
        <v>596</v>
      </c>
      <c r="D88" s="406">
        <v>0.02</v>
      </c>
      <c r="E88" s="86">
        <v>0</v>
      </c>
      <c r="F88" s="67">
        <f t="shared" si="9"/>
        <v>0.02</v>
      </c>
      <c r="G88" s="34">
        <v>10000</v>
      </c>
      <c r="H88" s="46">
        <f t="shared" si="10"/>
        <v>200</v>
      </c>
      <c r="I88" s="47">
        <f t="shared" si="11"/>
        <v>9.5238095238095233E-2</v>
      </c>
    </row>
    <row r="89" spans="1:10" s="74" customFormat="1" ht="18" x14ac:dyDescent="0.5">
      <c r="A89" s="520">
        <v>7</v>
      </c>
      <c r="B89" s="399" t="s">
        <v>625</v>
      </c>
      <c r="C89" s="400" t="s">
        <v>596</v>
      </c>
      <c r="D89" s="406">
        <v>0.05</v>
      </c>
      <c r="E89" s="86">
        <v>0.3</v>
      </c>
      <c r="F89" s="67">
        <f t="shared" si="9"/>
        <v>6.5000000000000002E-2</v>
      </c>
      <c r="G89" s="143">
        <v>7000</v>
      </c>
      <c r="H89" s="46">
        <f t="shared" si="10"/>
        <v>455</v>
      </c>
      <c r="I89" s="47">
        <f t="shared" si="11"/>
        <v>0.21666666666666667</v>
      </c>
    </row>
    <row r="90" spans="1:10" s="74" customFormat="1" ht="18" x14ac:dyDescent="0.5">
      <c r="A90" s="520">
        <v>8</v>
      </c>
      <c r="B90" s="399" t="s">
        <v>674</v>
      </c>
      <c r="C90" s="400" t="s">
        <v>596</v>
      </c>
      <c r="D90" s="406">
        <v>0.03</v>
      </c>
      <c r="E90" s="86">
        <v>0.2</v>
      </c>
      <c r="F90" s="67">
        <f t="shared" si="9"/>
        <v>3.5999999999999997E-2</v>
      </c>
      <c r="G90" s="34">
        <v>21000</v>
      </c>
      <c r="H90" s="46">
        <f t="shared" si="10"/>
        <v>755.99999999999989</v>
      </c>
      <c r="I90" s="47">
        <f t="shared" si="11"/>
        <v>0.35999999999999993</v>
      </c>
    </row>
    <row r="91" spans="1:10" s="74" customFormat="1" ht="18" x14ac:dyDescent="0.5">
      <c r="A91" s="393">
        <v>9</v>
      </c>
      <c r="B91" s="399" t="s">
        <v>622</v>
      </c>
      <c r="C91" s="400" t="s">
        <v>596</v>
      </c>
      <c r="D91" s="406">
        <v>0.01</v>
      </c>
      <c r="E91" s="86">
        <v>0</v>
      </c>
      <c r="F91" s="67">
        <f t="shared" si="9"/>
        <v>0.01</v>
      </c>
      <c r="G91" s="34">
        <v>24000</v>
      </c>
      <c r="H91" s="46">
        <f t="shared" si="10"/>
        <v>240</v>
      </c>
      <c r="I91" s="47">
        <f t="shared" si="11"/>
        <v>0.11428571428571428</v>
      </c>
    </row>
    <row r="92" spans="1:10" s="74" customFormat="1" ht="18" x14ac:dyDescent="0.5">
      <c r="A92" s="520">
        <v>10</v>
      </c>
      <c r="B92" s="399" t="s">
        <v>673</v>
      </c>
      <c r="C92" s="400" t="s">
        <v>596</v>
      </c>
      <c r="D92" s="406">
        <v>0.05</v>
      </c>
      <c r="E92" s="86">
        <v>0.2</v>
      </c>
      <c r="F92" s="67">
        <f t="shared" si="9"/>
        <v>6.0000000000000005E-2</v>
      </c>
      <c r="G92" s="34">
        <v>4500</v>
      </c>
      <c r="H92" s="46">
        <f t="shared" si="10"/>
        <v>270</v>
      </c>
      <c r="I92" s="47">
        <f t="shared" si="11"/>
        <v>0.12857142857142856</v>
      </c>
    </row>
    <row r="93" spans="1:10" s="74" customFormat="1" ht="18" x14ac:dyDescent="0.5">
      <c r="A93" s="520">
        <v>11</v>
      </c>
      <c r="B93" s="430" t="s">
        <v>705</v>
      </c>
      <c r="C93" s="400" t="s">
        <v>26</v>
      </c>
      <c r="D93" s="429">
        <v>0.5</v>
      </c>
      <c r="E93" s="86">
        <v>0</v>
      </c>
      <c r="F93" s="20">
        <v>0.5</v>
      </c>
      <c r="G93" s="34">
        <f>190000/24/8</f>
        <v>989.58333333333337</v>
      </c>
      <c r="H93" s="46">
        <f>F93*G93</f>
        <v>494.79166666666669</v>
      </c>
      <c r="I93" s="47">
        <f t="shared" si="11"/>
        <v>0.23561507936507936</v>
      </c>
    </row>
    <row r="94" spans="1:10" s="74" customFormat="1" ht="18.75" thickBot="1" x14ac:dyDescent="0.55000000000000004">
      <c r="A94" s="393">
        <v>12</v>
      </c>
      <c r="B94" s="518" t="s">
        <v>672</v>
      </c>
      <c r="C94" s="403" t="s">
        <v>596</v>
      </c>
      <c r="D94" s="519">
        <v>0.05</v>
      </c>
      <c r="E94" s="394">
        <v>0</v>
      </c>
      <c r="F94" s="96">
        <v>0.05</v>
      </c>
      <c r="G94" s="97">
        <v>7800</v>
      </c>
      <c r="H94" s="59">
        <f t="shared" si="10"/>
        <v>390</v>
      </c>
      <c r="I94" s="98">
        <f t="shared" si="11"/>
        <v>0.18571428571428572</v>
      </c>
    </row>
    <row r="95" spans="1:10" s="74" customFormat="1" ht="18" x14ac:dyDescent="0.5">
      <c r="A95" s="517"/>
      <c r="B95" s="431" t="s">
        <v>4</v>
      </c>
      <c r="C95" s="69"/>
      <c r="D95" s="70"/>
      <c r="E95" s="70"/>
      <c r="F95" s="70"/>
      <c r="G95" s="70"/>
      <c r="H95" s="71">
        <f>SUM(H83:H94)</f>
        <v>6796.996485943775</v>
      </c>
      <c r="I95" s="160">
        <f>SUM(I83:I94)</f>
        <v>3.236664993306559</v>
      </c>
    </row>
    <row r="96" spans="1:10" s="74" customFormat="1" ht="18" x14ac:dyDescent="0.5">
      <c r="A96" s="22"/>
      <c r="B96" s="432" t="s">
        <v>14</v>
      </c>
      <c r="C96" s="22"/>
      <c r="D96" s="54"/>
      <c r="E96" s="54"/>
      <c r="F96" s="54"/>
      <c r="G96" s="54"/>
      <c r="H96" s="73">
        <f>H95/1</f>
        <v>6796.996485943775</v>
      </c>
      <c r="I96" s="104"/>
    </row>
    <row r="97" spans="1:9" s="74" customFormat="1" ht="18" x14ac:dyDescent="0.5">
      <c r="A97" s="22"/>
      <c r="B97" s="432" t="s">
        <v>453</v>
      </c>
      <c r="C97" s="22"/>
      <c r="D97" s="54"/>
      <c r="E97" s="54"/>
      <c r="F97" s="54"/>
      <c r="G97" s="54"/>
      <c r="H97" s="104">
        <f>G80</f>
        <v>23000</v>
      </c>
      <c r="I97" s="104"/>
    </row>
    <row r="98" spans="1:9" s="74" customFormat="1" ht="18" x14ac:dyDescent="0.5">
      <c r="A98" s="22"/>
      <c r="B98" s="432" t="s">
        <v>455</v>
      </c>
      <c r="C98" s="22"/>
      <c r="D98" s="54"/>
      <c r="E98" s="54"/>
      <c r="F98" s="54"/>
      <c r="G98" s="54"/>
      <c r="H98" s="104">
        <f>H97/113.3%</f>
        <v>20300.08826125331</v>
      </c>
      <c r="I98" s="104"/>
    </row>
    <row r="99" spans="1:9" s="74" customFormat="1" ht="18" x14ac:dyDescent="0.5">
      <c r="A99" s="22"/>
      <c r="B99" s="432" t="s">
        <v>16</v>
      </c>
      <c r="C99" s="22"/>
      <c r="D99" s="54"/>
      <c r="E99" s="54"/>
      <c r="F99" s="54"/>
      <c r="G99" s="54"/>
      <c r="H99" s="588">
        <f>H96/H98</f>
        <v>0.33482595732931725</v>
      </c>
      <c r="I99" s="588"/>
    </row>
    <row r="100" spans="1:9" s="74" customFormat="1" ht="18" x14ac:dyDescent="0.5">
      <c r="A100" s="22"/>
      <c r="B100" s="432"/>
      <c r="C100" s="22"/>
      <c r="D100" s="54"/>
      <c r="E100" s="54"/>
      <c r="F100" s="54"/>
      <c r="G100" s="54"/>
      <c r="H100" s="73"/>
      <c r="I100" s="171"/>
    </row>
    <row r="101" spans="1:9" s="74" customFormat="1" ht="18.75" thickBot="1" x14ac:dyDescent="0.55000000000000004">
      <c r="A101" s="22"/>
      <c r="B101" s="433"/>
      <c r="C101" s="151"/>
      <c r="D101" s="57"/>
      <c r="E101" s="57"/>
      <c r="F101" s="57"/>
      <c r="G101" s="57"/>
      <c r="H101" s="152"/>
      <c r="I101" s="164"/>
    </row>
    <row r="102" spans="1:9" s="74" customFormat="1" ht="18" x14ac:dyDescent="0.5">
      <c r="D102" s="77"/>
      <c r="E102" s="77"/>
      <c r="F102" s="77"/>
      <c r="G102" s="114"/>
      <c r="H102" s="115"/>
    </row>
    <row r="104" spans="1:9" s="74" customFormat="1" ht="18" x14ac:dyDescent="0.5">
      <c r="A104" s="60"/>
      <c r="B104" s="75"/>
      <c r="C104" s="60"/>
      <c r="D104" s="116"/>
      <c r="E104" s="116"/>
      <c r="F104" s="116"/>
      <c r="G104" s="116"/>
      <c r="H104" s="278"/>
      <c r="I104" s="60"/>
    </row>
    <row r="105" spans="1:9" s="74" customFormat="1" ht="18" x14ac:dyDescent="0.5">
      <c r="A105" s="60"/>
      <c r="B105" s="75"/>
      <c r="C105" s="60"/>
      <c r="D105" s="116"/>
      <c r="E105" s="116"/>
      <c r="F105" s="116"/>
      <c r="G105" s="116"/>
      <c r="H105" s="278"/>
      <c r="I105" s="60"/>
    </row>
  </sheetData>
  <mergeCells count="4">
    <mergeCell ref="A2:I2"/>
    <mergeCell ref="A28:I28"/>
    <mergeCell ref="A51:I51"/>
    <mergeCell ref="A4:I4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>
    <tabColor theme="3" tint="0.39997558519241921"/>
  </sheetPr>
  <dimension ref="A2:L78"/>
  <sheetViews>
    <sheetView topLeftCell="A49" workbookViewId="0">
      <selection activeCell="H71" sqref="H71"/>
    </sheetView>
  </sheetViews>
  <sheetFormatPr defaultColWidth="9.140625" defaultRowHeight="18" x14ac:dyDescent="0.5"/>
  <cols>
    <col min="1" max="1" width="11.85546875" style="74" customWidth="1"/>
    <col min="2" max="2" width="30" style="74" customWidth="1"/>
    <col min="3" max="3" width="9.140625" style="74"/>
    <col min="4" max="6" width="11.85546875" style="114" customWidth="1"/>
    <col min="7" max="7" width="13.5703125" style="114" customWidth="1"/>
    <col min="8" max="8" width="16" style="114" customWidth="1"/>
    <col min="9" max="9" width="17.28515625" style="688" customWidth="1"/>
    <col min="10" max="16384" width="9.140625" style="74"/>
  </cols>
  <sheetData>
    <row r="2" spans="1:10" ht="16.5" customHeight="1" x14ac:dyDescent="0.5">
      <c r="A2" s="943" t="s">
        <v>824</v>
      </c>
      <c r="B2" s="943"/>
      <c r="C2" s="943"/>
      <c r="D2" s="943"/>
      <c r="E2" s="943"/>
      <c r="F2" s="943"/>
      <c r="G2" s="943"/>
      <c r="H2" s="943"/>
      <c r="I2" s="943"/>
    </row>
    <row r="3" spans="1:10" ht="16.5" customHeight="1" x14ac:dyDescent="0.5">
      <c r="B3" s="76"/>
      <c r="C3" s="76"/>
      <c r="D3" s="76"/>
      <c r="E3" s="76"/>
      <c r="F3" s="76"/>
      <c r="G3" s="61"/>
      <c r="H3" s="61"/>
      <c r="I3" s="655">
        <v>2100</v>
      </c>
    </row>
    <row r="4" spans="1:10" ht="16.5" customHeight="1" thickBot="1" x14ac:dyDescent="0.55000000000000004">
      <c r="A4" s="935" t="s">
        <v>0</v>
      </c>
      <c r="B4" s="935"/>
      <c r="C4" s="935"/>
      <c r="D4" s="935"/>
      <c r="E4" s="935"/>
      <c r="F4" s="935"/>
      <c r="G4" s="935"/>
      <c r="H4" s="935"/>
      <c r="I4" s="935"/>
    </row>
    <row r="5" spans="1:10" ht="16.5" customHeight="1" x14ac:dyDescent="0.5">
      <c r="A5" s="224" t="s">
        <v>665</v>
      </c>
      <c r="B5" s="654" t="s">
        <v>828</v>
      </c>
      <c r="C5" s="547"/>
      <c r="D5" s="547"/>
      <c r="E5" s="547"/>
      <c r="F5" s="547"/>
      <c r="G5" s="548" t="s">
        <v>1</v>
      </c>
      <c r="H5" s="651" t="s">
        <v>868</v>
      </c>
      <c r="I5" s="657" t="s">
        <v>595</v>
      </c>
    </row>
    <row r="6" spans="1:10" ht="16.5" customHeight="1" x14ac:dyDescent="0.5">
      <c r="A6" s="658"/>
      <c r="B6" s="542">
        <v>1</v>
      </c>
      <c r="C6" s="539" t="s">
        <v>4</v>
      </c>
      <c r="D6" s="659" t="s">
        <v>3</v>
      </c>
      <c r="E6" s="540" t="s">
        <v>613</v>
      </c>
      <c r="F6" s="540" t="s">
        <v>614</v>
      </c>
      <c r="G6" s="540" t="s">
        <v>6</v>
      </c>
      <c r="H6" s="540" t="s">
        <v>7</v>
      </c>
      <c r="I6" s="660">
        <v>45574</v>
      </c>
    </row>
    <row r="7" spans="1:10" ht="16.5" customHeight="1" thickBot="1" x14ac:dyDescent="0.55000000000000004">
      <c r="A7" s="108"/>
      <c r="B7" s="552"/>
      <c r="C7" s="552"/>
      <c r="D7" s="553">
        <v>1</v>
      </c>
      <c r="E7" s="553"/>
      <c r="F7" s="553"/>
      <c r="G7" s="553">
        <f>Summary!J68</f>
        <v>12000</v>
      </c>
      <c r="H7" s="661">
        <f>H24</f>
        <v>0.373531671686747</v>
      </c>
      <c r="I7" s="662"/>
    </row>
    <row r="8" spans="1:10" ht="16.5" customHeight="1" thickBot="1" x14ac:dyDescent="0.55000000000000004">
      <c r="B8" s="60"/>
      <c r="C8" s="60"/>
      <c r="D8" s="61"/>
      <c r="E8" s="61"/>
      <c r="F8" s="61"/>
      <c r="G8" s="61"/>
      <c r="H8" s="61"/>
      <c r="I8" s="656"/>
    </row>
    <row r="9" spans="1:10" ht="16.5" customHeight="1" x14ac:dyDescent="0.5">
      <c r="A9" s="63" t="s">
        <v>605</v>
      </c>
      <c r="B9" s="89" t="s">
        <v>10</v>
      </c>
      <c r="C9" s="89" t="s">
        <v>9</v>
      </c>
      <c r="D9" s="89" t="s">
        <v>8</v>
      </c>
      <c r="E9" s="89" t="s">
        <v>613</v>
      </c>
      <c r="F9" s="89" t="s">
        <v>614</v>
      </c>
      <c r="G9" s="89" t="s">
        <v>11</v>
      </c>
      <c r="H9" s="52" t="s">
        <v>24</v>
      </c>
      <c r="I9" s="663" t="s">
        <v>25</v>
      </c>
    </row>
    <row r="10" spans="1:10" ht="16.5" customHeight="1" x14ac:dyDescent="0.5">
      <c r="A10" s="236" t="s">
        <v>541</v>
      </c>
      <c r="B10" s="89" t="s">
        <v>693</v>
      </c>
      <c r="C10" s="89" t="s">
        <v>471</v>
      </c>
      <c r="D10" s="89">
        <v>0.05</v>
      </c>
      <c r="E10" s="86">
        <v>0.34</v>
      </c>
      <c r="F10" s="89">
        <f t="shared" ref="F10:F13" si="0">D10+D10*E10</f>
        <v>6.7000000000000004E-2</v>
      </c>
      <c r="G10" s="89">
        <v>22000</v>
      </c>
      <c r="H10" s="46">
        <f>F10*G10</f>
        <v>1474</v>
      </c>
      <c r="I10" s="664">
        <f>H10/I$3</f>
        <v>0.70190476190476192</v>
      </c>
      <c r="J10" s="74">
        <f>+F10*1.6</f>
        <v>0.10720000000000002</v>
      </c>
    </row>
    <row r="11" spans="1:10" ht="16.5" customHeight="1" x14ac:dyDescent="0.5">
      <c r="A11" s="66" t="s">
        <v>567</v>
      </c>
      <c r="B11" s="89" t="s">
        <v>829</v>
      </c>
      <c r="C11" s="89" t="s">
        <v>471</v>
      </c>
      <c r="D11" s="89">
        <v>0.05</v>
      </c>
      <c r="E11" s="45">
        <v>0</v>
      </c>
      <c r="F11" s="89">
        <f t="shared" si="0"/>
        <v>0.05</v>
      </c>
      <c r="G11" s="89">
        <v>2400</v>
      </c>
      <c r="H11" s="46">
        <f>F11*G11</f>
        <v>120</v>
      </c>
      <c r="I11" s="664">
        <f>H11/I$3</f>
        <v>5.7142857142857141E-2</v>
      </c>
    </row>
    <row r="12" spans="1:10" ht="16.5" customHeight="1" x14ac:dyDescent="0.5">
      <c r="A12" s="976" t="s">
        <v>592</v>
      </c>
      <c r="B12" s="977" t="s">
        <v>674</v>
      </c>
      <c r="C12" s="977" t="s">
        <v>471</v>
      </c>
      <c r="D12" s="977">
        <v>0.03</v>
      </c>
      <c r="E12" s="994">
        <v>0.2</v>
      </c>
      <c r="F12" s="977">
        <f t="shared" si="0"/>
        <v>3.5999999999999997E-2</v>
      </c>
      <c r="G12" s="977">
        <v>21000</v>
      </c>
      <c r="H12" s="959">
        <f>F12*G12</f>
        <v>755.99999999999989</v>
      </c>
      <c r="I12" s="995">
        <f>H12/I$3</f>
        <v>0.35999999999999993</v>
      </c>
    </row>
    <row r="13" spans="1:10" ht="16.5" customHeight="1" x14ac:dyDescent="0.5">
      <c r="A13" s="236" t="s">
        <v>559</v>
      </c>
      <c r="B13" s="89" t="s">
        <v>652</v>
      </c>
      <c r="C13" s="89" t="s">
        <v>471</v>
      </c>
      <c r="D13" s="89">
        <v>0.03</v>
      </c>
      <c r="E13" s="86">
        <v>0</v>
      </c>
      <c r="F13" s="89">
        <f t="shared" si="0"/>
        <v>0.03</v>
      </c>
      <c r="G13" s="89">
        <v>7000</v>
      </c>
      <c r="H13" s="46">
        <f>F13*G13</f>
        <v>210</v>
      </c>
      <c r="I13" s="664">
        <f>H13/I$3</f>
        <v>0.1</v>
      </c>
    </row>
    <row r="14" spans="1:10" ht="16.5" customHeight="1" x14ac:dyDescent="0.5">
      <c r="A14" s="665"/>
      <c r="B14" s="89" t="s">
        <v>709</v>
      </c>
      <c r="C14" s="89" t="s">
        <v>13</v>
      </c>
      <c r="D14" s="89">
        <v>1</v>
      </c>
      <c r="E14" s="45">
        <v>0</v>
      </c>
      <c r="F14" s="89">
        <v>1</v>
      </c>
      <c r="G14" s="89">
        <v>200</v>
      </c>
      <c r="H14" s="46">
        <f t="shared" ref="H14:H19" si="1">F14*G14</f>
        <v>200</v>
      </c>
      <c r="I14" s="664">
        <f t="shared" ref="I14:I19" si="2">H14/I$3</f>
        <v>9.5238095238095233E-2</v>
      </c>
    </row>
    <row r="15" spans="1:10" s="119" customFormat="1" ht="16.5" customHeight="1" x14ac:dyDescent="0.5">
      <c r="A15" s="996"/>
      <c r="B15" s="977" t="s">
        <v>617</v>
      </c>
      <c r="C15" s="977" t="s">
        <v>471</v>
      </c>
      <c r="D15" s="977">
        <v>0.01</v>
      </c>
      <c r="E15" s="994">
        <v>0</v>
      </c>
      <c r="F15" s="977">
        <v>0.01</v>
      </c>
      <c r="G15" s="977">
        <v>70000</v>
      </c>
      <c r="H15" s="959">
        <f t="shared" si="1"/>
        <v>700</v>
      </c>
      <c r="I15" s="995">
        <f t="shared" si="2"/>
        <v>0.33333333333333331</v>
      </c>
    </row>
    <row r="16" spans="1:10" ht="16.5" customHeight="1" x14ac:dyDescent="0.5">
      <c r="A16" s="665"/>
      <c r="B16" s="89" t="s">
        <v>673</v>
      </c>
      <c r="C16" s="89" t="s">
        <v>471</v>
      </c>
      <c r="D16" s="89">
        <v>0.03</v>
      </c>
      <c r="E16" s="45">
        <v>0.2</v>
      </c>
      <c r="F16" s="89">
        <v>0.03</v>
      </c>
      <c r="G16" s="89">
        <v>4500</v>
      </c>
      <c r="H16" s="46">
        <f t="shared" si="1"/>
        <v>135</v>
      </c>
      <c r="I16" s="664">
        <f t="shared" si="2"/>
        <v>6.4285714285714279E-2</v>
      </c>
    </row>
    <row r="17" spans="1:9" ht="16.5" customHeight="1" x14ac:dyDescent="0.5">
      <c r="A17" s="665"/>
      <c r="B17" s="89" t="s">
        <v>622</v>
      </c>
      <c r="C17" s="89" t="s">
        <v>471</v>
      </c>
      <c r="D17" s="89">
        <v>5.0000000000000001E-3</v>
      </c>
      <c r="E17" s="86">
        <v>0</v>
      </c>
      <c r="F17" s="89">
        <v>5.0000000000000001E-3</v>
      </c>
      <c r="G17" s="89">
        <v>24000</v>
      </c>
      <c r="H17" s="46">
        <f t="shared" si="1"/>
        <v>120</v>
      </c>
      <c r="I17" s="664">
        <f t="shared" si="2"/>
        <v>5.7142857142857141E-2</v>
      </c>
    </row>
    <row r="18" spans="1:9" ht="16.5" customHeight="1" x14ac:dyDescent="0.5">
      <c r="A18" s="665"/>
      <c r="B18" s="89" t="s">
        <v>609</v>
      </c>
      <c r="C18" s="89" t="s">
        <v>463</v>
      </c>
      <c r="D18" s="89">
        <v>0.01</v>
      </c>
      <c r="E18" s="45">
        <v>0</v>
      </c>
      <c r="F18" s="89">
        <v>0.01</v>
      </c>
      <c r="G18" s="89">
        <v>14000</v>
      </c>
      <c r="H18" s="46">
        <f t="shared" si="1"/>
        <v>140</v>
      </c>
      <c r="I18" s="664">
        <f t="shared" si="2"/>
        <v>6.6666666666666666E-2</v>
      </c>
    </row>
    <row r="19" spans="1:9" ht="16.5" customHeight="1" thickBot="1" x14ac:dyDescent="0.55000000000000004">
      <c r="A19" s="665"/>
      <c r="B19" s="89" t="s">
        <v>719</v>
      </c>
      <c r="C19" s="89" t="s">
        <v>459</v>
      </c>
      <c r="D19" s="89">
        <v>0.01</v>
      </c>
      <c r="E19" s="86">
        <v>0</v>
      </c>
      <c r="F19" s="89">
        <v>0.01</v>
      </c>
      <c r="G19" s="89">
        <f>42000/4.15</f>
        <v>10120.481927710842</v>
      </c>
      <c r="H19" s="46">
        <f t="shared" si="1"/>
        <v>101.20481927710841</v>
      </c>
      <c r="I19" s="664">
        <f t="shared" si="2"/>
        <v>4.8192771084337338E-2</v>
      </c>
    </row>
    <row r="20" spans="1:9" ht="16.5" customHeight="1" x14ac:dyDescent="0.5">
      <c r="B20" s="224" t="s">
        <v>4</v>
      </c>
      <c r="C20" s="64"/>
      <c r="D20" s="666"/>
      <c r="E20" s="666"/>
      <c r="F20" s="666"/>
      <c r="G20" s="52"/>
      <c r="H20" s="667">
        <f>SUM(H10:H19)</f>
        <v>3956.2048192771085</v>
      </c>
      <c r="I20" s="668">
        <f>SUM(I10:I19)</f>
        <v>1.8839070567986231</v>
      </c>
    </row>
    <row r="21" spans="1:9" ht="16.5" customHeight="1" x14ac:dyDescent="0.5">
      <c r="B21" s="101" t="s">
        <v>14</v>
      </c>
      <c r="C21" s="22"/>
      <c r="D21" s="669"/>
      <c r="E21" s="669"/>
      <c r="F21" s="669"/>
      <c r="G21" s="54"/>
      <c r="H21" s="103">
        <f>H20/1</f>
        <v>3956.2048192771085</v>
      </c>
      <c r="I21" s="485"/>
    </row>
    <row r="22" spans="1:9" ht="16.5" customHeight="1" x14ac:dyDescent="0.5">
      <c r="B22" s="101" t="s">
        <v>15</v>
      </c>
      <c r="C22" s="22"/>
      <c r="D22" s="669"/>
      <c r="E22" s="669"/>
      <c r="F22" s="669"/>
      <c r="G22" s="54"/>
      <c r="H22" s="485">
        <f>G7</f>
        <v>12000</v>
      </c>
      <c r="I22" s="485"/>
    </row>
    <row r="23" spans="1:9" ht="16.5" customHeight="1" x14ac:dyDescent="0.5">
      <c r="B23" s="101" t="s">
        <v>454</v>
      </c>
      <c r="C23" s="22"/>
      <c r="D23" s="669"/>
      <c r="E23" s="669"/>
      <c r="F23" s="669"/>
      <c r="G23" s="54"/>
      <c r="H23" s="104">
        <f>H22/113.3%</f>
        <v>10591.35039717564</v>
      </c>
      <c r="I23" s="104"/>
    </row>
    <row r="24" spans="1:9" ht="16.5" customHeight="1" x14ac:dyDescent="0.5">
      <c r="B24" s="101" t="s">
        <v>16</v>
      </c>
      <c r="C24" s="22"/>
      <c r="D24" s="54"/>
      <c r="E24" s="54"/>
      <c r="F24" s="54"/>
      <c r="G24" s="54"/>
      <c r="H24" s="670">
        <f>H21/H23</f>
        <v>0.373531671686747</v>
      </c>
      <c r="I24" s="670"/>
    </row>
    <row r="25" spans="1:9" ht="16.5" customHeight="1" x14ac:dyDescent="0.5">
      <c r="B25" s="101"/>
      <c r="C25" s="22"/>
      <c r="D25" s="54"/>
      <c r="E25" s="54"/>
      <c r="F25" s="54"/>
      <c r="G25" s="54"/>
      <c r="H25" s="103"/>
      <c r="I25" s="671"/>
    </row>
    <row r="26" spans="1:9" ht="16.5" customHeight="1" thickBot="1" x14ac:dyDescent="0.55000000000000004">
      <c r="B26" s="108"/>
      <c r="C26" s="109"/>
      <c r="D26" s="111"/>
      <c r="E26" s="111"/>
      <c r="F26" s="111"/>
      <c r="G26" s="111"/>
      <c r="H26" s="672"/>
      <c r="I26" s="673"/>
    </row>
    <row r="27" spans="1:9" ht="16.5" customHeight="1" x14ac:dyDescent="0.5">
      <c r="B27" s="76"/>
      <c r="C27" s="76"/>
      <c r="D27" s="76"/>
      <c r="E27" s="76"/>
      <c r="F27" s="76"/>
      <c r="G27" s="61"/>
      <c r="H27" s="61"/>
      <c r="I27" s="655"/>
    </row>
    <row r="28" spans="1:9" ht="16.5" customHeight="1" thickBot="1" x14ac:dyDescent="0.55000000000000004">
      <c r="B28" s="76"/>
      <c r="C28" s="76"/>
      <c r="D28" s="76" t="s">
        <v>0</v>
      </c>
      <c r="E28" s="76"/>
      <c r="F28" s="76"/>
      <c r="G28" s="61"/>
      <c r="H28" s="61"/>
      <c r="I28" s="656"/>
    </row>
    <row r="29" spans="1:9" ht="16.5" customHeight="1" x14ac:dyDescent="0.5">
      <c r="A29" s="674" t="s">
        <v>665</v>
      </c>
      <c r="B29" s="675" t="s">
        <v>926</v>
      </c>
      <c r="C29" s="547"/>
      <c r="D29" s="547"/>
      <c r="E29" s="547"/>
      <c r="F29" s="547"/>
      <c r="G29" s="548" t="s">
        <v>1</v>
      </c>
      <c r="H29" s="651" t="s">
        <v>868</v>
      </c>
      <c r="I29" s="657" t="s">
        <v>595</v>
      </c>
    </row>
    <row r="30" spans="1:9" ht="16.5" customHeight="1" x14ac:dyDescent="0.5">
      <c r="A30" s="658"/>
      <c r="B30" s="542">
        <v>2</v>
      </c>
      <c r="C30" s="539" t="s">
        <v>4</v>
      </c>
      <c r="D30" s="659" t="s">
        <v>3</v>
      </c>
      <c r="E30" s="540" t="s">
        <v>613</v>
      </c>
      <c r="F30" s="540" t="s">
        <v>614</v>
      </c>
      <c r="G30" s="540" t="s">
        <v>6</v>
      </c>
      <c r="H30" s="540" t="s">
        <v>7</v>
      </c>
      <c r="I30" s="660">
        <f>I6</f>
        <v>45574</v>
      </c>
    </row>
    <row r="31" spans="1:9" ht="16.5" customHeight="1" thickBot="1" x14ac:dyDescent="0.55000000000000004">
      <c r="A31" s="108"/>
      <c r="B31" s="552"/>
      <c r="C31" s="552"/>
      <c r="D31" s="553">
        <v>1</v>
      </c>
      <c r="E31" s="553"/>
      <c r="F31" s="553"/>
      <c r="G31" s="553">
        <f>Summary!J69</f>
        <v>12000</v>
      </c>
      <c r="H31" s="661">
        <f>H48</f>
        <v>0.36353482294238681</v>
      </c>
      <c r="I31" s="662"/>
    </row>
    <row r="32" spans="1:9" ht="16.5" customHeight="1" thickBot="1" x14ac:dyDescent="0.55000000000000004">
      <c r="B32" s="60"/>
      <c r="C32" s="60"/>
      <c r="D32" s="61"/>
      <c r="E32" s="61"/>
      <c r="F32" s="61"/>
      <c r="G32" s="61"/>
      <c r="H32" s="61"/>
      <c r="I32" s="656"/>
    </row>
    <row r="33" spans="1:9" ht="16.5" customHeight="1" x14ac:dyDescent="0.5">
      <c r="A33" s="63" t="s">
        <v>605</v>
      </c>
      <c r="B33" s="64" t="s">
        <v>10</v>
      </c>
      <c r="C33" s="64" t="s">
        <v>9</v>
      </c>
      <c r="D33" s="52" t="s">
        <v>8</v>
      </c>
      <c r="E33" s="52" t="s">
        <v>613</v>
      </c>
      <c r="F33" s="52" t="s">
        <v>614</v>
      </c>
      <c r="G33" s="52" t="s">
        <v>11</v>
      </c>
      <c r="H33" s="52" t="s">
        <v>24</v>
      </c>
      <c r="I33" s="663" t="s">
        <v>25</v>
      </c>
    </row>
    <row r="34" spans="1:9" ht="16.5" customHeight="1" x14ac:dyDescent="0.5">
      <c r="A34" s="976" t="s">
        <v>562</v>
      </c>
      <c r="B34" s="975" t="s">
        <v>464</v>
      </c>
      <c r="C34" s="984" t="s">
        <v>23</v>
      </c>
      <c r="D34" s="966">
        <v>0.05</v>
      </c>
      <c r="E34" s="957">
        <v>0.34</v>
      </c>
      <c r="F34" s="997">
        <v>0.05</v>
      </c>
      <c r="G34" s="998">
        <f>22000/1.62</f>
        <v>13580.246913580246</v>
      </c>
      <c r="H34" s="999">
        <f>F34*G34</f>
        <v>679.01234567901236</v>
      </c>
      <c r="I34" s="995">
        <f>H34/I$3</f>
        <v>0.32333921222810114</v>
      </c>
    </row>
    <row r="35" spans="1:9" ht="16.5" customHeight="1" x14ac:dyDescent="0.5">
      <c r="A35" s="996"/>
      <c r="B35" s="1000" t="s">
        <v>583</v>
      </c>
      <c r="C35" s="984" t="s">
        <v>23</v>
      </c>
      <c r="D35" s="966">
        <v>0.05</v>
      </c>
      <c r="E35" s="994">
        <v>0.19</v>
      </c>
      <c r="F35" s="966">
        <v>0.05</v>
      </c>
      <c r="G35" s="1001">
        <f>22000/1.62</f>
        <v>13580.246913580246</v>
      </c>
      <c r="H35" s="999">
        <f t="shared" ref="H35:H43" si="3">F35*G35</f>
        <v>679.01234567901236</v>
      </c>
      <c r="I35" s="995">
        <f t="shared" ref="I35:I43" si="4">H35/I$3</f>
        <v>0.32333921222810114</v>
      </c>
    </row>
    <row r="36" spans="1:9" ht="16.5" customHeight="1" x14ac:dyDescent="0.5">
      <c r="A36" s="665"/>
      <c r="B36" s="89" t="s">
        <v>827</v>
      </c>
      <c r="C36" s="19" t="s">
        <v>22</v>
      </c>
      <c r="D36" s="701">
        <v>1E-3</v>
      </c>
      <c r="E36" s="45">
        <v>0</v>
      </c>
      <c r="F36" s="701">
        <v>1E-3</v>
      </c>
      <c r="G36" s="274">
        <v>42300</v>
      </c>
      <c r="H36" s="677">
        <f t="shared" si="3"/>
        <v>42.300000000000004</v>
      </c>
      <c r="I36" s="664">
        <f t="shared" si="4"/>
        <v>2.0142857142857146E-2</v>
      </c>
    </row>
    <row r="37" spans="1:9" ht="16.5" customHeight="1" x14ac:dyDescent="0.5">
      <c r="A37" s="665"/>
      <c r="B37" s="26" t="s">
        <v>603</v>
      </c>
      <c r="C37" s="19" t="s">
        <v>19</v>
      </c>
      <c r="D37" s="435">
        <v>1</v>
      </c>
      <c r="E37" s="86">
        <v>0</v>
      </c>
      <c r="F37" s="20">
        <v>1</v>
      </c>
      <c r="G37" s="274">
        <v>380</v>
      </c>
      <c r="H37" s="677">
        <f t="shared" si="3"/>
        <v>380</v>
      </c>
      <c r="I37" s="664">
        <f t="shared" si="4"/>
        <v>0.18095238095238095</v>
      </c>
    </row>
    <row r="38" spans="1:9" ht="16.5" customHeight="1" x14ac:dyDescent="0.5">
      <c r="A38" s="665"/>
      <c r="B38" s="23" t="s">
        <v>637</v>
      </c>
      <c r="C38" s="19" t="s">
        <v>20</v>
      </c>
      <c r="D38" s="20">
        <v>0.1</v>
      </c>
      <c r="E38" s="45">
        <v>0.05</v>
      </c>
      <c r="F38" s="20">
        <v>0.1</v>
      </c>
      <c r="G38" s="274">
        <v>500</v>
      </c>
      <c r="H38" s="677">
        <f t="shared" si="3"/>
        <v>50</v>
      </c>
      <c r="I38" s="664">
        <f t="shared" si="4"/>
        <v>2.3809523809523808E-2</v>
      </c>
    </row>
    <row r="39" spans="1:9" ht="16.5" customHeight="1" x14ac:dyDescent="0.5">
      <c r="A39" s="665"/>
      <c r="B39" s="89" t="s">
        <v>474</v>
      </c>
      <c r="C39" s="19" t="s">
        <v>23</v>
      </c>
      <c r="D39" s="20">
        <v>0.02</v>
      </c>
      <c r="E39" s="45">
        <v>0.1</v>
      </c>
      <c r="F39" s="20">
        <v>0.02</v>
      </c>
      <c r="G39" s="274">
        <v>10000</v>
      </c>
      <c r="H39" s="677">
        <f t="shared" si="3"/>
        <v>200</v>
      </c>
      <c r="I39" s="664">
        <f t="shared" si="4"/>
        <v>9.5238095238095233E-2</v>
      </c>
    </row>
    <row r="40" spans="1:9" ht="16.5" customHeight="1" x14ac:dyDescent="0.5">
      <c r="A40" s="665"/>
      <c r="B40" s="89" t="s">
        <v>686</v>
      </c>
      <c r="C40" s="19" t="s">
        <v>21</v>
      </c>
      <c r="D40" s="20">
        <v>0.03</v>
      </c>
      <c r="E40" s="45">
        <v>0.1</v>
      </c>
      <c r="F40" s="20">
        <v>0.03</v>
      </c>
      <c r="G40" s="274">
        <v>1400</v>
      </c>
      <c r="H40" s="677">
        <f t="shared" si="3"/>
        <v>42</v>
      </c>
      <c r="I40" s="664">
        <f t="shared" si="4"/>
        <v>0.02</v>
      </c>
    </row>
    <row r="41" spans="1:9" ht="16.5" customHeight="1" x14ac:dyDescent="0.5">
      <c r="A41" s="665"/>
      <c r="B41" s="89" t="s">
        <v>653</v>
      </c>
      <c r="C41" s="19" t="s">
        <v>23</v>
      </c>
      <c r="D41" s="20">
        <v>0.02</v>
      </c>
      <c r="E41" s="86">
        <v>0.08</v>
      </c>
      <c r="F41" s="20">
        <v>0.02</v>
      </c>
      <c r="G41" s="274">
        <v>6000</v>
      </c>
      <c r="H41" s="677">
        <f t="shared" si="3"/>
        <v>120</v>
      </c>
      <c r="I41" s="664">
        <f t="shared" si="4"/>
        <v>5.7142857142857141E-2</v>
      </c>
    </row>
    <row r="42" spans="1:9" ht="16.5" customHeight="1" x14ac:dyDescent="0.5">
      <c r="A42" s="665"/>
      <c r="B42" s="89" t="s">
        <v>601</v>
      </c>
      <c r="C42" s="30" t="s">
        <v>19</v>
      </c>
      <c r="D42" s="20">
        <v>0.02</v>
      </c>
      <c r="E42" s="45">
        <v>0.05</v>
      </c>
      <c r="F42" s="20">
        <v>0.02</v>
      </c>
      <c r="G42" s="274">
        <v>400</v>
      </c>
      <c r="H42" s="677">
        <f t="shared" si="3"/>
        <v>8</v>
      </c>
      <c r="I42" s="664">
        <f t="shared" si="4"/>
        <v>3.8095238095238095E-3</v>
      </c>
    </row>
    <row r="43" spans="1:9" ht="16.5" customHeight="1" thickBot="1" x14ac:dyDescent="0.55000000000000004">
      <c r="A43" s="665"/>
      <c r="B43" s="501" t="s">
        <v>666</v>
      </c>
      <c r="C43" s="95" t="s">
        <v>22</v>
      </c>
      <c r="D43" s="96">
        <v>0.1</v>
      </c>
      <c r="E43" s="394">
        <v>0</v>
      </c>
      <c r="F43" s="96">
        <v>0.1</v>
      </c>
      <c r="G43" s="536">
        <v>16500</v>
      </c>
      <c r="H43" s="678">
        <f t="shared" si="3"/>
        <v>1650</v>
      </c>
      <c r="I43" s="679">
        <f t="shared" si="4"/>
        <v>0.7857142857142857</v>
      </c>
    </row>
    <row r="44" spans="1:9" ht="16.5" customHeight="1" x14ac:dyDescent="0.5">
      <c r="B44" s="99" t="s">
        <v>4</v>
      </c>
      <c r="C44" s="69"/>
      <c r="D44" s="70"/>
      <c r="E44" s="70"/>
      <c r="F44" s="70"/>
      <c r="G44" s="70"/>
      <c r="H44" s="248">
        <f>SUM(H34:H43)</f>
        <v>3850.3246913580247</v>
      </c>
      <c r="I44" s="680">
        <f>SUM(I34:I43)</f>
        <v>1.8334879482657258</v>
      </c>
    </row>
    <row r="45" spans="1:9" ht="16.5" customHeight="1" x14ac:dyDescent="0.5">
      <c r="B45" s="101" t="s">
        <v>14</v>
      </c>
      <c r="C45" s="22"/>
      <c r="D45" s="54"/>
      <c r="E45" s="54"/>
      <c r="F45" s="54"/>
      <c r="G45" s="54"/>
      <c r="H45" s="249">
        <f>H44/1</f>
        <v>3850.3246913580247</v>
      </c>
      <c r="I45" s="485"/>
    </row>
    <row r="46" spans="1:9" ht="16.5" customHeight="1" x14ac:dyDescent="0.5">
      <c r="B46" s="101" t="s">
        <v>15</v>
      </c>
      <c r="C46" s="22"/>
      <c r="D46" s="54"/>
      <c r="E46" s="54"/>
      <c r="F46" s="54"/>
      <c r="G46" s="54"/>
      <c r="H46" s="485">
        <f>G31</f>
        <v>12000</v>
      </c>
      <c r="I46" s="485"/>
    </row>
    <row r="47" spans="1:9" ht="16.5" customHeight="1" x14ac:dyDescent="0.5">
      <c r="B47" s="101" t="s">
        <v>454</v>
      </c>
      <c r="C47" s="22"/>
      <c r="D47" s="54"/>
      <c r="E47" s="54"/>
      <c r="F47" s="54"/>
      <c r="G47" s="54"/>
      <c r="H47" s="104">
        <f>H46/113.3%</f>
        <v>10591.35039717564</v>
      </c>
      <c r="I47" s="104"/>
    </row>
    <row r="48" spans="1:9" ht="16.5" customHeight="1" x14ac:dyDescent="0.5">
      <c r="B48" s="101" t="s">
        <v>16</v>
      </c>
      <c r="C48" s="22"/>
      <c r="D48" s="54"/>
      <c r="E48" s="54"/>
      <c r="F48" s="54"/>
      <c r="G48" s="54"/>
      <c r="H48" s="681">
        <f>H45/H47</f>
        <v>0.36353482294238681</v>
      </c>
      <c r="I48" s="681"/>
    </row>
    <row r="49" spans="1:12" ht="16.5" customHeight="1" x14ac:dyDescent="0.5">
      <c r="B49" s="101"/>
      <c r="C49" s="22"/>
      <c r="D49" s="54"/>
      <c r="E49" s="54"/>
      <c r="F49" s="54"/>
      <c r="G49" s="54"/>
      <c r="H49" s="249"/>
      <c r="I49" s="671"/>
    </row>
    <row r="50" spans="1:12" ht="16.5" customHeight="1" thickBot="1" x14ac:dyDescent="0.55000000000000004">
      <c r="B50" s="108"/>
      <c r="C50" s="109"/>
      <c r="D50" s="111"/>
      <c r="E50" s="111"/>
      <c r="F50" s="111"/>
      <c r="G50" s="111"/>
      <c r="H50" s="682"/>
      <c r="I50" s="673"/>
    </row>
    <row r="51" spans="1:12" ht="16.5" customHeight="1" x14ac:dyDescent="0.5">
      <c r="B51" s="76"/>
      <c r="C51" s="76"/>
      <c r="D51" s="76"/>
      <c r="E51" s="76"/>
      <c r="F51" s="76"/>
      <c r="G51" s="61"/>
      <c r="H51" s="61"/>
      <c r="I51" s="655"/>
    </row>
    <row r="52" spans="1:12" ht="16.5" customHeight="1" thickBot="1" x14ac:dyDescent="0.55000000000000004">
      <c r="B52" s="76"/>
      <c r="C52" s="76"/>
      <c r="D52" s="76" t="s">
        <v>0</v>
      </c>
      <c r="E52" s="76"/>
      <c r="F52" s="76"/>
      <c r="G52" s="61"/>
      <c r="H52" s="61"/>
      <c r="I52" s="656"/>
    </row>
    <row r="53" spans="1:12" ht="16.5" customHeight="1" x14ac:dyDescent="0.5">
      <c r="A53" s="674" t="s">
        <v>722</v>
      </c>
      <c r="B53" s="538" t="s">
        <v>927</v>
      </c>
      <c r="C53" s="547"/>
      <c r="D53" s="547" t="s">
        <v>456</v>
      </c>
      <c r="E53" s="547"/>
      <c r="F53" s="547"/>
      <c r="G53" s="548" t="s">
        <v>1</v>
      </c>
      <c r="H53" s="651" t="s">
        <v>868</v>
      </c>
      <c r="I53" s="657" t="s">
        <v>595</v>
      </c>
    </row>
    <row r="54" spans="1:12" ht="16.5" customHeight="1" x14ac:dyDescent="0.5">
      <c r="A54" s="658"/>
      <c r="B54" s="542">
        <v>3</v>
      </c>
      <c r="C54" s="539" t="s">
        <v>4</v>
      </c>
      <c r="D54" s="659" t="s">
        <v>3</v>
      </c>
      <c r="E54" s="540" t="s">
        <v>613</v>
      </c>
      <c r="F54" s="540" t="s">
        <v>614</v>
      </c>
      <c r="G54" s="540" t="s">
        <v>6</v>
      </c>
      <c r="H54" s="540" t="s">
        <v>7</v>
      </c>
      <c r="I54" s="660">
        <f>I30</f>
        <v>45574</v>
      </c>
    </row>
    <row r="55" spans="1:12" ht="16.5" customHeight="1" thickBot="1" x14ac:dyDescent="0.55000000000000004">
      <c r="A55" s="108"/>
      <c r="B55" s="552"/>
      <c r="C55" s="552"/>
      <c r="D55" s="553">
        <v>1</v>
      </c>
      <c r="E55" s="553"/>
      <c r="F55" s="553"/>
      <c r="G55" s="553">
        <f>Summary!J70</f>
        <v>15000</v>
      </c>
      <c r="H55" s="661">
        <f>H73</f>
        <v>0.33802713734939765</v>
      </c>
      <c r="I55" s="662"/>
    </row>
    <row r="56" spans="1:12" ht="16.5" customHeight="1" thickBot="1" x14ac:dyDescent="0.55000000000000004">
      <c r="B56" s="60"/>
      <c r="C56" s="60"/>
      <c r="D56" s="61"/>
      <c r="E56" s="61"/>
      <c r="F56" s="61"/>
      <c r="G56" s="61"/>
      <c r="H56" s="61"/>
      <c r="I56" s="656"/>
    </row>
    <row r="57" spans="1:12" ht="16.5" customHeight="1" x14ac:dyDescent="0.5">
      <c r="A57" s="63" t="s">
        <v>605</v>
      </c>
      <c r="B57" s="64" t="s">
        <v>10</v>
      </c>
      <c r="C57" s="64" t="s">
        <v>9</v>
      </c>
      <c r="D57" s="52" t="s">
        <v>8</v>
      </c>
      <c r="E57" s="52" t="s">
        <v>613</v>
      </c>
      <c r="F57" s="52" t="s">
        <v>614</v>
      </c>
      <c r="G57" s="52" t="s">
        <v>11</v>
      </c>
      <c r="H57" s="52" t="s">
        <v>24</v>
      </c>
      <c r="I57" s="663" t="s">
        <v>25</v>
      </c>
    </row>
    <row r="58" spans="1:12" ht="16.5" customHeight="1" x14ac:dyDescent="0.5">
      <c r="A58" s="351" t="s">
        <v>472</v>
      </c>
      <c r="B58" s="420" t="s">
        <v>734</v>
      </c>
      <c r="C58" s="360" t="s">
        <v>463</v>
      </c>
      <c r="D58" s="342">
        <v>0.3</v>
      </c>
      <c r="E58" s="86">
        <v>0</v>
      </c>
      <c r="F58" s="67">
        <f t="shared" ref="F58:F62" si="5">D58+D58*E58</f>
        <v>0.3</v>
      </c>
      <c r="G58" s="34">
        <v>5700</v>
      </c>
      <c r="H58" s="46">
        <f>F58*G58</f>
        <v>1710</v>
      </c>
      <c r="I58" s="664">
        <f>H58/I$3</f>
        <v>0.81428571428571428</v>
      </c>
    </row>
    <row r="59" spans="1:12" ht="16.5" customHeight="1" x14ac:dyDescent="0.5">
      <c r="A59" s="66" t="s">
        <v>567</v>
      </c>
      <c r="B59" s="420" t="s">
        <v>735</v>
      </c>
      <c r="C59" s="360" t="s">
        <v>471</v>
      </c>
      <c r="D59" s="342">
        <v>0.1</v>
      </c>
      <c r="E59" s="86">
        <v>0</v>
      </c>
      <c r="F59" s="67">
        <f t="shared" si="5"/>
        <v>0.1</v>
      </c>
      <c r="G59" s="34">
        <f>8000</f>
        <v>8000</v>
      </c>
      <c r="H59" s="46">
        <f>F59*G59</f>
        <v>800</v>
      </c>
      <c r="I59" s="664">
        <f>H59/I$3</f>
        <v>0.38095238095238093</v>
      </c>
    </row>
    <row r="60" spans="1:12" ht="16.5" customHeight="1" x14ac:dyDescent="0.5">
      <c r="A60" s="236" t="s">
        <v>573</v>
      </c>
      <c r="B60" s="683" t="s">
        <v>652</v>
      </c>
      <c r="C60" s="684" t="s">
        <v>471</v>
      </c>
      <c r="D60" s="685">
        <v>0.05</v>
      </c>
      <c r="E60" s="86">
        <v>0</v>
      </c>
      <c r="F60" s="20">
        <f t="shared" si="5"/>
        <v>0.05</v>
      </c>
      <c r="G60" s="34">
        <v>7000</v>
      </c>
      <c r="H60" s="55">
        <f>F60*G60</f>
        <v>350</v>
      </c>
      <c r="I60" s="664">
        <f>H60/I$3</f>
        <v>0.16666666666666666</v>
      </c>
    </row>
    <row r="61" spans="1:12" ht="16.5" customHeight="1" x14ac:dyDescent="0.5">
      <c r="A61" s="66" t="s">
        <v>539</v>
      </c>
      <c r="B61" s="420" t="s">
        <v>674</v>
      </c>
      <c r="C61" s="360" t="s">
        <v>471</v>
      </c>
      <c r="D61" s="342">
        <v>0.03</v>
      </c>
      <c r="E61" s="86">
        <v>0.2</v>
      </c>
      <c r="F61" s="67">
        <f t="shared" si="5"/>
        <v>3.5999999999999997E-2</v>
      </c>
      <c r="G61" s="34">
        <v>21000</v>
      </c>
      <c r="H61" s="46">
        <f>F61*G61</f>
        <v>755.99999999999989</v>
      </c>
      <c r="I61" s="664">
        <f>H61/I$3</f>
        <v>0.35999999999999993</v>
      </c>
      <c r="L61" s="686"/>
    </row>
    <row r="62" spans="1:12" ht="16.5" customHeight="1" x14ac:dyDescent="0.5">
      <c r="A62" s="66" t="s">
        <v>581</v>
      </c>
      <c r="B62" s="420" t="s">
        <v>709</v>
      </c>
      <c r="C62" s="360" t="s">
        <v>13</v>
      </c>
      <c r="D62" s="342">
        <v>1</v>
      </c>
      <c r="E62" s="86">
        <v>0</v>
      </c>
      <c r="F62" s="413">
        <f t="shared" si="5"/>
        <v>1</v>
      </c>
      <c r="G62" s="676">
        <v>200</v>
      </c>
      <c r="H62" s="46">
        <f>F62*G62</f>
        <v>200</v>
      </c>
      <c r="I62" s="664">
        <f>H62/I$3</f>
        <v>9.5238095238095233E-2</v>
      </c>
    </row>
    <row r="63" spans="1:12" ht="16.5" customHeight="1" x14ac:dyDescent="0.5">
      <c r="A63" s="240"/>
      <c r="B63" s="420" t="s">
        <v>719</v>
      </c>
      <c r="C63" s="360" t="s">
        <v>459</v>
      </c>
      <c r="D63" s="342">
        <v>0.01</v>
      </c>
      <c r="E63" s="86">
        <v>0</v>
      </c>
      <c r="F63" s="20">
        <v>0.01</v>
      </c>
      <c r="G63" s="274">
        <f>42000/4.15</f>
        <v>10120.481927710842</v>
      </c>
      <c r="H63" s="46">
        <f t="shared" ref="H63:H68" si="6">F63*G63</f>
        <v>101.20481927710841</v>
      </c>
      <c r="I63" s="664">
        <f t="shared" ref="I63:I68" si="7">H63/I$3</f>
        <v>4.8192771084337338E-2</v>
      </c>
    </row>
    <row r="64" spans="1:12" ht="16.5" customHeight="1" x14ac:dyDescent="0.5">
      <c r="A64" s="240"/>
      <c r="B64" s="420" t="s">
        <v>673</v>
      </c>
      <c r="C64" s="360" t="s">
        <v>471</v>
      </c>
      <c r="D64" s="342">
        <v>0.02</v>
      </c>
      <c r="E64" s="86">
        <v>0.2</v>
      </c>
      <c r="F64" s="20">
        <v>0.02</v>
      </c>
      <c r="G64" s="274">
        <v>4500</v>
      </c>
      <c r="H64" s="46">
        <f t="shared" si="6"/>
        <v>90</v>
      </c>
      <c r="I64" s="664">
        <f t="shared" si="7"/>
        <v>4.2857142857142858E-2</v>
      </c>
    </row>
    <row r="65" spans="1:9" ht="16.5" customHeight="1" x14ac:dyDescent="0.5">
      <c r="A65" s="240"/>
      <c r="B65" s="420" t="s">
        <v>622</v>
      </c>
      <c r="C65" s="360" t="s">
        <v>471</v>
      </c>
      <c r="D65" s="375">
        <v>5.0000000000000001E-3</v>
      </c>
      <c r="E65" s="86">
        <v>0</v>
      </c>
      <c r="F65" s="20">
        <v>5.0000000000000001E-3</v>
      </c>
      <c r="G65" s="274">
        <v>24000</v>
      </c>
      <c r="H65" s="46">
        <f t="shared" si="6"/>
        <v>120</v>
      </c>
      <c r="I65" s="664">
        <f t="shared" si="7"/>
        <v>5.7142857142857141E-2</v>
      </c>
    </row>
    <row r="66" spans="1:9" ht="16.5" customHeight="1" x14ac:dyDescent="0.5">
      <c r="A66" s="240"/>
      <c r="B66" s="420" t="s">
        <v>609</v>
      </c>
      <c r="C66" s="360" t="s">
        <v>463</v>
      </c>
      <c r="D66" s="375">
        <v>1E-3</v>
      </c>
      <c r="E66" s="86">
        <v>0</v>
      </c>
      <c r="F66" s="20">
        <v>1E-3</v>
      </c>
      <c r="G66" s="274">
        <v>14000</v>
      </c>
      <c r="H66" s="46">
        <f t="shared" si="6"/>
        <v>14</v>
      </c>
      <c r="I66" s="664">
        <f t="shared" si="7"/>
        <v>6.6666666666666671E-3</v>
      </c>
    </row>
    <row r="67" spans="1:9" ht="16.5" customHeight="1" x14ac:dyDescent="0.5">
      <c r="A67" s="240"/>
      <c r="B67" s="420" t="s">
        <v>672</v>
      </c>
      <c r="C67" s="360" t="s">
        <v>471</v>
      </c>
      <c r="D67" s="342">
        <v>0.03</v>
      </c>
      <c r="E67" s="86">
        <v>0</v>
      </c>
      <c r="F67" s="20">
        <v>0.03</v>
      </c>
      <c r="G67" s="274">
        <v>7800</v>
      </c>
      <c r="H67" s="46">
        <f t="shared" si="6"/>
        <v>234</v>
      </c>
      <c r="I67" s="664">
        <f t="shared" si="7"/>
        <v>0.11142857142857143</v>
      </c>
    </row>
    <row r="68" spans="1:9" ht="16.5" customHeight="1" thickBot="1" x14ac:dyDescent="0.55000000000000004">
      <c r="A68" s="240"/>
      <c r="B68" s="420" t="s">
        <v>671</v>
      </c>
      <c r="C68" s="360" t="s">
        <v>20</v>
      </c>
      <c r="D68" s="342">
        <v>0.2</v>
      </c>
      <c r="E68" s="86">
        <v>0.05</v>
      </c>
      <c r="F68" s="20">
        <v>0.2</v>
      </c>
      <c r="G68" s="274">
        <v>500</v>
      </c>
      <c r="H68" s="46">
        <f t="shared" si="6"/>
        <v>100</v>
      </c>
      <c r="I68" s="664">
        <f t="shared" si="7"/>
        <v>4.7619047619047616E-2</v>
      </c>
    </row>
    <row r="69" spans="1:9" ht="16.5" customHeight="1" x14ac:dyDescent="0.5">
      <c r="B69" s="224" t="s">
        <v>4</v>
      </c>
      <c r="C69" s="64"/>
      <c r="D69" s="52"/>
      <c r="E69" s="52"/>
      <c r="F69" s="52"/>
      <c r="G69" s="52"/>
      <c r="H69" s="687">
        <f>SUM(H58:H68)</f>
        <v>4475.204819277109</v>
      </c>
      <c r="I69" s="668">
        <f>SUM(I58:I68)</f>
        <v>2.1310499139414798</v>
      </c>
    </row>
    <row r="70" spans="1:9" ht="16.5" customHeight="1" x14ac:dyDescent="0.5">
      <c r="B70" s="101" t="s">
        <v>14</v>
      </c>
      <c r="C70" s="22"/>
      <c r="D70" s="54"/>
      <c r="E70" s="54"/>
      <c r="F70" s="54"/>
      <c r="G70" s="54"/>
      <c r="H70" s="249">
        <f>H69/1</f>
        <v>4475.204819277109</v>
      </c>
      <c r="I70" s="485"/>
    </row>
    <row r="71" spans="1:9" ht="16.5" customHeight="1" x14ac:dyDescent="0.5">
      <c r="B71" s="101" t="s">
        <v>15</v>
      </c>
      <c r="C71" s="22"/>
      <c r="D71" s="54"/>
      <c r="E71" s="54"/>
      <c r="F71" s="54"/>
      <c r="G71" s="54"/>
      <c r="H71" s="1002">
        <f>G55</f>
        <v>15000</v>
      </c>
      <c r="I71" s="485"/>
    </row>
    <row r="72" spans="1:9" ht="16.5" customHeight="1" x14ac:dyDescent="0.5">
      <c r="B72" s="101" t="s">
        <v>454</v>
      </c>
      <c r="C72" s="22"/>
      <c r="D72" s="54"/>
      <c r="E72" s="54"/>
      <c r="F72" s="54"/>
      <c r="G72" s="54"/>
      <c r="H72" s="104">
        <f>H71/113.3%</f>
        <v>13239.187996469549</v>
      </c>
      <c r="I72" s="104"/>
    </row>
    <row r="73" spans="1:9" ht="16.5" customHeight="1" x14ac:dyDescent="0.5">
      <c r="B73" s="101" t="s">
        <v>16</v>
      </c>
      <c r="C73" s="22"/>
      <c r="D73" s="54"/>
      <c r="E73" s="54"/>
      <c r="F73" s="54"/>
      <c r="G73" s="54"/>
      <c r="H73" s="670">
        <f>H70/H72</f>
        <v>0.33802713734939765</v>
      </c>
      <c r="I73" s="670"/>
    </row>
    <row r="74" spans="1:9" ht="16.5" customHeight="1" x14ac:dyDescent="0.5">
      <c r="B74" s="101"/>
      <c r="C74" s="22"/>
      <c r="D74" s="54"/>
      <c r="E74" s="54"/>
      <c r="F74" s="54"/>
      <c r="G74" s="54"/>
      <c r="H74" s="249"/>
      <c r="I74" s="671"/>
    </row>
    <row r="75" spans="1:9" ht="16.5" customHeight="1" thickBot="1" x14ac:dyDescent="0.55000000000000004">
      <c r="B75" s="108"/>
      <c r="C75" s="109"/>
      <c r="D75" s="111"/>
      <c r="E75" s="111"/>
      <c r="F75" s="111"/>
      <c r="G75" s="111"/>
      <c r="H75" s="682"/>
      <c r="I75" s="673"/>
    </row>
    <row r="76" spans="1:9" ht="16.5" customHeight="1" x14ac:dyDescent="0.5">
      <c r="B76" s="76"/>
      <c r="C76" s="76"/>
      <c r="D76" s="76"/>
      <c r="E76" s="76"/>
      <c r="F76" s="76"/>
      <c r="G76" s="61"/>
      <c r="H76" s="61"/>
      <c r="I76" s="655"/>
    </row>
    <row r="77" spans="1:9" ht="16.5" customHeight="1" x14ac:dyDescent="0.5"/>
    <row r="78" spans="1:9" ht="16.5" customHeight="1" x14ac:dyDescent="0.5"/>
  </sheetData>
  <autoFilter ref="B2:B78" xr:uid="{00000000-0009-0000-0000-000007000000}"/>
  <mergeCells count="2">
    <mergeCell ref="A2:I2"/>
    <mergeCell ref="A4:I4"/>
  </mergeCells>
  <pageMargins left="0.7" right="0.7" top="0.75" bottom="0.75" header="0.3" footer="0.3"/>
  <pageSetup paperSize="9"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tabColor theme="3" tint="0.39997558519241921"/>
  </sheetPr>
  <dimension ref="A2:K165"/>
  <sheetViews>
    <sheetView topLeftCell="A97" workbookViewId="0">
      <selection activeCell="A143" sqref="A143:I143"/>
    </sheetView>
  </sheetViews>
  <sheetFormatPr defaultColWidth="9.140625" defaultRowHeight="21" x14ac:dyDescent="0.6"/>
  <cols>
    <col min="1" max="1" width="14.85546875" style="51" customWidth="1"/>
    <col min="2" max="2" width="33.42578125" style="51" customWidth="1"/>
    <col min="3" max="6" width="13.140625" style="51" customWidth="1"/>
    <col min="7" max="7" width="13.28515625" style="51" customWidth="1"/>
    <col min="8" max="8" width="16.7109375" style="51" customWidth="1"/>
    <col min="9" max="9" width="20" style="51" customWidth="1"/>
    <col min="10" max="16384" width="9.140625" style="51"/>
  </cols>
  <sheetData>
    <row r="2" spans="1:11" s="74" customFormat="1" ht="21.75" x14ac:dyDescent="0.6">
      <c r="A2" s="944" t="s">
        <v>804</v>
      </c>
      <c r="B2" s="944"/>
      <c r="C2" s="944"/>
      <c r="D2" s="944"/>
      <c r="E2" s="944"/>
      <c r="F2" s="944"/>
      <c r="G2" s="944"/>
      <c r="H2" s="944"/>
      <c r="I2" s="944"/>
    </row>
    <row r="3" spans="1:11" s="74" customFormat="1" ht="21.75" x14ac:dyDescent="0.6">
      <c r="A3" s="280"/>
      <c r="B3" s="280"/>
      <c r="C3" s="280"/>
      <c r="D3" s="280"/>
      <c r="E3" s="280"/>
      <c r="F3" s="280"/>
      <c r="G3" s="280"/>
      <c r="H3" s="280"/>
      <c r="I3" s="281">
        <v>2100</v>
      </c>
    </row>
    <row r="4" spans="1:11" s="74" customFormat="1" ht="18.75" thickBot="1" x14ac:dyDescent="0.55000000000000004">
      <c r="A4" s="937" t="s">
        <v>0</v>
      </c>
      <c r="B4" s="937"/>
      <c r="C4" s="937"/>
      <c r="D4" s="937"/>
      <c r="E4" s="937"/>
      <c r="F4" s="937"/>
      <c r="G4" s="937"/>
      <c r="H4" s="937"/>
      <c r="I4" s="937"/>
    </row>
    <row r="5" spans="1:11" s="119" customFormat="1" ht="21.75" x14ac:dyDescent="0.6">
      <c r="A5" s="606" t="s">
        <v>722</v>
      </c>
      <c r="B5" s="652" t="s">
        <v>805</v>
      </c>
      <c r="C5" s="547"/>
      <c r="D5" s="548"/>
      <c r="E5" s="548"/>
      <c r="F5" s="548"/>
      <c r="G5" s="599" t="s">
        <v>1</v>
      </c>
      <c r="H5" s="651" t="s">
        <v>868</v>
      </c>
      <c r="I5" s="549" t="s">
        <v>2</v>
      </c>
      <c r="J5" s="119">
        <v>1</v>
      </c>
    </row>
    <row r="6" spans="1:11" s="119" customFormat="1" ht="18" x14ac:dyDescent="0.5">
      <c r="A6" s="550">
        <v>1</v>
      </c>
      <c r="B6" s="542">
        <v>1</v>
      </c>
      <c r="C6" s="539" t="s">
        <v>4</v>
      </c>
      <c r="D6" s="540" t="s">
        <v>3</v>
      </c>
      <c r="E6" s="540" t="s">
        <v>613</v>
      </c>
      <c r="F6" s="540" t="s">
        <v>614</v>
      </c>
      <c r="G6" s="600" t="s">
        <v>510</v>
      </c>
      <c r="H6" s="543" t="s">
        <v>7</v>
      </c>
      <c r="I6" s="636">
        <v>45574</v>
      </c>
    </row>
    <row r="7" spans="1:11" s="119" customFormat="1" ht="18.75" thickBot="1" x14ac:dyDescent="0.55000000000000004">
      <c r="A7" s="551"/>
      <c r="B7" s="552"/>
      <c r="C7" s="552"/>
      <c r="D7" s="553">
        <v>1</v>
      </c>
      <c r="E7" s="553"/>
      <c r="F7" s="553"/>
      <c r="G7" s="553">
        <f>Summary!J73</f>
        <v>60000</v>
      </c>
      <c r="H7" s="645">
        <f>H25</f>
        <v>0.22643647033333336</v>
      </c>
      <c r="I7" s="555"/>
    </row>
    <row r="8" spans="1:11" s="119" customFormat="1" ht="18.75" thickBot="1" x14ac:dyDescent="0.55000000000000004">
      <c r="A8" s="124"/>
      <c r="B8" s="124"/>
      <c r="C8" s="124"/>
      <c r="D8" s="125"/>
      <c r="E8" s="125"/>
      <c r="F8" s="125"/>
      <c r="G8" s="284"/>
      <c r="H8" s="126"/>
      <c r="I8" s="124"/>
    </row>
    <row r="9" spans="1:11" s="119" customFormat="1" ht="18" x14ac:dyDescent="0.5">
      <c r="A9" s="194" t="s">
        <v>904</v>
      </c>
      <c r="B9" s="166" t="s">
        <v>10</v>
      </c>
      <c r="C9" s="166" t="s">
        <v>9</v>
      </c>
      <c r="D9" s="117" t="s">
        <v>8</v>
      </c>
      <c r="E9" s="117" t="s">
        <v>613</v>
      </c>
      <c r="F9" s="117" t="s">
        <v>614</v>
      </c>
      <c r="G9" s="282" t="s">
        <v>11</v>
      </c>
      <c r="H9" s="118" t="s">
        <v>12</v>
      </c>
      <c r="I9" s="195" t="s">
        <v>12</v>
      </c>
    </row>
    <row r="10" spans="1:11" s="119" customFormat="1" ht="18" x14ac:dyDescent="0.5">
      <c r="A10" s="1003">
        <v>1</v>
      </c>
      <c r="B10" s="1004" t="s">
        <v>806</v>
      </c>
      <c r="C10" s="1005" t="s">
        <v>22</v>
      </c>
      <c r="D10" s="1006">
        <v>0.2</v>
      </c>
      <c r="E10" s="957">
        <v>0.12</v>
      </c>
      <c r="F10" s="956">
        <f t="shared" ref="F10:F18" si="0">D10+D10*E10</f>
        <v>0.224</v>
      </c>
      <c r="G10" s="981">
        <v>39000</v>
      </c>
      <c r="H10" s="959">
        <f t="shared" ref="H10:H20" si="1">F10*G10</f>
        <v>8736</v>
      </c>
      <c r="I10" s="980">
        <f t="shared" ref="I10:I20" si="2">H10/I$3</f>
        <v>4.16</v>
      </c>
      <c r="K10" s="257"/>
    </row>
    <row r="11" spans="1:11" s="119" customFormat="1" ht="18" x14ac:dyDescent="0.5">
      <c r="A11" s="493">
        <v>2</v>
      </c>
      <c r="B11" s="683" t="s">
        <v>610</v>
      </c>
      <c r="C11" s="684" t="s">
        <v>463</v>
      </c>
      <c r="D11" s="685">
        <v>0.01</v>
      </c>
      <c r="E11" s="139">
        <v>0</v>
      </c>
      <c r="F11" s="32">
        <v>0.01</v>
      </c>
      <c r="G11" s="35">
        <v>1200</v>
      </c>
      <c r="H11" s="68">
        <f t="shared" si="1"/>
        <v>12</v>
      </c>
      <c r="I11" s="161">
        <f t="shared" si="2"/>
        <v>5.7142857142857143E-3</v>
      </c>
    </row>
    <row r="12" spans="1:11" s="119" customFormat="1" ht="18" x14ac:dyDescent="0.5">
      <c r="A12" s="493">
        <v>3</v>
      </c>
      <c r="B12" s="683" t="s">
        <v>675</v>
      </c>
      <c r="C12" s="684" t="s">
        <v>471</v>
      </c>
      <c r="D12" s="685">
        <v>0.05</v>
      </c>
      <c r="E12" s="139">
        <v>0.2</v>
      </c>
      <c r="F12" s="32">
        <f t="shared" si="0"/>
        <v>6.0000000000000005E-2</v>
      </c>
      <c r="G12" s="35">
        <v>10000</v>
      </c>
      <c r="H12" s="68">
        <f t="shared" si="1"/>
        <v>600</v>
      </c>
      <c r="I12" s="161">
        <f t="shared" si="2"/>
        <v>0.2857142857142857</v>
      </c>
    </row>
    <row r="13" spans="1:11" s="119" customFormat="1" ht="18" x14ac:dyDescent="0.5">
      <c r="A13" s="493">
        <v>4</v>
      </c>
      <c r="B13" s="683" t="s">
        <v>809</v>
      </c>
      <c r="C13" s="684" t="s">
        <v>463</v>
      </c>
      <c r="D13" s="685">
        <v>0.01</v>
      </c>
      <c r="E13" s="139">
        <v>0.1</v>
      </c>
      <c r="F13" s="32">
        <f t="shared" si="0"/>
        <v>1.0999999999999999E-2</v>
      </c>
      <c r="G13" s="39">
        <v>600</v>
      </c>
      <c r="H13" s="68">
        <f t="shared" si="1"/>
        <v>6.6</v>
      </c>
      <c r="I13" s="161">
        <f t="shared" si="2"/>
        <v>3.1428571428571426E-3</v>
      </c>
    </row>
    <row r="14" spans="1:11" s="119" customFormat="1" ht="18" x14ac:dyDescent="0.5">
      <c r="A14" s="493">
        <v>5</v>
      </c>
      <c r="B14" s="683" t="s">
        <v>686</v>
      </c>
      <c r="C14" s="684" t="s">
        <v>471</v>
      </c>
      <c r="D14" s="685">
        <v>0.01</v>
      </c>
      <c r="E14" s="139">
        <v>0.1</v>
      </c>
      <c r="F14" s="32">
        <f t="shared" si="0"/>
        <v>1.0999999999999999E-2</v>
      </c>
      <c r="G14" s="35">
        <v>1400</v>
      </c>
      <c r="H14" s="68">
        <f t="shared" si="1"/>
        <v>15.399999999999999</v>
      </c>
      <c r="I14" s="161">
        <f t="shared" si="2"/>
        <v>7.3333333333333323E-3</v>
      </c>
    </row>
    <row r="15" spans="1:11" s="119" customFormat="1" ht="18" x14ac:dyDescent="0.5">
      <c r="A15" s="493">
        <v>6</v>
      </c>
      <c r="B15" s="683" t="s">
        <v>810</v>
      </c>
      <c r="C15" s="684" t="s">
        <v>22</v>
      </c>
      <c r="D15" s="685">
        <v>0.05</v>
      </c>
      <c r="E15" s="139">
        <v>0</v>
      </c>
      <c r="F15" s="32">
        <f t="shared" si="0"/>
        <v>0.05</v>
      </c>
      <c r="G15" s="143">
        <v>24000</v>
      </c>
      <c r="H15" s="68">
        <f t="shared" si="1"/>
        <v>1200</v>
      </c>
      <c r="I15" s="161">
        <f t="shared" si="2"/>
        <v>0.5714285714285714</v>
      </c>
      <c r="K15" s="257"/>
    </row>
    <row r="16" spans="1:11" s="119" customFormat="1" ht="18" x14ac:dyDescent="0.5">
      <c r="A16" s="493">
        <v>7</v>
      </c>
      <c r="B16" s="683" t="s">
        <v>807</v>
      </c>
      <c r="C16" s="684" t="s">
        <v>471</v>
      </c>
      <c r="D16" s="685">
        <v>1E-3</v>
      </c>
      <c r="E16" s="139">
        <v>0</v>
      </c>
      <c r="F16" s="25">
        <f t="shared" si="0"/>
        <v>1E-3</v>
      </c>
      <c r="G16" s="35">
        <v>70000</v>
      </c>
      <c r="H16" s="68">
        <f t="shared" si="1"/>
        <v>70</v>
      </c>
      <c r="I16" s="161">
        <f t="shared" si="2"/>
        <v>3.3333333333333333E-2</v>
      </c>
    </row>
    <row r="17" spans="1:10" s="119" customFormat="1" ht="18" x14ac:dyDescent="0.5">
      <c r="A17" s="493">
        <v>8</v>
      </c>
      <c r="B17" s="683" t="s">
        <v>612</v>
      </c>
      <c r="C17" s="684" t="s">
        <v>471</v>
      </c>
      <c r="D17" s="685">
        <v>0.01</v>
      </c>
      <c r="E17" s="139">
        <v>0</v>
      </c>
      <c r="F17" s="32">
        <f t="shared" si="0"/>
        <v>0.01</v>
      </c>
      <c r="G17" s="35">
        <v>5800</v>
      </c>
      <c r="H17" s="68">
        <f t="shared" si="1"/>
        <v>58</v>
      </c>
      <c r="I17" s="161">
        <f t="shared" si="2"/>
        <v>2.7619047619047619E-2</v>
      </c>
    </row>
    <row r="18" spans="1:10" s="119" customFormat="1" ht="18" x14ac:dyDescent="0.5">
      <c r="A18" s="493">
        <v>9</v>
      </c>
      <c r="B18" s="683" t="s">
        <v>629</v>
      </c>
      <c r="C18" s="684" t="s">
        <v>808</v>
      </c>
      <c r="D18" s="685">
        <v>0.02</v>
      </c>
      <c r="E18" s="139">
        <v>0</v>
      </c>
      <c r="F18" s="32">
        <f t="shared" si="0"/>
        <v>0.02</v>
      </c>
      <c r="G18" s="35">
        <v>46667</v>
      </c>
      <c r="H18" s="68">
        <f t="shared" si="1"/>
        <v>933.34</v>
      </c>
      <c r="I18" s="161">
        <f t="shared" si="2"/>
        <v>0.44444761904761904</v>
      </c>
    </row>
    <row r="19" spans="1:10" s="119" customFormat="1" ht="18" x14ac:dyDescent="0.5">
      <c r="A19" s="493">
        <v>10</v>
      </c>
      <c r="B19" s="683" t="s">
        <v>709</v>
      </c>
      <c r="C19" s="684" t="s">
        <v>19</v>
      </c>
      <c r="D19" s="685">
        <v>1</v>
      </c>
      <c r="E19" s="139">
        <v>0</v>
      </c>
      <c r="F19" s="32">
        <v>1</v>
      </c>
      <c r="G19" s="35">
        <v>200</v>
      </c>
      <c r="H19" s="68">
        <f t="shared" si="1"/>
        <v>200</v>
      </c>
      <c r="I19" s="161">
        <f t="shared" si="2"/>
        <v>9.5238095238095233E-2</v>
      </c>
    </row>
    <row r="20" spans="1:10" s="119" customFormat="1" ht="18.75" thickBot="1" x14ac:dyDescent="0.55000000000000004">
      <c r="A20" s="499">
        <v>11</v>
      </c>
      <c r="B20" s="356" t="s">
        <v>667</v>
      </c>
      <c r="C20" s="357" t="s">
        <v>471</v>
      </c>
      <c r="D20" s="346">
        <v>0.02</v>
      </c>
      <c r="E20" s="496">
        <v>0.2</v>
      </c>
      <c r="F20" s="255">
        <v>0.02</v>
      </c>
      <c r="G20" s="256">
        <v>8000</v>
      </c>
      <c r="H20" s="123">
        <f t="shared" si="1"/>
        <v>160</v>
      </c>
      <c r="I20" s="196">
        <f t="shared" si="2"/>
        <v>7.6190476190476197E-2</v>
      </c>
    </row>
    <row r="21" spans="1:10" s="119" customFormat="1" ht="18" x14ac:dyDescent="0.5">
      <c r="A21" s="124"/>
      <c r="B21" s="180" t="s">
        <v>4</v>
      </c>
      <c r="C21" s="186"/>
      <c r="D21" s="187"/>
      <c r="E21" s="187"/>
      <c r="F21" s="187"/>
      <c r="G21" s="288"/>
      <c r="H21" s="167">
        <f>SUM(H10:H20)</f>
        <v>11991.34</v>
      </c>
      <c r="I21" s="160">
        <f>SUM(I10:I20)</f>
        <v>5.7101619047619039</v>
      </c>
    </row>
    <row r="22" spans="1:10" s="119" customFormat="1" ht="18" x14ac:dyDescent="0.5">
      <c r="A22" s="124"/>
      <c r="B22" s="168" t="s">
        <v>14</v>
      </c>
      <c r="C22" s="43"/>
      <c r="D22" s="121"/>
      <c r="E22" s="121"/>
      <c r="F22" s="121"/>
      <c r="G22" s="283"/>
      <c r="H22" s="169">
        <f>H21/1</f>
        <v>11991.34</v>
      </c>
      <c r="I22" s="104"/>
    </row>
    <row r="23" spans="1:10" s="119" customFormat="1" ht="18" x14ac:dyDescent="0.5">
      <c r="A23" s="124"/>
      <c r="B23" s="168" t="s">
        <v>15</v>
      </c>
      <c r="C23" s="43"/>
      <c r="D23" s="121"/>
      <c r="E23" s="121"/>
      <c r="F23" s="121"/>
      <c r="G23" s="283"/>
      <c r="H23" s="104">
        <f>G7</f>
        <v>60000</v>
      </c>
      <c r="I23" s="104"/>
    </row>
    <row r="24" spans="1:10" s="119" customFormat="1" ht="18" x14ac:dyDescent="0.5">
      <c r="A24" s="124"/>
      <c r="B24" s="168" t="s">
        <v>454</v>
      </c>
      <c r="C24" s="43"/>
      <c r="D24" s="121"/>
      <c r="E24" s="121"/>
      <c r="F24" s="121"/>
      <c r="G24" s="283"/>
      <c r="H24" s="104">
        <f>H23/113.3%</f>
        <v>52956.751985878196</v>
      </c>
      <c r="I24" s="104"/>
    </row>
    <row r="25" spans="1:10" s="119" customFormat="1" ht="18" x14ac:dyDescent="0.5">
      <c r="A25" s="124"/>
      <c r="B25" s="168" t="s">
        <v>16</v>
      </c>
      <c r="C25" s="43"/>
      <c r="D25" s="121"/>
      <c r="E25" s="121"/>
      <c r="F25" s="121"/>
      <c r="G25" s="283"/>
      <c r="H25" s="588">
        <f>H22/H24</f>
        <v>0.22643647033333336</v>
      </c>
      <c r="I25" s="588"/>
    </row>
    <row r="26" spans="1:10" s="119" customFormat="1" ht="18" x14ac:dyDescent="0.5">
      <c r="A26" s="124"/>
      <c r="B26" s="168"/>
      <c r="C26" s="43"/>
      <c r="D26" s="121"/>
      <c r="E26" s="121"/>
      <c r="F26" s="121"/>
      <c r="G26" s="283"/>
      <c r="H26" s="169"/>
      <c r="I26" s="171"/>
    </row>
    <row r="27" spans="1:10" s="119" customFormat="1" ht="18.75" thickBot="1" x14ac:dyDescent="0.55000000000000004">
      <c r="A27" s="124"/>
      <c r="B27" s="172"/>
      <c r="C27" s="147"/>
      <c r="D27" s="58"/>
      <c r="E27" s="58"/>
      <c r="F27" s="58"/>
      <c r="G27" s="286"/>
      <c r="H27" s="173"/>
      <c r="I27" s="164"/>
    </row>
    <row r="28" spans="1:10" s="74" customFormat="1" ht="18" x14ac:dyDescent="0.5">
      <c r="D28" s="77"/>
      <c r="E28" s="77"/>
      <c r="F28" s="77"/>
      <c r="G28" s="287"/>
      <c r="H28" s="115"/>
    </row>
    <row r="29" spans="1:10" s="119" customFormat="1" ht="18.75" thickBot="1" x14ac:dyDescent="0.55000000000000004">
      <c r="A29" s="936" t="s">
        <v>0</v>
      </c>
      <c r="B29" s="936"/>
      <c r="C29" s="936"/>
      <c r="D29" s="936"/>
      <c r="E29" s="936"/>
      <c r="F29" s="936"/>
      <c r="G29" s="936"/>
      <c r="H29" s="936"/>
      <c r="I29" s="936"/>
    </row>
    <row r="30" spans="1:10" s="119" customFormat="1" ht="21.75" x14ac:dyDescent="0.6">
      <c r="A30" s="568" t="s">
        <v>722</v>
      </c>
      <c r="B30" s="689" t="s">
        <v>811</v>
      </c>
      <c r="C30" s="569"/>
      <c r="D30" s="570"/>
      <c r="E30" s="570"/>
      <c r="F30" s="570"/>
      <c r="G30" s="607" t="s">
        <v>1</v>
      </c>
      <c r="H30" s="690" t="s">
        <v>868</v>
      </c>
      <c r="I30" s="572" t="s">
        <v>2</v>
      </c>
      <c r="J30" s="119">
        <v>2</v>
      </c>
    </row>
    <row r="31" spans="1:10" s="119" customFormat="1" ht="18" x14ac:dyDescent="0.5">
      <c r="A31" s="573">
        <v>2</v>
      </c>
      <c r="B31" s="574" t="s">
        <v>5</v>
      </c>
      <c r="C31" s="574" t="s">
        <v>4</v>
      </c>
      <c r="D31" s="575" t="s">
        <v>3</v>
      </c>
      <c r="E31" s="575" t="s">
        <v>613</v>
      </c>
      <c r="F31" s="575" t="s">
        <v>614</v>
      </c>
      <c r="G31" s="608" t="s">
        <v>510</v>
      </c>
      <c r="H31" s="576" t="s">
        <v>7</v>
      </c>
      <c r="I31" s="634">
        <f>I6</f>
        <v>45574</v>
      </c>
    </row>
    <row r="32" spans="1:10" s="119" customFormat="1" ht="18.75" thickBot="1" x14ac:dyDescent="0.55000000000000004">
      <c r="A32" s="577"/>
      <c r="B32" s="578"/>
      <c r="C32" s="578"/>
      <c r="D32" s="579">
        <v>1</v>
      </c>
      <c r="E32" s="579"/>
      <c r="F32" s="579"/>
      <c r="G32" s="580">
        <f>Summary!J74</f>
        <v>60000</v>
      </c>
      <c r="H32" s="635">
        <f>H53</f>
        <v>0.22462744700000004</v>
      </c>
      <c r="I32" s="581"/>
    </row>
    <row r="33" spans="1:11" s="119" customFormat="1" ht="18.75" thickBot="1" x14ac:dyDescent="0.55000000000000004">
      <c r="A33" s="124"/>
      <c r="B33" s="124"/>
      <c r="C33" s="124"/>
      <c r="D33" s="125"/>
      <c r="E33" s="125"/>
      <c r="F33" s="125"/>
      <c r="G33" s="284"/>
      <c r="H33" s="126"/>
      <c r="I33" s="124"/>
    </row>
    <row r="34" spans="1:11" s="119" customFormat="1" ht="18" x14ac:dyDescent="0.5">
      <c r="A34" s="194" t="s">
        <v>605</v>
      </c>
      <c r="B34" s="166" t="s">
        <v>10</v>
      </c>
      <c r="C34" s="166" t="s">
        <v>9</v>
      </c>
      <c r="D34" s="117" t="s">
        <v>8</v>
      </c>
      <c r="E34" s="117" t="s">
        <v>613</v>
      </c>
      <c r="F34" s="117" t="s">
        <v>614</v>
      </c>
      <c r="G34" s="282" t="s">
        <v>11</v>
      </c>
      <c r="H34" s="118" t="s">
        <v>12</v>
      </c>
      <c r="I34" s="195" t="s">
        <v>12</v>
      </c>
    </row>
    <row r="35" spans="1:11" s="119" customFormat="1" ht="18" x14ac:dyDescent="0.5">
      <c r="A35" s="141" t="s">
        <v>593</v>
      </c>
      <c r="B35" s="683" t="s">
        <v>642</v>
      </c>
      <c r="C35" s="684" t="s">
        <v>596</v>
      </c>
      <c r="D35" s="685">
        <v>0.15</v>
      </c>
      <c r="E35" s="139">
        <v>0.34</v>
      </c>
      <c r="F35" s="32">
        <f t="shared" ref="F35" si="3">D35+D35*E35</f>
        <v>0.20100000000000001</v>
      </c>
      <c r="G35" s="35">
        <v>24000</v>
      </c>
      <c r="H35" s="68">
        <f t="shared" ref="H35" si="4">F35*G35</f>
        <v>4824</v>
      </c>
      <c r="I35" s="161">
        <f t="shared" ref="I35" si="5">H35/I$3</f>
        <v>2.2971428571428572</v>
      </c>
      <c r="K35" s="285"/>
    </row>
    <row r="36" spans="1:11" s="119" customFormat="1" ht="18" x14ac:dyDescent="0.5">
      <c r="A36" s="144" t="s">
        <v>558</v>
      </c>
      <c r="B36" s="420" t="s">
        <v>673</v>
      </c>
      <c r="C36" s="360" t="s">
        <v>596</v>
      </c>
      <c r="D36" s="342">
        <v>0.03</v>
      </c>
      <c r="E36" s="139">
        <v>0.2</v>
      </c>
      <c r="F36" s="32">
        <f t="shared" ref="F36:F42" si="6">D36+D36*E36</f>
        <v>3.5999999999999997E-2</v>
      </c>
      <c r="G36" s="35">
        <v>4500</v>
      </c>
      <c r="H36" s="68">
        <f t="shared" ref="H36:H48" si="7">F36*G36</f>
        <v>162</v>
      </c>
      <c r="I36" s="161">
        <f t="shared" ref="I36:I48" si="8">H36/I$3</f>
        <v>7.7142857142857138E-2</v>
      </c>
    </row>
    <row r="37" spans="1:11" s="119" customFormat="1" ht="18" x14ac:dyDescent="0.5">
      <c r="A37" s="144" t="s">
        <v>517</v>
      </c>
      <c r="B37" s="683" t="s">
        <v>674</v>
      </c>
      <c r="C37" s="684" t="s">
        <v>596</v>
      </c>
      <c r="D37" s="685">
        <v>0.02</v>
      </c>
      <c r="E37" s="139">
        <v>0.2</v>
      </c>
      <c r="F37" s="32">
        <f t="shared" si="6"/>
        <v>2.4E-2</v>
      </c>
      <c r="G37" s="35">
        <v>21000</v>
      </c>
      <c r="H37" s="68">
        <f t="shared" si="7"/>
        <v>504</v>
      </c>
      <c r="I37" s="161">
        <f t="shared" si="8"/>
        <v>0.24</v>
      </c>
      <c r="K37" s="257"/>
    </row>
    <row r="38" spans="1:11" s="119" customFormat="1" ht="18" x14ac:dyDescent="0.5">
      <c r="A38" s="168" t="s">
        <v>519</v>
      </c>
      <c r="B38" s="683" t="s">
        <v>812</v>
      </c>
      <c r="C38" s="684" t="s">
        <v>22</v>
      </c>
      <c r="D38" s="685">
        <v>0.05</v>
      </c>
      <c r="E38" s="139">
        <v>0</v>
      </c>
      <c r="F38" s="32">
        <f t="shared" si="6"/>
        <v>0.05</v>
      </c>
      <c r="G38" s="39">
        <v>42300</v>
      </c>
      <c r="H38" s="68">
        <f t="shared" si="7"/>
        <v>2115</v>
      </c>
      <c r="I38" s="161">
        <f t="shared" si="8"/>
        <v>1.0071428571428571</v>
      </c>
    </row>
    <row r="39" spans="1:11" s="119" customFormat="1" ht="18" x14ac:dyDescent="0.5">
      <c r="A39" s="141" t="s">
        <v>571</v>
      </c>
      <c r="B39" s="683" t="s">
        <v>709</v>
      </c>
      <c r="C39" s="684" t="s">
        <v>13</v>
      </c>
      <c r="D39" s="685">
        <v>1</v>
      </c>
      <c r="E39" s="139">
        <v>0</v>
      </c>
      <c r="F39" s="32">
        <f t="shared" si="6"/>
        <v>1</v>
      </c>
      <c r="G39" s="35">
        <v>200</v>
      </c>
      <c r="H39" s="68">
        <f t="shared" si="7"/>
        <v>200</v>
      </c>
      <c r="I39" s="161">
        <f t="shared" si="8"/>
        <v>9.5238095238095233E-2</v>
      </c>
    </row>
    <row r="40" spans="1:11" s="119" customFormat="1" ht="18" x14ac:dyDescent="0.5">
      <c r="A40" s="138"/>
      <c r="B40" s="683" t="s">
        <v>629</v>
      </c>
      <c r="C40" s="684" t="s">
        <v>808</v>
      </c>
      <c r="D40" s="685">
        <v>0.02</v>
      </c>
      <c r="E40" s="139">
        <v>0</v>
      </c>
      <c r="F40" s="32">
        <f t="shared" si="6"/>
        <v>0.02</v>
      </c>
      <c r="G40" s="35">
        <v>46667</v>
      </c>
      <c r="H40" s="68">
        <f t="shared" si="7"/>
        <v>933.34</v>
      </c>
      <c r="I40" s="161">
        <f t="shared" si="8"/>
        <v>0.44444761904761904</v>
      </c>
    </row>
    <row r="41" spans="1:11" s="119" customFormat="1" ht="18" x14ac:dyDescent="0.5">
      <c r="A41" s="201">
        <v>11100028</v>
      </c>
      <c r="B41" s="683" t="s">
        <v>609</v>
      </c>
      <c r="C41" s="684" t="s">
        <v>463</v>
      </c>
      <c r="D41" s="685">
        <v>0.01</v>
      </c>
      <c r="E41" s="139">
        <v>0</v>
      </c>
      <c r="F41" s="32">
        <f t="shared" si="6"/>
        <v>0.01</v>
      </c>
      <c r="G41" s="35">
        <v>14000</v>
      </c>
      <c r="H41" s="68">
        <f t="shared" si="7"/>
        <v>140</v>
      </c>
      <c r="I41" s="161">
        <f t="shared" si="8"/>
        <v>6.6666666666666666E-2</v>
      </c>
    </row>
    <row r="42" spans="1:11" s="119" customFormat="1" ht="18" x14ac:dyDescent="0.5">
      <c r="A42" s="144" t="s">
        <v>515</v>
      </c>
      <c r="B42" s="683" t="s">
        <v>760</v>
      </c>
      <c r="C42" s="684" t="s">
        <v>596</v>
      </c>
      <c r="D42" s="685">
        <v>0.03</v>
      </c>
      <c r="E42" s="139">
        <v>0.1</v>
      </c>
      <c r="F42" s="32">
        <f t="shared" si="6"/>
        <v>3.3000000000000002E-2</v>
      </c>
      <c r="G42" s="35">
        <v>22000</v>
      </c>
      <c r="H42" s="68">
        <f t="shared" si="7"/>
        <v>726</v>
      </c>
      <c r="I42" s="161">
        <f t="shared" si="8"/>
        <v>0.3457142857142857</v>
      </c>
    </row>
    <row r="43" spans="1:11" s="119" customFormat="1" ht="18" x14ac:dyDescent="0.5">
      <c r="A43" s="253"/>
      <c r="B43" s="683" t="s">
        <v>810</v>
      </c>
      <c r="C43" s="684" t="s">
        <v>22</v>
      </c>
      <c r="D43" s="685">
        <v>0.03</v>
      </c>
      <c r="E43" s="139">
        <v>0</v>
      </c>
      <c r="F43" s="25">
        <v>0.03</v>
      </c>
      <c r="G43" s="35">
        <v>24000</v>
      </c>
      <c r="H43" s="68">
        <f t="shared" si="7"/>
        <v>720</v>
      </c>
      <c r="I43" s="161">
        <f t="shared" si="8"/>
        <v>0.34285714285714286</v>
      </c>
    </row>
    <row r="44" spans="1:11" s="119" customFormat="1" ht="18" x14ac:dyDescent="0.5">
      <c r="A44" s="253"/>
      <c r="B44" s="420" t="s">
        <v>610</v>
      </c>
      <c r="C44" s="360" t="s">
        <v>463</v>
      </c>
      <c r="D44" s="342">
        <v>1E-3</v>
      </c>
      <c r="E44" s="139">
        <v>0</v>
      </c>
      <c r="F44" s="25">
        <v>1E-3</v>
      </c>
      <c r="G44" s="35">
        <v>1200</v>
      </c>
      <c r="H44" s="68">
        <f t="shared" si="7"/>
        <v>1.2</v>
      </c>
      <c r="I44" s="161">
        <f t="shared" si="8"/>
        <v>5.7142857142857136E-4</v>
      </c>
    </row>
    <row r="45" spans="1:11" s="119" customFormat="1" ht="18" x14ac:dyDescent="0.5">
      <c r="A45" s="253"/>
      <c r="B45" s="420" t="s">
        <v>807</v>
      </c>
      <c r="C45" s="360" t="s">
        <v>596</v>
      </c>
      <c r="D45" s="342">
        <v>0.01</v>
      </c>
      <c r="E45" s="139">
        <v>0</v>
      </c>
      <c r="F45" s="25">
        <v>0.01</v>
      </c>
      <c r="G45" s="35">
        <v>70000</v>
      </c>
      <c r="H45" s="68">
        <f t="shared" si="7"/>
        <v>700</v>
      </c>
      <c r="I45" s="161">
        <f t="shared" si="8"/>
        <v>0.33333333333333331</v>
      </c>
    </row>
    <row r="46" spans="1:11" s="119" customFormat="1" ht="18" x14ac:dyDescent="0.5">
      <c r="A46" s="253"/>
      <c r="B46" s="420" t="s">
        <v>667</v>
      </c>
      <c r="C46" s="360" t="s">
        <v>596</v>
      </c>
      <c r="D46" s="342">
        <v>0.05</v>
      </c>
      <c r="E46" s="139">
        <v>0.2</v>
      </c>
      <c r="F46" s="25">
        <v>0.05</v>
      </c>
      <c r="G46" s="35">
        <v>8000</v>
      </c>
      <c r="H46" s="68">
        <f t="shared" si="7"/>
        <v>400</v>
      </c>
      <c r="I46" s="161">
        <f t="shared" si="8"/>
        <v>0.19047619047619047</v>
      </c>
    </row>
    <row r="47" spans="1:11" s="119" customFormat="1" ht="18" x14ac:dyDescent="0.5">
      <c r="A47" s="253"/>
      <c r="B47" s="420" t="s">
        <v>813</v>
      </c>
      <c r="C47" s="360" t="s">
        <v>27</v>
      </c>
      <c r="D47" s="342">
        <v>0.01</v>
      </c>
      <c r="E47" s="139">
        <v>0</v>
      </c>
      <c r="F47" s="25">
        <v>0.01</v>
      </c>
      <c r="G47" s="35">
        <v>40000</v>
      </c>
      <c r="H47" s="68">
        <f t="shared" si="7"/>
        <v>400</v>
      </c>
      <c r="I47" s="161">
        <f t="shared" si="8"/>
        <v>0.19047619047619047</v>
      </c>
    </row>
    <row r="48" spans="1:11" s="119" customFormat="1" ht="18.75" thickBot="1" x14ac:dyDescent="0.55000000000000004">
      <c r="A48" s="505"/>
      <c r="B48" s="691" t="s">
        <v>662</v>
      </c>
      <c r="C48" s="692" t="s">
        <v>20</v>
      </c>
      <c r="D48" s="693">
        <v>0.2</v>
      </c>
      <c r="E48" s="496">
        <v>0.1</v>
      </c>
      <c r="F48" s="255">
        <v>0.2</v>
      </c>
      <c r="G48" s="256">
        <v>350</v>
      </c>
      <c r="H48" s="123">
        <f t="shared" si="7"/>
        <v>70</v>
      </c>
      <c r="I48" s="196">
        <f t="shared" si="8"/>
        <v>3.3333333333333333E-2</v>
      </c>
    </row>
    <row r="49" spans="1:10" s="119" customFormat="1" ht="18" x14ac:dyDescent="0.5">
      <c r="A49" s="124"/>
      <c r="B49" s="29" t="s">
        <v>4</v>
      </c>
      <c r="C49" s="43"/>
      <c r="D49" s="121"/>
      <c r="E49" s="121"/>
      <c r="F49" s="187"/>
      <c r="G49" s="288"/>
      <c r="H49" s="202">
        <f>SUM(H35:H48)</f>
        <v>11895.54</v>
      </c>
      <c r="I49" s="140">
        <f>SUM(I35:I48)</f>
        <v>5.6645428571428571</v>
      </c>
    </row>
    <row r="50" spans="1:10" s="119" customFormat="1" ht="18" x14ac:dyDescent="0.5">
      <c r="A50" s="124"/>
      <c r="B50" s="168" t="s">
        <v>14</v>
      </c>
      <c r="C50" s="43"/>
      <c r="D50" s="121"/>
      <c r="E50" s="121"/>
      <c r="F50" s="121"/>
      <c r="G50" s="283"/>
      <c r="H50" s="169">
        <f>H49/1</f>
        <v>11895.54</v>
      </c>
      <c r="I50" s="104">
        <f>H50</f>
        <v>11895.54</v>
      </c>
    </row>
    <row r="51" spans="1:10" s="119" customFormat="1" ht="18" x14ac:dyDescent="0.5">
      <c r="A51" s="124"/>
      <c r="B51" s="168" t="s">
        <v>15</v>
      </c>
      <c r="C51" s="43"/>
      <c r="D51" s="121"/>
      <c r="E51" s="121"/>
      <c r="F51" s="121"/>
      <c r="G51" s="283"/>
      <c r="H51" s="983">
        <f>G32</f>
        <v>60000</v>
      </c>
      <c r="I51" s="104"/>
    </row>
    <row r="52" spans="1:10" s="119" customFormat="1" ht="18" x14ac:dyDescent="0.5">
      <c r="A52" s="124"/>
      <c r="B52" s="168" t="s">
        <v>454</v>
      </c>
      <c r="C52" s="43"/>
      <c r="D52" s="121"/>
      <c r="E52" s="121"/>
      <c r="F52" s="121"/>
      <c r="G52" s="283"/>
      <c r="H52" s="104">
        <f>H51/113.3%</f>
        <v>52956.751985878196</v>
      </c>
      <c r="I52" s="104"/>
    </row>
    <row r="53" spans="1:10" s="119" customFormat="1" ht="18" x14ac:dyDescent="0.5">
      <c r="A53" s="124"/>
      <c r="B53" s="168" t="s">
        <v>16</v>
      </c>
      <c r="C53" s="43"/>
      <c r="D53" s="121"/>
      <c r="E53" s="121"/>
      <c r="F53" s="121"/>
      <c r="G53" s="283"/>
      <c r="H53" s="588">
        <f>H50/H52</f>
        <v>0.22462744700000004</v>
      </c>
      <c r="I53" s="588"/>
    </row>
    <row r="54" spans="1:10" s="119" customFormat="1" ht="18" x14ac:dyDescent="0.5">
      <c r="A54" s="124"/>
      <c r="B54" s="168"/>
      <c r="C54" s="43"/>
      <c r="D54" s="121"/>
      <c r="E54" s="121"/>
      <c r="F54" s="121"/>
      <c r="G54" s="283"/>
      <c r="H54" s="169"/>
      <c r="I54" s="171"/>
    </row>
    <row r="55" spans="1:10" s="119" customFormat="1" ht="18.75" thickBot="1" x14ac:dyDescent="0.55000000000000004">
      <c r="A55" s="124"/>
      <c r="B55" s="172"/>
      <c r="C55" s="147"/>
      <c r="D55" s="58"/>
      <c r="E55" s="58"/>
      <c r="F55" s="58"/>
      <c r="G55" s="286"/>
      <c r="H55" s="173"/>
      <c r="I55" s="164"/>
    </row>
    <row r="56" spans="1:10" s="74" customFormat="1" ht="18" x14ac:dyDescent="0.5">
      <c r="D56" s="77"/>
      <c r="E56" s="77"/>
      <c r="F56" s="77"/>
      <c r="G56" s="287"/>
      <c r="H56" s="115"/>
    </row>
    <row r="57" spans="1:10" s="74" customFormat="1" ht="18.75" thickBot="1" x14ac:dyDescent="0.55000000000000004">
      <c r="A57" s="76"/>
      <c r="B57" s="76"/>
      <c r="C57" s="76"/>
      <c r="D57" s="116" t="s">
        <v>0</v>
      </c>
      <c r="E57" s="116"/>
      <c r="F57" s="116"/>
      <c r="G57" s="289"/>
      <c r="H57" s="62"/>
      <c r="I57" s="60"/>
    </row>
    <row r="58" spans="1:10" s="74" customFormat="1" ht="21.75" x14ac:dyDescent="0.5">
      <c r="A58" s="558" t="s">
        <v>722</v>
      </c>
      <c r="B58" s="654" t="s">
        <v>928</v>
      </c>
      <c r="C58" s="547"/>
      <c r="D58" s="548"/>
      <c r="E58" s="548"/>
      <c r="F58" s="548"/>
      <c r="G58" s="599" t="s">
        <v>1</v>
      </c>
      <c r="H58" s="651" t="s">
        <v>868</v>
      </c>
      <c r="I58" s="549" t="s">
        <v>2</v>
      </c>
      <c r="J58" s="74">
        <v>3</v>
      </c>
    </row>
    <row r="59" spans="1:10" s="74" customFormat="1" ht="18" x14ac:dyDescent="0.5">
      <c r="A59" s="550">
        <v>3</v>
      </c>
      <c r="B59" s="539" t="s">
        <v>5</v>
      </c>
      <c r="C59" s="539" t="s">
        <v>4</v>
      </c>
      <c r="D59" s="540" t="s">
        <v>3</v>
      </c>
      <c r="E59" s="540" t="s">
        <v>613</v>
      </c>
      <c r="F59" s="540" t="s">
        <v>614</v>
      </c>
      <c r="G59" s="600" t="s">
        <v>510</v>
      </c>
      <c r="H59" s="543" t="s">
        <v>7</v>
      </c>
      <c r="I59" s="636">
        <f>I31</f>
        <v>45574</v>
      </c>
    </row>
    <row r="60" spans="1:10" s="74" customFormat="1" ht="18.75" thickBot="1" x14ac:dyDescent="0.55000000000000004">
      <c r="A60" s="551"/>
      <c r="B60" s="552"/>
      <c r="C60" s="552"/>
      <c r="D60" s="553">
        <v>1</v>
      </c>
      <c r="E60" s="553"/>
      <c r="F60" s="553"/>
      <c r="G60" s="554">
        <f>Summary!J75</f>
        <v>60000</v>
      </c>
      <c r="H60" s="633">
        <f>H81</f>
        <v>0.25997327033333334</v>
      </c>
      <c r="I60" s="555"/>
    </row>
    <row r="61" spans="1:10" s="74" customFormat="1" ht="18.75" thickBot="1" x14ac:dyDescent="0.55000000000000004">
      <c r="A61" s="60"/>
      <c r="B61" s="60"/>
      <c r="C61" s="60"/>
      <c r="D61" s="61"/>
      <c r="E61" s="61"/>
      <c r="F61" s="61"/>
      <c r="G61" s="289"/>
      <c r="H61" s="62"/>
      <c r="I61" s="60"/>
    </row>
    <row r="62" spans="1:10" s="74" customFormat="1" ht="18" x14ac:dyDescent="0.5">
      <c r="A62" s="63" t="s">
        <v>605</v>
      </c>
      <c r="B62" s="64" t="s">
        <v>10</v>
      </c>
      <c r="C62" s="64" t="s">
        <v>9</v>
      </c>
      <c r="D62" s="52" t="s">
        <v>8</v>
      </c>
      <c r="E62" s="52" t="s">
        <v>613</v>
      </c>
      <c r="F62" s="52" t="s">
        <v>614</v>
      </c>
      <c r="G62" s="290" t="s">
        <v>11</v>
      </c>
      <c r="H62" s="53" t="s">
        <v>12</v>
      </c>
      <c r="I62" s="65" t="s">
        <v>12</v>
      </c>
    </row>
    <row r="63" spans="1:10" s="74" customFormat="1" ht="18" x14ac:dyDescent="0.5">
      <c r="A63" s="66" t="s">
        <v>582</v>
      </c>
      <c r="B63" s="26" t="s">
        <v>504</v>
      </c>
      <c r="C63" s="24" t="s">
        <v>23</v>
      </c>
      <c r="D63" s="25">
        <v>0.2</v>
      </c>
      <c r="E63" s="139">
        <v>0.1</v>
      </c>
      <c r="F63" s="67">
        <f t="shared" ref="F63:F75" si="9">D63+D63*E63</f>
        <v>0.22000000000000003</v>
      </c>
      <c r="G63" s="34">
        <v>28000</v>
      </c>
      <c r="H63" s="46">
        <f t="shared" ref="H63:H75" si="10">F63*G63</f>
        <v>6160.0000000000009</v>
      </c>
      <c r="I63" s="47">
        <f t="shared" ref="I63:I75" si="11">H63/I$3</f>
        <v>2.9333333333333336</v>
      </c>
    </row>
    <row r="64" spans="1:10" s="74" customFormat="1" ht="18" x14ac:dyDescent="0.5">
      <c r="A64" s="236" t="s">
        <v>588</v>
      </c>
      <c r="B64" s="26" t="s">
        <v>659</v>
      </c>
      <c r="C64" s="24" t="s">
        <v>471</v>
      </c>
      <c r="D64" s="25">
        <v>0.05</v>
      </c>
      <c r="E64" s="139">
        <v>0</v>
      </c>
      <c r="F64" s="67">
        <f t="shared" si="9"/>
        <v>0.05</v>
      </c>
      <c r="G64" s="91">
        <v>15000</v>
      </c>
      <c r="H64" s="46">
        <f t="shared" si="10"/>
        <v>750</v>
      </c>
      <c r="I64" s="47">
        <f t="shared" si="11"/>
        <v>0.35714285714285715</v>
      </c>
    </row>
    <row r="65" spans="1:9" s="74" customFormat="1" ht="18" x14ac:dyDescent="0.5">
      <c r="A65" s="236" t="s">
        <v>501</v>
      </c>
      <c r="B65" s="26" t="s">
        <v>490</v>
      </c>
      <c r="C65" s="24" t="s">
        <v>471</v>
      </c>
      <c r="D65" s="25">
        <v>0.1</v>
      </c>
      <c r="E65" s="139">
        <v>0.15</v>
      </c>
      <c r="F65" s="67">
        <f t="shared" si="9"/>
        <v>0.115</v>
      </c>
      <c r="G65" s="91">
        <v>8000</v>
      </c>
      <c r="H65" s="46">
        <f t="shared" si="10"/>
        <v>920</v>
      </c>
      <c r="I65" s="47">
        <f t="shared" si="11"/>
        <v>0.43809523809523809</v>
      </c>
    </row>
    <row r="66" spans="1:9" s="74" customFormat="1" ht="18" x14ac:dyDescent="0.5">
      <c r="A66" s="66" t="s">
        <v>547</v>
      </c>
      <c r="B66" s="29" t="s">
        <v>629</v>
      </c>
      <c r="C66" s="251" t="s">
        <v>808</v>
      </c>
      <c r="D66" s="25">
        <v>0.02</v>
      </c>
      <c r="E66" s="139">
        <v>0</v>
      </c>
      <c r="F66" s="67">
        <f t="shared" si="9"/>
        <v>0.02</v>
      </c>
      <c r="G66" s="34">
        <v>46667</v>
      </c>
      <c r="H66" s="46">
        <f t="shared" si="10"/>
        <v>933.34</v>
      </c>
      <c r="I66" s="47">
        <f t="shared" si="11"/>
        <v>0.44444761904761904</v>
      </c>
    </row>
    <row r="67" spans="1:9" s="74" customFormat="1" ht="18" x14ac:dyDescent="0.5">
      <c r="A67" s="66" t="s">
        <v>473</v>
      </c>
      <c r="B67" s="23" t="s">
        <v>572</v>
      </c>
      <c r="C67" s="24" t="s">
        <v>459</v>
      </c>
      <c r="D67" s="25">
        <v>0.05</v>
      </c>
      <c r="E67" s="139">
        <v>0</v>
      </c>
      <c r="F67" s="67">
        <f t="shared" si="9"/>
        <v>0.05</v>
      </c>
      <c r="G67" s="91">
        <v>57000</v>
      </c>
      <c r="H67" s="46">
        <f t="shared" si="10"/>
        <v>2850</v>
      </c>
      <c r="I67" s="47">
        <f t="shared" si="11"/>
        <v>1.3571428571428572</v>
      </c>
    </row>
    <row r="68" spans="1:9" s="74" customFormat="1" ht="18" x14ac:dyDescent="0.5">
      <c r="A68" s="236" t="s">
        <v>518</v>
      </c>
      <c r="B68" s="23" t="s">
        <v>474</v>
      </c>
      <c r="C68" s="24" t="s">
        <v>471</v>
      </c>
      <c r="D68" s="25">
        <v>0.04</v>
      </c>
      <c r="E68" s="139">
        <v>0.1</v>
      </c>
      <c r="F68" s="67">
        <f t="shared" si="9"/>
        <v>4.3999999999999997E-2</v>
      </c>
      <c r="G68" s="34">
        <v>10000</v>
      </c>
      <c r="H68" s="46">
        <f t="shared" si="10"/>
        <v>440</v>
      </c>
      <c r="I68" s="47">
        <f t="shared" si="11"/>
        <v>0.20952380952380953</v>
      </c>
    </row>
    <row r="69" spans="1:9" s="74" customFormat="1" ht="18" x14ac:dyDescent="0.5">
      <c r="A69" s="236" t="s">
        <v>568</v>
      </c>
      <c r="B69" s="26" t="s">
        <v>658</v>
      </c>
      <c r="C69" s="24" t="s">
        <v>21</v>
      </c>
      <c r="D69" s="25">
        <v>0.25</v>
      </c>
      <c r="E69" s="139">
        <v>0.1</v>
      </c>
      <c r="F69" s="67">
        <f t="shared" si="9"/>
        <v>0.27500000000000002</v>
      </c>
      <c r="G69" s="34">
        <v>2000</v>
      </c>
      <c r="H69" s="46">
        <f t="shared" si="10"/>
        <v>550</v>
      </c>
      <c r="I69" s="47">
        <f t="shared" si="11"/>
        <v>0.26190476190476192</v>
      </c>
    </row>
    <row r="70" spans="1:9" s="74" customFormat="1" ht="18" x14ac:dyDescent="0.5">
      <c r="A70" s="66" t="s">
        <v>499</v>
      </c>
      <c r="B70" s="26" t="s">
        <v>610</v>
      </c>
      <c r="C70" s="24" t="s">
        <v>463</v>
      </c>
      <c r="D70" s="25">
        <v>0.01</v>
      </c>
      <c r="E70" s="139">
        <v>0</v>
      </c>
      <c r="F70" s="67">
        <f t="shared" si="9"/>
        <v>0.01</v>
      </c>
      <c r="G70" s="143">
        <v>1200</v>
      </c>
      <c r="H70" s="46">
        <f t="shared" si="10"/>
        <v>12</v>
      </c>
      <c r="I70" s="47">
        <f t="shared" si="11"/>
        <v>5.7142857142857143E-3</v>
      </c>
    </row>
    <row r="71" spans="1:9" s="74" customFormat="1" ht="18" x14ac:dyDescent="0.5">
      <c r="A71" s="66" t="s">
        <v>535</v>
      </c>
      <c r="B71" s="26" t="s">
        <v>617</v>
      </c>
      <c r="C71" s="24" t="s">
        <v>471</v>
      </c>
      <c r="D71" s="25">
        <v>5.0000000000000001E-4</v>
      </c>
      <c r="E71" s="139">
        <v>0</v>
      </c>
      <c r="F71" s="67">
        <f t="shared" si="9"/>
        <v>5.0000000000000001E-4</v>
      </c>
      <c r="G71" s="222">
        <v>70000</v>
      </c>
      <c r="H71" s="46">
        <f t="shared" si="10"/>
        <v>35</v>
      </c>
      <c r="I71" s="47">
        <f t="shared" si="11"/>
        <v>1.6666666666666666E-2</v>
      </c>
    </row>
    <row r="72" spans="1:9" s="74" customFormat="1" ht="18" x14ac:dyDescent="0.5">
      <c r="A72" s="88"/>
      <c r="B72" s="292" t="s">
        <v>611</v>
      </c>
      <c r="C72" s="275" t="s">
        <v>463</v>
      </c>
      <c r="D72" s="67">
        <v>0.02</v>
      </c>
      <c r="E72" s="45">
        <v>0</v>
      </c>
      <c r="F72" s="67">
        <f t="shared" si="9"/>
        <v>0.02</v>
      </c>
      <c r="G72" s="34">
        <v>7800</v>
      </c>
      <c r="H72" s="46">
        <f t="shared" si="10"/>
        <v>156</v>
      </c>
      <c r="I72" s="100">
        <f t="shared" si="11"/>
        <v>7.4285714285714288E-2</v>
      </c>
    </row>
    <row r="73" spans="1:9" s="74" customFormat="1" ht="18" x14ac:dyDescent="0.5">
      <c r="A73" s="236" t="s">
        <v>559</v>
      </c>
      <c r="B73" s="21" t="s">
        <v>491</v>
      </c>
      <c r="C73" s="19" t="s">
        <v>471</v>
      </c>
      <c r="D73" s="20">
        <v>0.03</v>
      </c>
      <c r="E73" s="86">
        <v>0.2</v>
      </c>
      <c r="F73" s="67">
        <f t="shared" si="9"/>
        <v>3.5999999999999997E-2</v>
      </c>
      <c r="G73" s="34">
        <v>21000</v>
      </c>
      <c r="H73" s="46">
        <f t="shared" si="10"/>
        <v>755.99999999999989</v>
      </c>
      <c r="I73" s="47">
        <f t="shared" si="11"/>
        <v>0.35999999999999993</v>
      </c>
    </row>
    <row r="74" spans="1:9" s="74" customFormat="1" ht="18" x14ac:dyDescent="0.5">
      <c r="A74" s="240"/>
      <c r="B74" s="89" t="s">
        <v>647</v>
      </c>
      <c r="C74" s="19" t="s">
        <v>471</v>
      </c>
      <c r="D74" s="20">
        <v>0.02</v>
      </c>
      <c r="E74" s="86">
        <v>0</v>
      </c>
      <c r="F74" s="67">
        <f t="shared" si="9"/>
        <v>0.02</v>
      </c>
      <c r="G74" s="34">
        <v>8500</v>
      </c>
      <c r="H74" s="46">
        <f t="shared" si="10"/>
        <v>170</v>
      </c>
      <c r="I74" s="47">
        <f t="shared" si="11"/>
        <v>8.0952380952380956E-2</v>
      </c>
    </row>
    <row r="75" spans="1:9" s="74" customFormat="1" ht="18" x14ac:dyDescent="0.5">
      <c r="A75" s="84"/>
      <c r="B75" s="89" t="s">
        <v>646</v>
      </c>
      <c r="C75" s="272" t="s">
        <v>459</v>
      </c>
      <c r="D75" s="20">
        <v>0.01</v>
      </c>
      <c r="E75" s="86">
        <v>0</v>
      </c>
      <c r="F75" s="67">
        <f t="shared" si="9"/>
        <v>0.01</v>
      </c>
      <c r="G75" s="293">
        <v>3500</v>
      </c>
      <c r="H75" s="46">
        <f t="shared" si="10"/>
        <v>35</v>
      </c>
      <c r="I75" s="47">
        <f t="shared" si="11"/>
        <v>1.6666666666666666E-2</v>
      </c>
    </row>
    <row r="76" spans="1:9" s="74" customFormat="1" ht="18.75" thickBot="1" x14ac:dyDescent="0.55000000000000004">
      <c r="A76" s="223"/>
      <c r="B76" s="151"/>
      <c r="C76" s="151"/>
      <c r="D76" s="57"/>
      <c r="E76" s="57"/>
      <c r="F76" s="57"/>
      <c r="G76" s="294"/>
      <c r="H76" s="59"/>
      <c r="I76" s="153"/>
    </row>
    <row r="77" spans="1:9" s="74" customFormat="1" ht="18" x14ac:dyDescent="0.5">
      <c r="A77" s="60"/>
      <c r="B77" s="224" t="s">
        <v>4</v>
      </c>
      <c r="C77" s="64"/>
      <c r="D77" s="52"/>
      <c r="E77" s="52"/>
      <c r="F77" s="52"/>
      <c r="G77" s="290"/>
      <c r="H77" s="226">
        <f>SUM(H63:H76)</f>
        <v>13767.34</v>
      </c>
      <c r="I77" s="197">
        <f>SUM(I63:I76)</f>
        <v>6.5558761904761891</v>
      </c>
    </row>
    <row r="78" spans="1:9" s="74" customFormat="1" ht="18" x14ac:dyDescent="0.5">
      <c r="A78" s="60"/>
      <c r="B78" s="101" t="s">
        <v>14</v>
      </c>
      <c r="C78" s="22"/>
      <c r="D78" s="54"/>
      <c r="E78" s="54"/>
      <c r="F78" s="54"/>
      <c r="G78" s="291"/>
      <c r="H78" s="73">
        <f>H77/1</f>
        <v>13767.34</v>
      </c>
      <c r="I78" s="104"/>
    </row>
    <row r="79" spans="1:9" s="74" customFormat="1" ht="18" x14ac:dyDescent="0.5">
      <c r="A79" s="60"/>
      <c r="B79" s="101" t="s">
        <v>15</v>
      </c>
      <c r="C79" s="22"/>
      <c r="D79" s="54"/>
      <c r="E79" s="54"/>
      <c r="F79" s="54"/>
      <c r="G79" s="291"/>
      <c r="H79" s="983">
        <f>G60</f>
        <v>60000</v>
      </c>
      <c r="I79" s="104"/>
    </row>
    <row r="80" spans="1:9" s="74" customFormat="1" ht="18" x14ac:dyDescent="0.5">
      <c r="A80" s="60"/>
      <c r="B80" s="101" t="s">
        <v>454</v>
      </c>
      <c r="C80" s="22"/>
      <c r="D80" s="54"/>
      <c r="E80" s="54"/>
      <c r="F80" s="54"/>
      <c r="G80" s="291"/>
      <c r="H80" s="104">
        <f>H79/113.3%</f>
        <v>52956.751985878196</v>
      </c>
      <c r="I80" s="104"/>
    </row>
    <row r="81" spans="1:11" s="74" customFormat="1" ht="18" x14ac:dyDescent="0.5">
      <c r="A81" s="60"/>
      <c r="B81" s="101" t="s">
        <v>16</v>
      </c>
      <c r="C81" s="22"/>
      <c r="D81" s="54"/>
      <c r="E81" s="54"/>
      <c r="F81" s="54"/>
      <c r="G81" s="291"/>
      <c r="H81" s="588">
        <f>H78/H80</f>
        <v>0.25997327033333334</v>
      </c>
      <c r="I81" s="588"/>
    </row>
    <row r="82" spans="1:11" s="74" customFormat="1" ht="18" x14ac:dyDescent="0.5">
      <c r="A82" s="60"/>
      <c r="B82" s="101"/>
      <c r="C82" s="22"/>
      <c r="D82" s="54"/>
      <c r="E82" s="54"/>
      <c r="F82" s="54"/>
      <c r="G82" s="291"/>
      <c r="H82" s="73"/>
      <c r="I82" s="171"/>
    </row>
    <row r="83" spans="1:11" s="74" customFormat="1" ht="18.75" thickBot="1" x14ac:dyDescent="0.55000000000000004">
      <c r="A83" s="60"/>
      <c r="B83" s="150"/>
      <c r="C83" s="151"/>
      <c r="D83" s="57"/>
      <c r="E83" s="57"/>
      <c r="F83" s="57"/>
      <c r="G83" s="294"/>
      <c r="H83" s="152"/>
      <c r="I83" s="164"/>
    </row>
    <row r="84" spans="1:11" s="74" customFormat="1" ht="18" x14ac:dyDescent="0.5">
      <c r="D84" s="77"/>
      <c r="E84" s="77"/>
      <c r="F84" s="77"/>
      <c r="G84" s="287"/>
      <c r="H84" s="115"/>
    </row>
    <row r="85" spans="1:11" s="74" customFormat="1" ht="18" x14ac:dyDescent="0.5">
      <c r="D85" s="77"/>
      <c r="E85" s="77"/>
      <c r="F85" s="77"/>
      <c r="G85" s="287"/>
      <c r="H85" s="115"/>
    </row>
    <row r="86" spans="1:11" s="74" customFormat="1" ht="18.75" thickBot="1" x14ac:dyDescent="0.55000000000000004">
      <c r="A86" s="60"/>
      <c r="B86" s="60"/>
      <c r="C86" s="60"/>
      <c r="D86" s="61" t="s">
        <v>0</v>
      </c>
      <c r="E86" s="61"/>
      <c r="F86" s="61"/>
      <c r="G86" s="289"/>
      <c r="H86" s="62"/>
      <c r="I86" s="60"/>
    </row>
    <row r="87" spans="1:11" s="74" customFormat="1" x14ac:dyDescent="0.5">
      <c r="A87" s="558" t="s">
        <v>722</v>
      </c>
      <c r="B87" s="567" t="s">
        <v>815</v>
      </c>
      <c r="C87" s="547"/>
      <c r="D87" s="548"/>
      <c r="E87" s="548"/>
      <c r="F87" s="548"/>
      <c r="G87" s="599" t="s">
        <v>1</v>
      </c>
      <c r="H87" s="651" t="s">
        <v>868</v>
      </c>
      <c r="I87" s="549" t="s">
        <v>2</v>
      </c>
      <c r="J87" s="74">
        <v>4</v>
      </c>
    </row>
    <row r="88" spans="1:11" s="74" customFormat="1" ht="18" x14ac:dyDescent="0.5">
      <c r="A88" s="550">
        <v>4</v>
      </c>
      <c r="B88" s="539" t="s">
        <v>5</v>
      </c>
      <c r="C88" s="539" t="s">
        <v>4</v>
      </c>
      <c r="D88" s="540" t="s">
        <v>3</v>
      </c>
      <c r="E88" s="540" t="s">
        <v>613</v>
      </c>
      <c r="F88" s="540" t="s">
        <v>614</v>
      </c>
      <c r="G88" s="600" t="s">
        <v>510</v>
      </c>
      <c r="H88" s="543" t="s">
        <v>7</v>
      </c>
      <c r="I88" s="636">
        <f>I59</f>
        <v>45574</v>
      </c>
    </row>
    <row r="89" spans="1:11" s="74" customFormat="1" ht="18.75" thickBot="1" x14ac:dyDescent="0.55000000000000004">
      <c r="A89" s="589"/>
      <c r="B89" s="602"/>
      <c r="C89" s="602"/>
      <c r="D89" s="553">
        <v>1</v>
      </c>
      <c r="E89" s="553"/>
      <c r="F89" s="553"/>
      <c r="G89" s="554">
        <f>Summary!J76</f>
        <v>60000</v>
      </c>
      <c r="H89" s="633">
        <f>H108</f>
        <v>0.35230284862048189</v>
      </c>
      <c r="I89" s="603"/>
    </row>
    <row r="90" spans="1:11" s="74" customFormat="1" ht="18.75" thickBot="1" x14ac:dyDescent="0.55000000000000004">
      <c r="A90" s="60"/>
      <c r="B90" s="60"/>
      <c r="C90" s="60"/>
      <c r="D90" s="61"/>
      <c r="E90" s="61"/>
      <c r="F90" s="61"/>
      <c r="G90" s="289"/>
      <c r="H90" s="62"/>
      <c r="I90" s="60"/>
    </row>
    <row r="91" spans="1:11" s="74" customFormat="1" ht="18" x14ac:dyDescent="0.5">
      <c r="A91" s="63" t="s">
        <v>605</v>
      </c>
      <c r="B91" s="64" t="s">
        <v>10</v>
      </c>
      <c r="C91" s="64" t="s">
        <v>9</v>
      </c>
      <c r="D91" s="52" t="s">
        <v>8</v>
      </c>
      <c r="E91" s="52" t="s">
        <v>613</v>
      </c>
      <c r="F91" s="52" t="s">
        <v>614</v>
      </c>
      <c r="G91" s="290" t="s">
        <v>11</v>
      </c>
      <c r="H91" s="53" t="s">
        <v>12</v>
      </c>
      <c r="I91" s="65" t="s">
        <v>12</v>
      </c>
    </row>
    <row r="92" spans="1:11" s="119" customFormat="1" ht="18" x14ac:dyDescent="0.5">
      <c r="A92" s="962" t="s">
        <v>582</v>
      </c>
      <c r="B92" s="977" t="s">
        <v>624</v>
      </c>
      <c r="C92" s="984" t="s">
        <v>23</v>
      </c>
      <c r="D92" s="966">
        <v>0.12</v>
      </c>
      <c r="E92" s="957">
        <v>0.15</v>
      </c>
      <c r="F92" s="956">
        <f t="shared" ref="F92:F100" si="12">D92+D92*E92</f>
        <v>0.13799999999999998</v>
      </c>
      <c r="G92" s="974">
        <v>105000</v>
      </c>
      <c r="H92" s="959">
        <f t="shared" ref="H92:H103" si="13">F92*G92</f>
        <v>14489.999999999998</v>
      </c>
      <c r="I92" s="980">
        <f t="shared" ref="I92:I103" si="14">H92/I$3</f>
        <v>6.8999999999999995</v>
      </c>
      <c r="J92" s="297">
        <v>75000</v>
      </c>
      <c r="K92" s="119" t="s">
        <v>969</v>
      </c>
    </row>
    <row r="93" spans="1:11" s="74" customFormat="1" ht="18" x14ac:dyDescent="0.5">
      <c r="A93" s="236" t="s">
        <v>588</v>
      </c>
      <c r="B93" s="26" t="s">
        <v>659</v>
      </c>
      <c r="C93" s="24" t="s">
        <v>471</v>
      </c>
      <c r="D93" s="25">
        <v>0.05</v>
      </c>
      <c r="E93" s="139">
        <v>0.4</v>
      </c>
      <c r="F93" s="67">
        <f t="shared" si="12"/>
        <v>7.0000000000000007E-2</v>
      </c>
      <c r="G93" s="91">
        <v>15000</v>
      </c>
      <c r="H93" s="46">
        <f t="shared" si="13"/>
        <v>1050</v>
      </c>
      <c r="I93" s="47">
        <f t="shared" si="14"/>
        <v>0.5</v>
      </c>
    </row>
    <row r="94" spans="1:11" s="74" customFormat="1" ht="18" x14ac:dyDescent="0.5">
      <c r="A94" s="236" t="s">
        <v>589</v>
      </c>
      <c r="B94" s="26" t="s">
        <v>490</v>
      </c>
      <c r="C94" s="24" t="s">
        <v>471</v>
      </c>
      <c r="D94" s="25">
        <v>0.08</v>
      </c>
      <c r="E94" s="139">
        <v>0.15</v>
      </c>
      <c r="F94" s="67">
        <f t="shared" si="12"/>
        <v>9.1999999999999998E-2</v>
      </c>
      <c r="G94" s="34">
        <v>8000</v>
      </c>
      <c r="H94" s="46">
        <f t="shared" si="13"/>
        <v>736</v>
      </c>
      <c r="I94" s="47">
        <f t="shared" si="14"/>
        <v>0.3504761904761905</v>
      </c>
    </row>
    <row r="95" spans="1:11" s="74" customFormat="1" ht="18" x14ac:dyDescent="0.5">
      <c r="A95" s="66" t="s">
        <v>552</v>
      </c>
      <c r="B95" s="23" t="s">
        <v>502</v>
      </c>
      <c r="C95" s="24" t="s">
        <v>471</v>
      </c>
      <c r="D95" s="25">
        <v>0.02</v>
      </c>
      <c r="E95" s="139">
        <v>0.2</v>
      </c>
      <c r="F95" s="67">
        <f t="shared" si="12"/>
        <v>2.4E-2</v>
      </c>
      <c r="G95" s="91">
        <v>4500</v>
      </c>
      <c r="H95" s="46">
        <f t="shared" si="13"/>
        <v>108</v>
      </c>
      <c r="I95" s="47">
        <f t="shared" si="14"/>
        <v>5.1428571428571428E-2</v>
      </c>
    </row>
    <row r="96" spans="1:11" s="74" customFormat="1" ht="18" x14ac:dyDescent="0.5">
      <c r="A96" s="66" t="s">
        <v>535</v>
      </c>
      <c r="B96" s="26" t="s">
        <v>528</v>
      </c>
      <c r="C96" s="24" t="s">
        <v>463</v>
      </c>
      <c r="D96" s="25">
        <f>0.03/1</f>
        <v>0.03</v>
      </c>
      <c r="E96" s="139">
        <v>0</v>
      </c>
      <c r="F96" s="67">
        <f t="shared" si="12"/>
        <v>0.03</v>
      </c>
      <c r="G96" s="222">
        <v>8000</v>
      </c>
      <c r="H96" s="46">
        <f t="shared" si="13"/>
        <v>240</v>
      </c>
      <c r="I96" s="47">
        <f t="shared" si="14"/>
        <v>0.11428571428571428</v>
      </c>
    </row>
    <row r="97" spans="1:9" s="74" customFormat="1" ht="18" x14ac:dyDescent="0.5">
      <c r="A97" s="236" t="s">
        <v>590</v>
      </c>
      <c r="B97" s="26" t="s">
        <v>621</v>
      </c>
      <c r="C97" s="24" t="s">
        <v>19</v>
      </c>
      <c r="D97" s="25">
        <v>1</v>
      </c>
      <c r="E97" s="139">
        <v>0</v>
      </c>
      <c r="F97" s="67">
        <f t="shared" si="12"/>
        <v>1</v>
      </c>
      <c r="G97" s="91">
        <v>200</v>
      </c>
      <c r="H97" s="46">
        <f t="shared" si="13"/>
        <v>200</v>
      </c>
      <c r="I97" s="47">
        <f t="shared" si="14"/>
        <v>9.5238095238095233E-2</v>
      </c>
    </row>
    <row r="98" spans="1:9" s="74" customFormat="1" ht="18" x14ac:dyDescent="0.5">
      <c r="A98" s="66" t="s">
        <v>499</v>
      </c>
      <c r="B98" s="26" t="s">
        <v>814</v>
      </c>
      <c r="C98" s="24" t="s">
        <v>22</v>
      </c>
      <c r="D98" s="25">
        <v>0.01</v>
      </c>
      <c r="E98" s="139">
        <v>0</v>
      </c>
      <c r="F98" s="67">
        <f t="shared" si="12"/>
        <v>0.01</v>
      </c>
      <c r="G98" s="143">
        <v>24000</v>
      </c>
      <c r="H98" s="46">
        <f t="shared" si="13"/>
        <v>240</v>
      </c>
      <c r="I98" s="47">
        <f t="shared" si="14"/>
        <v>0.11428571428571428</v>
      </c>
    </row>
    <row r="99" spans="1:9" s="74" customFormat="1" ht="18" x14ac:dyDescent="0.5">
      <c r="A99" s="236" t="s">
        <v>568</v>
      </c>
      <c r="B99" s="26" t="s">
        <v>664</v>
      </c>
      <c r="C99" s="24" t="s">
        <v>463</v>
      </c>
      <c r="D99" s="25">
        <v>0.04</v>
      </c>
      <c r="E99" s="139">
        <v>0</v>
      </c>
      <c r="F99" s="67">
        <f t="shared" si="12"/>
        <v>0.04</v>
      </c>
      <c r="G99" s="34">
        <f>24500/4.15</f>
        <v>5903.6144578313251</v>
      </c>
      <c r="H99" s="46">
        <f t="shared" si="13"/>
        <v>236.14457831325302</v>
      </c>
      <c r="I99" s="47">
        <f t="shared" si="14"/>
        <v>0.11244979919678716</v>
      </c>
    </row>
    <row r="100" spans="1:9" s="74" customFormat="1" ht="18" x14ac:dyDescent="0.5">
      <c r="A100" s="240"/>
      <c r="B100" s="29" t="s">
        <v>629</v>
      </c>
      <c r="C100" s="251" t="s">
        <v>459</v>
      </c>
      <c r="D100" s="25">
        <v>0.01</v>
      </c>
      <c r="E100" s="139">
        <v>0</v>
      </c>
      <c r="F100" s="67">
        <f t="shared" si="12"/>
        <v>0.01</v>
      </c>
      <c r="G100" s="34">
        <v>46667</v>
      </c>
      <c r="H100" s="46">
        <f t="shared" si="13"/>
        <v>466.67</v>
      </c>
      <c r="I100" s="47">
        <f t="shared" si="14"/>
        <v>0.22222380952380952</v>
      </c>
    </row>
    <row r="101" spans="1:9" s="74" customFormat="1" ht="18" x14ac:dyDescent="0.5">
      <c r="A101" s="240"/>
      <c r="B101" s="29" t="s">
        <v>610</v>
      </c>
      <c r="C101" s="251" t="s">
        <v>463</v>
      </c>
      <c r="D101" s="25">
        <v>0.1</v>
      </c>
      <c r="E101" s="139">
        <v>0</v>
      </c>
      <c r="F101" s="67">
        <v>0.1</v>
      </c>
      <c r="G101" s="412">
        <v>1200</v>
      </c>
      <c r="H101" s="46">
        <f t="shared" si="13"/>
        <v>120</v>
      </c>
      <c r="I101" s="47">
        <f t="shared" si="14"/>
        <v>5.7142857142857141E-2</v>
      </c>
    </row>
    <row r="102" spans="1:9" s="74" customFormat="1" ht="18" x14ac:dyDescent="0.5">
      <c r="A102" s="240"/>
      <c r="B102" s="29" t="s">
        <v>617</v>
      </c>
      <c r="C102" s="251" t="s">
        <v>459</v>
      </c>
      <c r="D102" s="25">
        <v>0.01</v>
      </c>
      <c r="E102" s="139">
        <v>0</v>
      </c>
      <c r="F102" s="67">
        <v>0.01</v>
      </c>
      <c r="G102" s="412">
        <v>70000</v>
      </c>
      <c r="H102" s="46">
        <f t="shared" si="13"/>
        <v>700</v>
      </c>
      <c r="I102" s="47">
        <f t="shared" si="14"/>
        <v>0.33333333333333331</v>
      </c>
    </row>
    <row r="103" spans="1:9" s="74" customFormat="1" ht="18.75" thickBot="1" x14ac:dyDescent="0.55000000000000004">
      <c r="A103" s="93"/>
      <c r="B103" s="94" t="s">
        <v>816</v>
      </c>
      <c r="C103" s="95" t="s">
        <v>20</v>
      </c>
      <c r="D103" s="524">
        <v>0.2</v>
      </c>
      <c r="E103" s="496">
        <v>0.1</v>
      </c>
      <c r="F103" s="96">
        <v>0.2</v>
      </c>
      <c r="G103" s="97">
        <v>350</v>
      </c>
      <c r="H103" s="500">
        <f t="shared" si="13"/>
        <v>70</v>
      </c>
      <c r="I103" s="98">
        <f t="shared" si="14"/>
        <v>3.3333333333333333E-2</v>
      </c>
    </row>
    <row r="104" spans="1:9" s="74" customFormat="1" ht="18" x14ac:dyDescent="0.5">
      <c r="A104" s="60"/>
      <c r="B104" s="99" t="s">
        <v>4</v>
      </c>
      <c r="C104" s="69"/>
      <c r="D104" s="70"/>
      <c r="E104" s="70"/>
      <c r="F104" s="70"/>
      <c r="G104" s="299"/>
      <c r="H104" s="71">
        <f>SUM(H92:H103)</f>
        <v>18656.81457831325</v>
      </c>
      <c r="I104" s="160">
        <f>SUM(I92:I103)</f>
        <v>8.8841974182444048</v>
      </c>
    </row>
    <row r="105" spans="1:9" s="74" customFormat="1" ht="18" x14ac:dyDescent="0.5">
      <c r="A105" s="60"/>
      <c r="B105" s="101" t="s">
        <v>14</v>
      </c>
      <c r="C105" s="22"/>
      <c r="D105" s="54"/>
      <c r="E105" s="54"/>
      <c r="F105" s="54"/>
      <c r="G105" s="291"/>
      <c r="H105" s="73">
        <f>H104/1</f>
        <v>18656.81457831325</v>
      </c>
      <c r="I105" s="104"/>
    </row>
    <row r="106" spans="1:9" s="74" customFormat="1" ht="18" x14ac:dyDescent="0.5">
      <c r="A106" s="60"/>
      <c r="B106" s="101" t="s">
        <v>15</v>
      </c>
      <c r="C106" s="22"/>
      <c r="D106" s="54"/>
      <c r="E106" s="54"/>
      <c r="F106" s="54"/>
      <c r="G106" s="291"/>
      <c r="H106" s="104">
        <f>G89</f>
        <v>60000</v>
      </c>
      <c r="I106" s="104"/>
    </row>
    <row r="107" spans="1:9" s="74" customFormat="1" ht="18" x14ac:dyDescent="0.5">
      <c r="A107" s="60"/>
      <c r="B107" s="101" t="s">
        <v>454</v>
      </c>
      <c r="C107" s="22"/>
      <c r="D107" s="54"/>
      <c r="E107" s="54"/>
      <c r="F107" s="54"/>
      <c r="G107" s="291"/>
      <c r="H107" s="104">
        <f>H106/113.3%</f>
        <v>52956.751985878196</v>
      </c>
      <c r="I107" s="104"/>
    </row>
    <row r="108" spans="1:9" s="74" customFormat="1" ht="18" x14ac:dyDescent="0.5">
      <c r="A108" s="60"/>
      <c r="B108" s="101" t="s">
        <v>16</v>
      </c>
      <c r="C108" s="22"/>
      <c r="D108" s="54"/>
      <c r="E108" s="54"/>
      <c r="F108" s="54"/>
      <c r="G108" s="291"/>
      <c r="H108" s="588">
        <f>H105/H107</f>
        <v>0.35230284862048189</v>
      </c>
      <c r="I108" s="588"/>
    </row>
    <row r="109" spans="1:9" s="74" customFormat="1" ht="18" x14ac:dyDescent="0.5">
      <c r="A109" s="60"/>
      <c r="B109" s="101"/>
      <c r="C109" s="22"/>
      <c r="D109" s="54"/>
      <c r="E109" s="54"/>
      <c r="F109" s="54"/>
      <c r="G109" s="291"/>
      <c r="H109" s="73"/>
      <c r="I109" s="171"/>
    </row>
    <row r="110" spans="1:9" s="74" customFormat="1" ht="18.75" thickBot="1" x14ac:dyDescent="0.55000000000000004">
      <c r="A110" s="60"/>
      <c r="B110" s="150"/>
      <c r="C110" s="151"/>
      <c r="D110" s="57"/>
      <c r="E110" s="57"/>
      <c r="F110" s="57"/>
      <c r="G110" s="294"/>
      <c r="H110" s="152"/>
      <c r="I110" s="153"/>
    </row>
    <row r="111" spans="1:9" s="74" customFormat="1" ht="18" x14ac:dyDescent="0.5">
      <c r="D111" s="77"/>
      <c r="E111" s="77"/>
      <c r="F111" s="77"/>
      <c r="G111" s="287"/>
      <c r="H111" s="115"/>
    </row>
    <row r="112" spans="1:9" s="74" customFormat="1" ht="18" x14ac:dyDescent="0.5">
      <c r="B112" s="74">
        <v>20</v>
      </c>
      <c r="D112" s="77"/>
      <c r="E112" s="77"/>
      <c r="F112" s="77"/>
      <c r="G112" s="287"/>
      <c r="H112" s="115"/>
    </row>
    <row r="113" spans="1:10" s="74" customFormat="1" ht="18.75" thickBot="1" x14ac:dyDescent="0.55000000000000004">
      <c r="A113" s="76"/>
      <c r="B113" s="76"/>
      <c r="C113" s="76"/>
      <c r="D113" s="116" t="s">
        <v>0</v>
      </c>
      <c r="E113" s="116"/>
      <c r="F113" s="116"/>
      <c r="G113" s="289"/>
      <c r="H113" s="62"/>
      <c r="I113" s="60"/>
    </row>
    <row r="114" spans="1:10" s="74" customFormat="1" ht="21.75" x14ac:dyDescent="0.6">
      <c r="A114" s="558" t="s">
        <v>722</v>
      </c>
      <c r="B114" s="694" t="s">
        <v>817</v>
      </c>
      <c r="C114" s="547"/>
      <c r="D114" s="548"/>
      <c r="E114" s="548"/>
      <c r="F114" s="548"/>
      <c r="G114" s="599" t="s">
        <v>1</v>
      </c>
      <c r="H114" s="651" t="s">
        <v>868</v>
      </c>
      <c r="I114" s="549" t="s">
        <v>2</v>
      </c>
      <c r="J114" s="74">
        <v>5</v>
      </c>
    </row>
    <row r="115" spans="1:10" s="74" customFormat="1" ht="18" x14ac:dyDescent="0.5">
      <c r="A115" s="550">
        <v>5</v>
      </c>
      <c r="B115" s="539" t="s">
        <v>5</v>
      </c>
      <c r="C115" s="539" t="s">
        <v>4</v>
      </c>
      <c r="D115" s="540" t="s">
        <v>3</v>
      </c>
      <c r="E115" s="540" t="s">
        <v>613</v>
      </c>
      <c r="F115" s="540" t="s">
        <v>614</v>
      </c>
      <c r="G115" s="600" t="s">
        <v>6</v>
      </c>
      <c r="H115" s="543" t="s">
        <v>7</v>
      </c>
      <c r="I115" s="637">
        <f>I88</f>
        <v>45574</v>
      </c>
    </row>
    <row r="116" spans="1:10" s="74" customFormat="1" ht="18.75" thickBot="1" x14ac:dyDescent="0.55000000000000004">
      <c r="A116" s="551"/>
      <c r="B116" s="552"/>
      <c r="C116" s="552"/>
      <c r="D116" s="553">
        <v>1</v>
      </c>
      <c r="E116" s="553"/>
      <c r="F116" s="553"/>
      <c r="G116" s="554">
        <f>Summary!J77</f>
        <v>80000</v>
      </c>
      <c r="H116" s="633">
        <f>H133</f>
        <v>0.37520371349999998</v>
      </c>
      <c r="I116" s="555"/>
    </row>
    <row r="117" spans="1:10" s="74" customFormat="1" ht="18.75" thickBot="1" x14ac:dyDescent="0.55000000000000004">
      <c r="A117" s="60"/>
      <c r="B117" s="60"/>
      <c r="C117" s="60"/>
      <c r="D117" s="61"/>
      <c r="E117" s="61"/>
      <c r="F117" s="61"/>
      <c r="G117" s="289"/>
      <c r="H117" s="62"/>
      <c r="I117" s="60"/>
    </row>
    <row r="118" spans="1:10" s="74" customFormat="1" ht="18" x14ac:dyDescent="0.5">
      <c r="A118" s="63" t="s">
        <v>605</v>
      </c>
      <c r="B118" s="64" t="s">
        <v>10</v>
      </c>
      <c r="C118" s="64" t="s">
        <v>9</v>
      </c>
      <c r="D118" s="52" t="s">
        <v>8</v>
      </c>
      <c r="E118" s="52" t="s">
        <v>613</v>
      </c>
      <c r="F118" s="52" t="s">
        <v>614</v>
      </c>
      <c r="G118" s="290" t="s">
        <v>11</v>
      </c>
      <c r="H118" s="53" t="s">
        <v>12</v>
      </c>
      <c r="I118" s="65" t="s">
        <v>12</v>
      </c>
    </row>
    <row r="119" spans="1:10" s="119" customFormat="1" ht="18" x14ac:dyDescent="0.5">
      <c r="A119" s="976" t="s">
        <v>584</v>
      </c>
      <c r="B119" s="1007" t="s">
        <v>888</v>
      </c>
      <c r="C119" s="1008" t="s">
        <v>23</v>
      </c>
      <c r="D119" s="1009">
        <v>0.18</v>
      </c>
      <c r="E119" s="957">
        <v>0</v>
      </c>
      <c r="F119" s="956">
        <f t="shared" ref="F119:F125" si="15">D119+D119*E119</f>
        <v>0.18</v>
      </c>
      <c r="G119" s="967">
        <v>128917</v>
      </c>
      <c r="H119" s="959">
        <f t="shared" ref="H119:H128" si="16">F119*G119</f>
        <v>23205.059999999998</v>
      </c>
      <c r="I119" s="980">
        <f t="shared" ref="I119:I128" si="17">H119/I$3</f>
        <v>11.05002857142857</v>
      </c>
    </row>
    <row r="120" spans="1:10" s="74" customFormat="1" ht="18" x14ac:dyDescent="0.5">
      <c r="A120" s="236" t="s">
        <v>588</v>
      </c>
      <c r="B120" s="420" t="s">
        <v>818</v>
      </c>
      <c r="C120" s="360" t="s">
        <v>20</v>
      </c>
      <c r="D120" s="342">
        <v>0.01</v>
      </c>
      <c r="E120" s="86">
        <v>0.2</v>
      </c>
      <c r="F120" s="67">
        <f t="shared" si="15"/>
        <v>1.2E-2</v>
      </c>
      <c r="G120" s="91">
        <v>600</v>
      </c>
      <c r="H120" s="46">
        <f t="shared" si="16"/>
        <v>7.2</v>
      </c>
      <c r="I120" s="47">
        <f t="shared" si="17"/>
        <v>3.4285714285714288E-3</v>
      </c>
    </row>
    <row r="121" spans="1:10" s="74" customFormat="1" ht="18" x14ac:dyDescent="0.5">
      <c r="A121" s="236" t="s">
        <v>589</v>
      </c>
      <c r="B121" s="420" t="s">
        <v>667</v>
      </c>
      <c r="C121" s="360" t="s">
        <v>471</v>
      </c>
      <c r="D121" s="342">
        <v>0.03</v>
      </c>
      <c r="E121" s="86">
        <v>0.05</v>
      </c>
      <c r="F121" s="67">
        <f t="shared" si="15"/>
        <v>3.15E-2</v>
      </c>
      <c r="G121" s="34">
        <v>8000</v>
      </c>
      <c r="H121" s="46">
        <f t="shared" si="16"/>
        <v>252</v>
      </c>
      <c r="I121" s="47">
        <f t="shared" si="17"/>
        <v>0.12</v>
      </c>
    </row>
    <row r="122" spans="1:10" s="74" customFormat="1" ht="18" x14ac:dyDescent="0.5">
      <c r="A122" s="66" t="s">
        <v>552</v>
      </c>
      <c r="B122" s="420" t="s">
        <v>819</v>
      </c>
      <c r="C122" s="360" t="s">
        <v>808</v>
      </c>
      <c r="D122" s="342">
        <v>0.02</v>
      </c>
      <c r="E122" s="86">
        <v>0.05</v>
      </c>
      <c r="F122" s="67">
        <f t="shared" si="15"/>
        <v>2.1000000000000001E-2</v>
      </c>
      <c r="G122" s="91">
        <v>59500</v>
      </c>
      <c r="H122" s="46">
        <f t="shared" si="16"/>
        <v>1249.5</v>
      </c>
      <c r="I122" s="47">
        <f t="shared" si="17"/>
        <v>0.59499999999999997</v>
      </c>
    </row>
    <row r="123" spans="1:10" s="74" customFormat="1" ht="18" x14ac:dyDescent="0.5">
      <c r="A123" s="66" t="s">
        <v>535</v>
      </c>
      <c r="B123" s="420" t="s">
        <v>609</v>
      </c>
      <c r="C123" s="360" t="s">
        <v>463</v>
      </c>
      <c r="D123" s="342">
        <v>0.01</v>
      </c>
      <c r="E123" s="86">
        <v>0</v>
      </c>
      <c r="F123" s="67">
        <f t="shared" si="15"/>
        <v>0.01</v>
      </c>
      <c r="G123" s="222">
        <v>14000</v>
      </c>
      <c r="H123" s="46">
        <f t="shared" si="16"/>
        <v>140</v>
      </c>
      <c r="I123" s="47">
        <f t="shared" si="17"/>
        <v>6.6666666666666666E-2</v>
      </c>
    </row>
    <row r="124" spans="1:10" s="74" customFormat="1" ht="18" x14ac:dyDescent="0.5">
      <c r="A124" s="236" t="s">
        <v>590</v>
      </c>
      <c r="B124" s="420" t="s">
        <v>807</v>
      </c>
      <c r="C124" s="360" t="s">
        <v>459</v>
      </c>
      <c r="D124" s="342">
        <v>0.01</v>
      </c>
      <c r="E124" s="86">
        <v>0.05</v>
      </c>
      <c r="F124" s="67">
        <f t="shared" si="15"/>
        <v>1.0500000000000001E-2</v>
      </c>
      <c r="G124" s="91">
        <v>70000</v>
      </c>
      <c r="H124" s="46">
        <f t="shared" si="16"/>
        <v>735</v>
      </c>
      <c r="I124" s="47">
        <f t="shared" si="17"/>
        <v>0.35</v>
      </c>
    </row>
    <row r="125" spans="1:10" s="74" customFormat="1" ht="18" x14ac:dyDescent="0.5">
      <c r="A125" s="236" t="s">
        <v>568</v>
      </c>
      <c r="B125" s="683" t="s">
        <v>810</v>
      </c>
      <c r="C125" s="684" t="s">
        <v>471</v>
      </c>
      <c r="D125" s="685">
        <v>0.02</v>
      </c>
      <c r="E125" s="86">
        <v>0</v>
      </c>
      <c r="F125" s="67">
        <f t="shared" si="15"/>
        <v>0.02</v>
      </c>
      <c r="G125" s="34">
        <v>24000</v>
      </c>
      <c r="H125" s="46">
        <f t="shared" si="16"/>
        <v>480</v>
      </c>
      <c r="I125" s="47">
        <f t="shared" si="17"/>
        <v>0.22857142857142856</v>
      </c>
    </row>
    <row r="126" spans="1:10" s="74" customFormat="1" ht="18" x14ac:dyDescent="0.5">
      <c r="A126" s="409"/>
      <c r="B126" s="683" t="s">
        <v>686</v>
      </c>
      <c r="C126" s="684" t="s">
        <v>19</v>
      </c>
      <c r="D126" s="685">
        <v>0.01</v>
      </c>
      <c r="E126" s="86">
        <v>0.2</v>
      </c>
      <c r="F126" s="20">
        <v>0.01</v>
      </c>
      <c r="G126" s="412">
        <v>1400</v>
      </c>
      <c r="H126" s="46">
        <f t="shared" si="16"/>
        <v>14</v>
      </c>
      <c r="I126" s="47">
        <f t="shared" si="17"/>
        <v>6.6666666666666671E-3</v>
      </c>
    </row>
    <row r="127" spans="1:10" s="74" customFormat="1" ht="18" x14ac:dyDescent="0.5">
      <c r="A127" s="409"/>
      <c r="B127" s="683" t="s">
        <v>675</v>
      </c>
      <c r="C127" s="684" t="s">
        <v>471</v>
      </c>
      <c r="D127" s="685">
        <v>0.02</v>
      </c>
      <c r="E127" s="86">
        <v>0.2</v>
      </c>
      <c r="F127" s="20">
        <v>0.02</v>
      </c>
      <c r="G127" s="412">
        <v>10000</v>
      </c>
      <c r="H127" s="46">
        <f t="shared" si="16"/>
        <v>200</v>
      </c>
      <c r="I127" s="47">
        <f t="shared" si="17"/>
        <v>9.5238095238095233E-2</v>
      </c>
    </row>
    <row r="128" spans="1:10" s="74" customFormat="1" ht="18.75" thickBot="1" x14ac:dyDescent="0.55000000000000004">
      <c r="A128" s="409"/>
      <c r="B128" s="683" t="s">
        <v>674</v>
      </c>
      <c r="C128" s="684" t="s">
        <v>471</v>
      </c>
      <c r="D128" s="685">
        <v>0.01</v>
      </c>
      <c r="E128" s="86">
        <v>0.2</v>
      </c>
      <c r="F128" s="20">
        <v>0.01</v>
      </c>
      <c r="G128" s="412">
        <v>21000</v>
      </c>
      <c r="H128" s="46">
        <f t="shared" si="16"/>
        <v>210</v>
      </c>
      <c r="I128" s="47">
        <f t="shared" si="17"/>
        <v>0.1</v>
      </c>
    </row>
    <row r="129" spans="1:10" s="74" customFormat="1" ht="18" x14ac:dyDescent="0.5">
      <c r="A129" s="60"/>
      <c r="B129" s="224" t="s">
        <v>4</v>
      </c>
      <c r="C129" s="64"/>
      <c r="D129" s="52"/>
      <c r="E129" s="52"/>
      <c r="F129" s="52"/>
      <c r="G129" s="290"/>
      <c r="H129" s="226">
        <f>SUM(H119:H128)</f>
        <v>26492.76</v>
      </c>
      <c r="I129" s="197">
        <f>SUM(I119:I128)</f>
        <v>12.615599999999995</v>
      </c>
    </row>
    <row r="130" spans="1:10" s="74" customFormat="1" ht="18" x14ac:dyDescent="0.5">
      <c r="A130" s="60"/>
      <c r="B130" s="101" t="s">
        <v>14</v>
      </c>
      <c r="C130" s="22"/>
      <c r="D130" s="54"/>
      <c r="E130" s="54"/>
      <c r="F130" s="54"/>
      <c r="G130" s="291"/>
      <c r="H130" s="73">
        <f>H129/1</f>
        <v>26492.76</v>
      </c>
      <c r="I130" s="104"/>
    </row>
    <row r="131" spans="1:10" s="74" customFormat="1" ht="18" x14ac:dyDescent="0.5">
      <c r="A131" s="60"/>
      <c r="B131" s="101" t="s">
        <v>15</v>
      </c>
      <c r="C131" s="22"/>
      <c r="D131" s="54"/>
      <c r="E131" s="54"/>
      <c r="F131" s="54"/>
      <c r="G131" s="291"/>
      <c r="H131" s="104">
        <f>G116</f>
        <v>80000</v>
      </c>
      <c r="I131" s="104"/>
    </row>
    <row r="132" spans="1:10" s="74" customFormat="1" ht="18" x14ac:dyDescent="0.5">
      <c r="A132" s="60"/>
      <c r="B132" s="101" t="s">
        <v>454</v>
      </c>
      <c r="C132" s="22"/>
      <c r="D132" s="54"/>
      <c r="E132" s="54"/>
      <c r="F132" s="54"/>
      <c r="G132" s="291"/>
      <c r="H132" s="104">
        <f>H131/113.3%</f>
        <v>70609.002647837595</v>
      </c>
      <c r="I132" s="104"/>
    </row>
    <row r="133" spans="1:10" s="74" customFormat="1" ht="18" x14ac:dyDescent="0.5">
      <c r="A133" s="60"/>
      <c r="B133" s="101" t="s">
        <v>16</v>
      </c>
      <c r="C133" s="22"/>
      <c r="D133" s="54"/>
      <c r="E133" s="54"/>
      <c r="F133" s="54"/>
      <c r="G133" s="291"/>
      <c r="H133" s="588">
        <f>H130/H132</f>
        <v>0.37520371349999998</v>
      </c>
      <c r="I133" s="588"/>
    </row>
    <row r="134" spans="1:10" s="74" customFormat="1" ht="18" x14ac:dyDescent="0.5">
      <c r="A134" s="60"/>
      <c r="B134" s="101"/>
      <c r="C134" s="22"/>
      <c r="D134" s="54"/>
      <c r="E134" s="54"/>
      <c r="F134" s="54"/>
      <c r="G134" s="291"/>
      <c r="H134" s="73"/>
      <c r="I134" s="171"/>
    </row>
    <row r="135" spans="1:10" s="74" customFormat="1" ht="18.75" thickBot="1" x14ac:dyDescent="0.55000000000000004">
      <c r="A135" s="60"/>
      <c r="B135" s="150"/>
      <c r="C135" s="151"/>
      <c r="D135" s="57"/>
      <c r="E135" s="57"/>
      <c r="F135" s="57"/>
      <c r="G135" s="294"/>
      <c r="H135" s="152"/>
      <c r="I135" s="164"/>
    </row>
    <row r="136" spans="1:10" s="74" customFormat="1" ht="18" x14ac:dyDescent="0.5">
      <c r="D136" s="77"/>
      <c r="E136" s="77"/>
      <c r="F136" s="77"/>
      <c r="G136" s="287"/>
      <c r="H136" s="115"/>
    </row>
    <row r="137" spans="1:10" s="119" customFormat="1" ht="18.75" thickBot="1" x14ac:dyDescent="0.55000000000000004">
      <c r="A137" s="936" t="s">
        <v>0</v>
      </c>
      <c r="B137" s="936"/>
      <c r="C137" s="936"/>
      <c r="D137" s="936"/>
      <c r="E137" s="936"/>
      <c r="F137" s="936"/>
      <c r="G137" s="936"/>
      <c r="H137" s="936"/>
      <c r="I137" s="936"/>
    </row>
    <row r="138" spans="1:10" s="119" customFormat="1" ht="21.75" x14ac:dyDescent="0.6">
      <c r="A138" s="558" t="s">
        <v>665</v>
      </c>
      <c r="B138" s="694" t="s">
        <v>821</v>
      </c>
      <c r="C138" s="547"/>
      <c r="D138" s="548"/>
      <c r="E138" s="548"/>
      <c r="F138" s="548"/>
      <c r="G138" s="599" t="s">
        <v>1</v>
      </c>
      <c r="H138" s="651" t="s">
        <v>868</v>
      </c>
      <c r="I138" s="564" t="s">
        <v>595</v>
      </c>
      <c r="J138" s="119">
        <v>6</v>
      </c>
    </row>
    <row r="139" spans="1:10" s="119" customFormat="1" ht="18" x14ac:dyDescent="0.5">
      <c r="A139" s="550">
        <v>6</v>
      </c>
      <c r="B139" s="539" t="s">
        <v>5</v>
      </c>
      <c r="C139" s="539" t="s">
        <v>4</v>
      </c>
      <c r="D139" s="540" t="s">
        <v>3</v>
      </c>
      <c r="E139" s="540" t="s">
        <v>613</v>
      </c>
      <c r="F139" s="540" t="s">
        <v>614</v>
      </c>
      <c r="G139" s="600" t="s">
        <v>597</v>
      </c>
      <c r="H139" s="543" t="s">
        <v>7</v>
      </c>
      <c r="I139" s="637">
        <f>I115</f>
        <v>45574</v>
      </c>
    </row>
    <row r="140" spans="1:10" s="119" customFormat="1" ht="18.75" thickBot="1" x14ac:dyDescent="0.55000000000000004">
      <c r="A140" s="551"/>
      <c r="B140" s="552"/>
      <c r="C140" s="552"/>
      <c r="D140" s="553">
        <v>1</v>
      </c>
      <c r="E140" s="553"/>
      <c r="F140" s="553"/>
      <c r="G140" s="554">
        <f>Summary!J78</f>
        <v>80000</v>
      </c>
      <c r="H140" s="554"/>
      <c r="I140" s="555"/>
    </row>
    <row r="141" spans="1:10" s="119" customFormat="1" ht="18.75" thickBot="1" x14ac:dyDescent="0.55000000000000004">
      <c r="A141" s="124"/>
      <c r="B141" s="124"/>
      <c r="C141" s="124"/>
      <c r="D141" s="125"/>
      <c r="E141" s="125"/>
      <c r="F141" s="125"/>
      <c r="G141" s="284"/>
      <c r="H141" s="126"/>
      <c r="I141" s="124"/>
    </row>
    <row r="142" spans="1:10" s="119" customFormat="1" ht="18" x14ac:dyDescent="0.5">
      <c r="A142" s="194" t="s">
        <v>605</v>
      </c>
      <c r="B142" s="166" t="s">
        <v>10</v>
      </c>
      <c r="C142" s="166" t="s">
        <v>9</v>
      </c>
      <c r="D142" s="117" t="s">
        <v>8</v>
      </c>
      <c r="E142" s="117" t="s">
        <v>613</v>
      </c>
      <c r="F142" s="117" t="s">
        <v>614</v>
      </c>
      <c r="G142" s="282" t="s">
        <v>11</v>
      </c>
      <c r="H142" s="118" t="s">
        <v>12</v>
      </c>
      <c r="I142" s="195" t="s">
        <v>12</v>
      </c>
    </row>
    <row r="143" spans="1:10" s="119" customFormat="1" ht="18" x14ac:dyDescent="0.5">
      <c r="A143" s="976" t="s">
        <v>584</v>
      </c>
      <c r="B143" s="1004" t="s">
        <v>822</v>
      </c>
      <c r="C143" s="1005" t="s">
        <v>22</v>
      </c>
      <c r="D143" s="1006">
        <v>0.15</v>
      </c>
      <c r="E143" s="957">
        <v>0.1</v>
      </c>
      <c r="F143" s="956">
        <f t="shared" ref="F143:F151" si="18">D143+D143*E143</f>
        <v>0.16499999999999998</v>
      </c>
      <c r="G143" s="981">
        <v>125000</v>
      </c>
      <c r="H143" s="959">
        <f t="shared" ref="H143:H156" si="19">F143*G143</f>
        <v>20624.999999999996</v>
      </c>
      <c r="I143" s="980">
        <f t="shared" ref="I143:I156" si="20">H143/I$3</f>
        <v>9.8214285714285694</v>
      </c>
    </row>
    <row r="144" spans="1:10" s="119" customFormat="1" ht="18" x14ac:dyDescent="0.5">
      <c r="A144" s="144" t="s">
        <v>559</v>
      </c>
      <c r="B144" s="420" t="s">
        <v>667</v>
      </c>
      <c r="C144" s="360" t="s">
        <v>596</v>
      </c>
      <c r="D144" s="342">
        <v>0.02</v>
      </c>
      <c r="E144" s="139">
        <v>0.2</v>
      </c>
      <c r="F144" s="32">
        <f t="shared" si="18"/>
        <v>2.4E-2</v>
      </c>
      <c r="G144" s="35">
        <v>8000</v>
      </c>
      <c r="H144" s="68">
        <f t="shared" si="19"/>
        <v>192</v>
      </c>
      <c r="I144" s="161">
        <f t="shared" si="20"/>
        <v>9.1428571428571428E-2</v>
      </c>
    </row>
    <row r="145" spans="1:9" s="119" customFormat="1" ht="18" x14ac:dyDescent="0.5">
      <c r="A145" s="144" t="s">
        <v>588</v>
      </c>
      <c r="B145" s="420" t="s">
        <v>820</v>
      </c>
      <c r="C145" s="360" t="s">
        <v>459</v>
      </c>
      <c r="D145" s="342">
        <v>1E-3</v>
      </c>
      <c r="E145" s="139">
        <v>0</v>
      </c>
      <c r="F145" s="32">
        <f t="shared" si="18"/>
        <v>1E-3</v>
      </c>
      <c r="G145" s="143">
        <v>15000</v>
      </c>
      <c r="H145" s="68">
        <f t="shared" si="19"/>
        <v>15</v>
      </c>
      <c r="I145" s="161">
        <f t="shared" si="20"/>
        <v>7.1428571428571426E-3</v>
      </c>
    </row>
    <row r="146" spans="1:9" s="119" customFormat="1" ht="18" x14ac:dyDescent="0.5">
      <c r="A146" s="144" t="s">
        <v>501</v>
      </c>
      <c r="B146" s="420" t="s">
        <v>609</v>
      </c>
      <c r="C146" s="360" t="s">
        <v>463</v>
      </c>
      <c r="D146" s="342">
        <v>0.01</v>
      </c>
      <c r="E146" s="139">
        <v>0</v>
      </c>
      <c r="F146" s="32">
        <f t="shared" si="18"/>
        <v>0.01</v>
      </c>
      <c r="G146" s="143">
        <v>14000</v>
      </c>
      <c r="H146" s="68">
        <f t="shared" si="19"/>
        <v>140</v>
      </c>
      <c r="I146" s="161">
        <f t="shared" si="20"/>
        <v>6.6666666666666666E-2</v>
      </c>
    </row>
    <row r="147" spans="1:9" s="119" customFormat="1" ht="18" x14ac:dyDescent="0.5">
      <c r="A147" s="141" t="s">
        <v>499</v>
      </c>
      <c r="B147" s="420" t="s">
        <v>807</v>
      </c>
      <c r="C147" s="360" t="s">
        <v>596</v>
      </c>
      <c r="D147" s="342">
        <v>0.01</v>
      </c>
      <c r="E147" s="139">
        <v>0</v>
      </c>
      <c r="F147" s="32">
        <f t="shared" si="18"/>
        <v>0.01</v>
      </c>
      <c r="G147" s="143">
        <v>70000</v>
      </c>
      <c r="H147" s="68">
        <f t="shared" si="19"/>
        <v>700</v>
      </c>
      <c r="I147" s="161">
        <f t="shared" si="20"/>
        <v>0.33333333333333331</v>
      </c>
    </row>
    <row r="148" spans="1:9" s="119" customFormat="1" ht="18" x14ac:dyDescent="0.5">
      <c r="A148" s="144" t="s">
        <v>542</v>
      </c>
      <c r="B148" s="683" t="s">
        <v>810</v>
      </c>
      <c r="C148" s="684" t="s">
        <v>22</v>
      </c>
      <c r="D148" s="685">
        <v>0.02</v>
      </c>
      <c r="E148" s="139">
        <v>0</v>
      </c>
      <c r="F148" s="32">
        <f t="shared" si="18"/>
        <v>0.02</v>
      </c>
      <c r="G148" s="35">
        <v>24000</v>
      </c>
      <c r="H148" s="68">
        <f t="shared" si="19"/>
        <v>480</v>
      </c>
      <c r="I148" s="161">
        <f t="shared" si="20"/>
        <v>0.22857142857142856</v>
      </c>
    </row>
    <row r="149" spans="1:9" s="119" customFormat="1" ht="18" x14ac:dyDescent="0.5">
      <c r="A149" s="141" t="s">
        <v>535</v>
      </c>
      <c r="B149" s="683" t="s">
        <v>664</v>
      </c>
      <c r="C149" s="684" t="s">
        <v>463</v>
      </c>
      <c r="D149" s="685">
        <v>0.02</v>
      </c>
      <c r="E149" s="139">
        <v>0</v>
      </c>
      <c r="F149" s="32">
        <f t="shared" si="18"/>
        <v>0.02</v>
      </c>
      <c r="G149" s="162">
        <v>40000</v>
      </c>
      <c r="H149" s="68">
        <f t="shared" si="19"/>
        <v>800</v>
      </c>
      <c r="I149" s="161">
        <f t="shared" si="20"/>
        <v>0.38095238095238093</v>
      </c>
    </row>
    <row r="150" spans="1:9" s="119" customFormat="1" ht="18" x14ac:dyDescent="0.5">
      <c r="A150" s="26"/>
      <c r="B150" s="683" t="s">
        <v>620</v>
      </c>
      <c r="C150" s="684" t="s">
        <v>20</v>
      </c>
      <c r="D150" s="685">
        <v>0.1</v>
      </c>
      <c r="E150" s="139">
        <v>0</v>
      </c>
      <c r="F150" s="32">
        <f t="shared" si="18"/>
        <v>0.1</v>
      </c>
      <c r="G150" s="143">
        <v>500</v>
      </c>
      <c r="H150" s="68">
        <f t="shared" si="19"/>
        <v>50</v>
      </c>
      <c r="I150" s="161">
        <f t="shared" si="20"/>
        <v>2.3809523809523808E-2</v>
      </c>
    </row>
    <row r="151" spans="1:9" s="119" customFormat="1" ht="18" x14ac:dyDescent="0.5">
      <c r="A151" s="26"/>
      <c r="B151" s="683" t="s">
        <v>823</v>
      </c>
      <c r="C151" s="684" t="s">
        <v>808</v>
      </c>
      <c r="D151" s="685">
        <v>0.02</v>
      </c>
      <c r="E151" s="139">
        <v>0</v>
      </c>
      <c r="F151" s="32">
        <f t="shared" si="18"/>
        <v>0.02</v>
      </c>
      <c r="G151" s="35">
        <v>59500</v>
      </c>
      <c r="H151" s="68">
        <f t="shared" si="19"/>
        <v>1190</v>
      </c>
      <c r="I151" s="161">
        <f t="shared" si="20"/>
        <v>0.56666666666666665</v>
      </c>
    </row>
    <row r="152" spans="1:9" s="119" customFormat="1" ht="18" x14ac:dyDescent="0.5">
      <c r="A152" s="415"/>
      <c r="B152" s="683" t="s">
        <v>629</v>
      </c>
      <c r="C152" s="684" t="s">
        <v>596</v>
      </c>
      <c r="D152" s="685"/>
      <c r="E152" s="139">
        <v>0</v>
      </c>
      <c r="F152" s="25"/>
      <c r="G152" s="35">
        <v>46667</v>
      </c>
      <c r="H152" s="68">
        <f t="shared" si="19"/>
        <v>0</v>
      </c>
      <c r="I152" s="161">
        <f t="shared" si="20"/>
        <v>0</v>
      </c>
    </row>
    <row r="153" spans="1:9" s="119" customFormat="1" ht="18" x14ac:dyDescent="0.5">
      <c r="A153" s="415"/>
      <c r="B153" s="683" t="s">
        <v>675</v>
      </c>
      <c r="C153" s="684" t="s">
        <v>596</v>
      </c>
      <c r="D153" s="685">
        <v>0.02</v>
      </c>
      <c r="E153" s="139">
        <v>0.2</v>
      </c>
      <c r="F153" s="25">
        <v>0.02</v>
      </c>
      <c r="G153" s="35">
        <v>10000</v>
      </c>
      <c r="H153" s="68">
        <f t="shared" si="19"/>
        <v>200</v>
      </c>
      <c r="I153" s="161">
        <f t="shared" si="20"/>
        <v>9.5238095238095233E-2</v>
      </c>
    </row>
    <row r="154" spans="1:9" s="119" customFormat="1" ht="18" x14ac:dyDescent="0.5">
      <c r="A154" s="415"/>
      <c r="B154" s="420" t="s">
        <v>818</v>
      </c>
      <c r="C154" s="360" t="s">
        <v>20</v>
      </c>
      <c r="D154" s="342">
        <v>0.2</v>
      </c>
      <c r="E154" s="139">
        <v>0.2</v>
      </c>
      <c r="F154" s="25">
        <v>0.2</v>
      </c>
      <c r="G154" s="35">
        <v>600</v>
      </c>
      <c r="H154" s="68">
        <f t="shared" si="19"/>
        <v>120</v>
      </c>
      <c r="I154" s="161">
        <f t="shared" si="20"/>
        <v>5.7142857142857141E-2</v>
      </c>
    </row>
    <row r="155" spans="1:9" s="119" customFormat="1" ht="18" x14ac:dyDescent="0.5">
      <c r="A155" s="415"/>
      <c r="B155" s="420" t="s">
        <v>653</v>
      </c>
      <c r="C155" s="360" t="s">
        <v>596</v>
      </c>
      <c r="D155" s="342">
        <v>0.02</v>
      </c>
      <c r="E155" s="139">
        <v>0.08</v>
      </c>
      <c r="F155" s="25">
        <v>0.02</v>
      </c>
      <c r="G155" s="35">
        <v>6000</v>
      </c>
      <c r="H155" s="68">
        <f t="shared" si="19"/>
        <v>120</v>
      </c>
      <c r="I155" s="161">
        <f t="shared" si="20"/>
        <v>5.7142857142857141E-2</v>
      </c>
    </row>
    <row r="156" spans="1:9" s="119" customFormat="1" ht="18.75" thickBot="1" x14ac:dyDescent="0.55000000000000004">
      <c r="A156" s="415"/>
      <c r="B156" s="420" t="s">
        <v>686</v>
      </c>
      <c r="C156" s="360" t="s">
        <v>13</v>
      </c>
      <c r="D156" s="342">
        <v>0.02</v>
      </c>
      <c r="E156" s="139">
        <v>0.2</v>
      </c>
      <c r="F156" s="25">
        <v>0.02</v>
      </c>
      <c r="G156" s="35">
        <v>1400</v>
      </c>
      <c r="H156" s="68">
        <f t="shared" si="19"/>
        <v>28</v>
      </c>
      <c r="I156" s="161">
        <f t="shared" si="20"/>
        <v>1.3333333333333334E-2</v>
      </c>
    </row>
    <row r="157" spans="1:9" s="119" customFormat="1" ht="18" x14ac:dyDescent="0.5">
      <c r="A157" s="124"/>
      <c r="B157" s="165" t="s">
        <v>4</v>
      </c>
      <c r="C157" s="166"/>
      <c r="D157" s="117"/>
      <c r="E157" s="117"/>
      <c r="F157" s="117"/>
      <c r="G157" s="282"/>
      <c r="H157" s="192">
        <f>SUM(H143:H156)</f>
        <v>24659.999999999996</v>
      </c>
      <c r="I157" s="295">
        <f>SUM(I143:I156)</f>
        <v>11.74285714285714</v>
      </c>
    </row>
    <row r="158" spans="1:9" s="119" customFormat="1" ht="18" x14ac:dyDescent="0.5">
      <c r="A158" s="124"/>
      <c r="B158" s="168" t="s">
        <v>14</v>
      </c>
      <c r="C158" s="43"/>
      <c r="D158" s="121"/>
      <c r="E158" s="121"/>
      <c r="F158" s="121"/>
      <c r="G158" s="283"/>
      <c r="H158" s="169">
        <f>H157/1</f>
        <v>24659.999999999996</v>
      </c>
      <c r="I158" s="104"/>
    </row>
    <row r="159" spans="1:9" s="119" customFormat="1" ht="18" x14ac:dyDescent="0.5">
      <c r="A159" s="124"/>
      <c r="B159" s="168" t="s">
        <v>15</v>
      </c>
      <c r="C159" s="43"/>
      <c r="D159" s="121"/>
      <c r="E159" s="121"/>
      <c r="F159" s="121"/>
      <c r="G159" s="283"/>
      <c r="H159" s="104">
        <f>G140</f>
        <v>80000</v>
      </c>
      <c r="I159" s="104"/>
    </row>
    <row r="160" spans="1:9" s="119" customFormat="1" ht="18" x14ac:dyDescent="0.5">
      <c r="A160" s="124"/>
      <c r="B160" s="168" t="s">
        <v>454</v>
      </c>
      <c r="C160" s="43"/>
      <c r="D160" s="121"/>
      <c r="E160" s="121"/>
      <c r="F160" s="121"/>
      <c r="G160" s="283"/>
      <c r="H160" s="104">
        <f>H159/113.3%</f>
        <v>70609.002647837595</v>
      </c>
      <c r="I160" s="104"/>
    </row>
    <row r="161" spans="1:9" s="119" customFormat="1" ht="18" x14ac:dyDescent="0.5">
      <c r="A161" s="124"/>
      <c r="B161" s="168" t="s">
        <v>16</v>
      </c>
      <c r="C161" s="43"/>
      <c r="D161" s="121"/>
      <c r="E161" s="121"/>
      <c r="F161" s="121"/>
      <c r="G161" s="283"/>
      <c r="H161" s="588">
        <f>H158/H160</f>
        <v>0.34924724999999995</v>
      </c>
      <c r="I161" s="588"/>
    </row>
    <row r="162" spans="1:9" s="119" customFormat="1" ht="18" x14ac:dyDescent="0.5">
      <c r="A162" s="124"/>
      <c r="B162" s="168"/>
      <c r="C162" s="43"/>
      <c r="D162" s="121"/>
      <c r="E162" s="121"/>
      <c r="F162" s="121"/>
      <c r="G162" s="283"/>
      <c r="H162" s="169"/>
      <c r="I162" s="171"/>
    </row>
    <row r="163" spans="1:9" s="119" customFormat="1" ht="18.75" thickBot="1" x14ac:dyDescent="0.55000000000000004">
      <c r="A163" s="124"/>
      <c r="B163" s="172"/>
      <c r="C163" s="147"/>
      <c r="D163" s="58"/>
      <c r="E163" s="58"/>
      <c r="F163" s="58"/>
      <c r="G163" s="286"/>
      <c r="H163" s="173"/>
      <c r="I163" s="164"/>
    </row>
    <row r="164" spans="1:9" s="74" customFormat="1" ht="18" x14ac:dyDescent="0.5">
      <c r="D164" s="77"/>
      <c r="E164" s="77"/>
      <c r="F164" s="77"/>
      <c r="G164" s="287"/>
      <c r="H164" s="115"/>
    </row>
    <row r="165" spans="1:9" s="74" customFormat="1" ht="18" x14ac:dyDescent="0.5">
      <c r="D165" s="77"/>
      <c r="E165" s="77"/>
      <c r="F165" s="77"/>
      <c r="G165" s="287"/>
      <c r="H165" s="115"/>
    </row>
  </sheetData>
  <mergeCells count="4">
    <mergeCell ref="A137:I137"/>
    <mergeCell ref="A2:I2"/>
    <mergeCell ref="A4:I4"/>
    <mergeCell ref="A29:I2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Summary</vt:lpstr>
      <vt:lpstr>Appetizer &amp; Salad</vt:lpstr>
      <vt:lpstr>Soup</vt:lpstr>
      <vt:lpstr>Oreintal Rice &amp; Noodle</vt:lpstr>
      <vt:lpstr>Asian Corner</vt:lpstr>
      <vt:lpstr>Indian Delight</vt:lpstr>
      <vt:lpstr>Regional Cuisine of Bagan</vt:lpstr>
      <vt:lpstr>Aureum Signature Dishes</vt:lpstr>
      <vt:lpstr>From the Grilled</vt:lpstr>
      <vt:lpstr>Pizza &amp; Pasta</vt:lpstr>
      <vt:lpstr>Sandwich and Snack</vt:lpstr>
      <vt:lpstr>Dessert</vt:lpstr>
      <vt:lpstr>A Little Aureum</vt:lpstr>
      <vt:lpstr>Sheet1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chef</dc:creator>
  <cp:lastModifiedBy>Lenovo</cp:lastModifiedBy>
  <cp:lastPrinted>2024-10-29T04:10:39Z</cp:lastPrinted>
  <dcterms:created xsi:type="dcterms:W3CDTF">2018-11-17T05:28:39Z</dcterms:created>
  <dcterms:modified xsi:type="dcterms:W3CDTF">2024-11-01T05:48:56Z</dcterms:modified>
</cp:coreProperties>
</file>